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study-notes\stock\"/>
    </mc:Choice>
  </mc:AlternateContent>
  <bookViews>
    <workbookView xWindow="0" yWindow="0" windowWidth="19200" windowHeight="70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13" i="1"/>
  <c r="E16" i="1"/>
  <c r="E18" i="1"/>
  <c r="E24" i="1"/>
  <c r="E26" i="1"/>
  <c r="E28" i="1"/>
  <c r="E30" i="1"/>
  <c r="E33" i="1"/>
  <c r="E40" i="1"/>
  <c r="E42" i="1"/>
  <c r="E44" i="1"/>
  <c r="E46" i="1"/>
  <c r="E48" i="1"/>
  <c r="E50" i="1"/>
  <c r="E53" i="1"/>
  <c r="A66" i="1"/>
  <c r="B66" i="1"/>
  <c r="R66" i="1"/>
  <c r="A67" i="1"/>
  <c r="B67" i="1"/>
  <c r="R67" i="1"/>
  <c r="A68" i="1"/>
  <c r="B68" i="1"/>
  <c r="R68" i="1"/>
  <c r="A71" i="1"/>
  <c r="B71" i="1"/>
  <c r="A72" i="1"/>
  <c r="B72" i="1"/>
  <c r="A73" i="1"/>
  <c r="B73" i="1"/>
  <c r="E81" i="1"/>
  <c r="E83" i="1"/>
  <c r="E85" i="1"/>
  <c r="A89" i="1"/>
  <c r="B89" i="1"/>
  <c r="C89" i="1"/>
  <c r="D89" i="1"/>
  <c r="R89" i="1"/>
  <c r="S89" i="1"/>
  <c r="A90" i="1"/>
  <c r="B90" i="1"/>
  <c r="C90" i="1"/>
  <c r="D90" i="1"/>
  <c r="Q90" i="1"/>
  <c r="R90" i="1"/>
  <c r="S90" i="1"/>
  <c r="A91" i="1"/>
  <c r="B91" i="1"/>
  <c r="C91" i="1"/>
  <c r="D91" i="1"/>
  <c r="E91" i="1"/>
  <c r="Q91" i="1"/>
  <c r="R91" i="1"/>
  <c r="S91" i="1"/>
  <c r="A94" i="1"/>
  <c r="B94" i="1"/>
  <c r="C94" i="1"/>
  <c r="D94" i="1"/>
  <c r="E94" i="1"/>
  <c r="Q94" i="1"/>
  <c r="R94" i="1"/>
  <c r="S94" i="1"/>
  <c r="A97" i="1"/>
  <c r="B97" i="1"/>
  <c r="C97" i="1"/>
  <c r="D97" i="1"/>
  <c r="E97" i="1"/>
  <c r="Q97" i="1"/>
  <c r="R97" i="1"/>
  <c r="S97" i="1"/>
  <c r="A98" i="1"/>
  <c r="B98" i="1"/>
  <c r="C98" i="1"/>
  <c r="D98" i="1"/>
  <c r="Q98" i="1"/>
  <c r="R98" i="1"/>
  <c r="S98" i="1"/>
  <c r="A99" i="1"/>
  <c r="B99" i="1"/>
  <c r="C99" i="1"/>
  <c r="D99" i="1"/>
  <c r="Q99" i="1"/>
  <c r="R99" i="1"/>
  <c r="S99" i="1"/>
  <c r="A100" i="1"/>
  <c r="B100" i="1"/>
  <c r="C100" i="1"/>
  <c r="D100" i="1"/>
  <c r="E100" i="1"/>
  <c r="Q100" i="1"/>
  <c r="R100" i="1"/>
  <c r="S100" i="1"/>
  <c r="A101" i="1"/>
  <c r="B101" i="1"/>
  <c r="C101" i="1"/>
  <c r="D101" i="1"/>
  <c r="Q101" i="1"/>
  <c r="R101" i="1"/>
  <c r="S101" i="1"/>
  <c r="A102" i="1"/>
  <c r="B102" i="1"/>
  <c r="C102" i="1"/>
  <c r="D102" i="1"/>
  <c r="Q102" i="1"/>
  <c r="R102" i="1"/>
  <c r="S102" i="1"/>
  <c r="A103" i="1"/>
  <c r="B103" i="1"/>
  <c r="C103" i="1"/>
  <c r="D103" i="1"/>
  <c r="E103" i="1"/>
  <c r="Q103" i="1"/>
  <c r="R103" i="1"/>
  <c r="S103" i="1"/>
  <c r="A105" i="1"/>
  <c r="B105" i="1"/>
  <c r="C105" i="1"/>
  <c r="D105" i="1"/>
  <c r="Q105" i="1"/>
  <c r="R105" i="1"/>
  <c r="S105" i="1"/>
  <c r="D106" i="1"/>
  <c r="E106" i="1"/>
  <c r="E109" i="1"/>
  <c r="A111" i="1"/>
  <c r="B111" i="1"/>
  <c r="C111" i="1"/>
  <c r="D111" i="1"/>
  <c r="Q111" i="1"/>
  <c r="R111" i="1"/>
  <c r="S111" i="1"/>
  <c r="A112" i="1"/>
  <c r="B112" i="1"/>
  <c r="C112" i="1"/>
  <c r="D112" i="1"/>
  <c r="R112" i="1"/>
  <c r="S112" i="1"/>
  <c r="D113" i="1"/>
  <c r="E113" i="1"/>
  <c r="E115" i="1"/>
  <c r="E116" i="1"/>
  <c r="E117" i="1"/>
  <c r="E120" i="1"/>
  <c r="E121" i="1"/>
  <c r="A122" i="1"/>
  <c r="B122" i="1"/>
  <c r="C122" i="1"/>
  <c r="D122" i="1"/>
  <c r="R122" i="1"/>
  <c r="S122" i="1"/>
  <c r="D123" i="1"/>
  <c r="E123" i="1"/>
  <c r="E125" i="1"/>
  <c r="E131" i="1"/>
  <c r="A135" i="1"/>
  <c r="B135" i="1"/>
  <c r="C135" i="1"/>
  <c r="D135" i="1"/>
  <c r="Q135" i="1"/>
  <c r="R135" i="1"/>
  <c r="S135" i="1"/>
  <c r="D136" i="1"/>
  <c r="E136" i="1"/>
  <c r="A137" i="1"/>
  <c r="B137" i="1"/>
  <c r="C137" i="1"/>
  <c r="D137" i="1"/>
  <c r="Q137" i="1"/>
  <c r="R137" i="1"/>
  <c r="S137" i="1"/>
  <c r="A138" i="1"/>
  <c r="B138" i="1"/>
  <c r="C138" i="1"/>
  <c r="D138" i="1"/>
  <c r="Q138" i="1"/>
  <c r="R138" i="1"/>
  <c r="S138" i="1"/>
  <c r="D139" i="1"/>
  <c r="E139" i="1"/>
  <c r="A140" i="1"/>
  <c r="B140" i="1"/>
  <c r="C140" i="1"/>
  <c r="D140" i="1"/>
  <c r="Q140" i="1"/>
  <c r="R140" i="1"/>
  <c r="S140" i="1"/>
  <c r="D141" i="1"/>
  <c r="E141" i="1"/>
  <c r="A142" i="1"/>
  <c r="B142" i="1"/>
  <c r="C142" i="1"/>
  <c r="D142" i="1"/>
  <c r="Q142" i="1"/>
  <c r="R142" i="1"/>
  <c r="S142" i="1"/>
  <c r="D143" i="1"/>
  <c r="E143" i="1"/>
  <c r="A144" i="1"/>
  <c r="B144" i="1"/>
  <c r="C144" i="1"/>
  <c r="D144" i="1"/>
  <c r="Q144" i="1"/>
  <c r="R144" i="1"/>
  <c r="S144" i="1"/>
  <c r="A145" i="1"/>
  <c r="B145" i="1"/>
  <c r="C145" i="1"/>
  <c r="D145" i="1"/>
  <c r="Q145" i="1"/>
  <c r="R145" i="1"/>
  <c r="S145" i="1"/>
  <c r="D146" i="1"/>
  <c r="E146" i="1"/>
  <c r="A147" i="1"/>
  <c r="B147" i="1"/>
  <c r="C147" i="1"/>
  <c r="D147" i="1"/>
  <c r="R147" i="1"/>
  <c r="S147" i="1"/>
  <c r="A148" i="1"/>
  <c r="B148" i="1"/>
  <c r="C148" i="1"/>
  <c r="D148" i="1"/>
  <c r="Q148" i="1"/>
  <c r="S148" i="1"/>
  <c r="A149" i="1"/>
  <c r="B149" i="1"/>
  <c r="C149" i="1"/>
  <c r="D149" i="1"/>
  <c r="R149" i="1"/>
  <c r="S149" i="1"/>
  <c r="D150" i="1"/>
  <c r="E150" i="1"/>
  <c r="A151" i="1"/>
  <c r="B151" i="1"/>
  <c r="C151" i="1"/>
  <c r="D151" i="1"/>
  <c r="Q151" i="1"/>
  <c r="R151" i="1"/>
  <c r="S151" i="1"/>
  <c r="A152" i="1"/>
  <c r="B152" i="1"/>
  <c r="C152" i="1"/>
  <c r="D152" i="1"/>
  <c r="Q152" i="1"/>
  <c r="R152" i="1"/>
  <c r="S152" i="1"/>
  <c r="A153" i="1"/>
  <c r="B153" i="1"/>
  <c r="C153" i="1"/>
  <c r="D153" i="1"/>
  <c r="Q153" i="1"/>
  <c r="R153" i="1"/>
  <c r="S153" i="1"/>
  <c r="A154" i="1"/>
  <c r="B154" i="1"/>
  <c r="C154" i="1"/>
  <c r="D154" i="1"/>
  <c r="R154" i="1"/>
  <c r="S154" i="1"/>
  <c r="D155" i="1"/>
  <c r="E155" i="1"/>
  <c r="A156" i="1"/>
  <c r="B156" i="1"/>
  <c r="C156" i="1"/>
  <c r="D156" i="1"/>
  <c r="Q156" i="1"/>
  <c r="R156" i="1"/>
  <c r="S156" i="1"/>
  <c r="D157" i="1"/>
  <c r="E157" i="1"/>
</calcChain>
</file>

<file path=xl/sharedStrings.xml><?xml version="1.0" encoding="utf-8"?>
<sst xmlns="http://schemas.openxmlformats.org/spreadsheetml/2006/main" count="295" uniqueCount="101">
  <si>
    <t>成交日期</t>
  </si>
  <si>
    <t>业务名称</t>
  </si>
  <si>
    <t>证券代码</t>
  </si>
  <si>
    <t>证券名称</t>
  </si>
  <si>
    <t>收益</t>
    <phoneticPr fontId="4" type="noConversion"/>
  </si>
  <si>
    <t>成交价格</t>
  </si>
  <si>
    <t>成交数量</t>
  </si>
  <si>
    <t>剩余数量</t>
  </si>
  <si>
    <t>成交金额</t>
  </si>
  <si>
    <t>清算金额</t>
  </si>
  <si>
    <t>剩余金额</t>
  </si>
  <si>
    <t>印花税</t>
  </si>
  <si>
    <t>过户费</t>
  </si>
  <si>
    <t>净佣金</t>
  </si>
  <si>
    <t>交易规费</t>
  </si>
  <si>
    <t>前台费用</t>
  </si>
  <si>
    <t>委托编号</t>
  </si>
  <si>
    <t>成交编号</t>
  </si>
  <si>
    <t>股东代码</t>
  </si>
  <si>
    <t>利息归本</t>
  </si>
  <si>
    <t>银行转证券</t>
  </si>
  <si>
    <t>证券买入</t>
  </si>
  <si>
    <t>300ETF</t>
  </si>
  <si>
    <t>A494937882</t>
  </si>
  <si>
    <t>证券卖出</t>
  </si>
  <si>
    <t>黄金ETF</t>
  </si>
  <si>
    <t>*ST亚星</t>
  </si>
  <si>
    <t>创业板</t>
  </si>
  <si>
    <t>ZV000290</t>
  </si>
  <si>
    <t>ZV003926</t>
  </si>
  <si>
    <t>ZV005056</t>
  </si>
  <si>
    <t>ZV004760</t>
  </si>
  <si>
    <t>ZV002102</t>
  </si>
  <si>
    <t>国泰商品</t>
  </si>
  <si>
    <t>ZV002024</t>
  </si>
  <si>
    <t>ZV000873</t>
  </si>
  <si>
    <t>ZV000200</t>
  </si>
  <si>
    <t>ZV003691</t>
  </si>
  <si>
    <t>ZV002063</t>
  </si>
  <si>
    <t>ZV004928</t>
  </si>
  <si>
    <t>南方航空</t>
  </si>
  <si>
    <r>
      <t>0</t>
    </r>
    <r>
      <rPr>
        <sz val="11"/>
        <color indexed="8"/>
        <rFont val="宋体"/>
        <family val="3"/>
        <charset val="134"/>
      </rPr>
      <t>0</t>
    </r>
    <r>
      <rPr>
        <sz val="11"/>
        <color theme="1"/>
        <rFont val="宋体"/>
        <family val="2"/>
        <charset val="134"/>
        <scheme val="minor"/>
      </rPr>
      <t>2027</t>
    </r>
    <phoneticPr fontId="4" type="noConversion"/>
  </si>
  <si>
    <t>七喜控股</t>
  </si>
  <si>
    <t>ZV000589</t>
  </si>
  <si>
    <t>ZV001992</t>
  </si>
  <si>
    <r>
      <t>0</t>
    </r>
    <r>
      <rPr>
        <sz val="11"/>
        <color indexed="8"/>
        <rFont val="宋体"/>
        <family val="3"/>
        <charset val="134"/>
      </rPr>
      <t>0</t>
    </r>
    <r>
      <rPr>
        <sz val="11"/>
        <color theme="1"/>
        <rFont val="宋体"/>
        <family val="2"/>
        <charset val="134"/>
        <scheme val="minor"/>
      </rPr>
      <t>2558</t>
    </r>
    <phoneticPr fontId="4" type="noConversion"/>
  </si>
  <si>
    <t>世纪游轮</t>
  </si>
  <si>
    <t>ZV004468</t>
  </si>
  <si>
    <r>
      <t>0</t>
    </r>
    <r>
      <rPr>
        <sz val="11"/>
        <color indexed="8"/>
        <rFont val="宋体"/>
        <family val="3"/>
        <charset val="134"/>
      </rPr>
      <t>0</t>
    </r>
    <r>
      <rPr>
        <sz val="11"/>
        <color theme="1"/>
        <rFont val="宋体"/>
        <family val="2"/>
        <charset val="134"/>
        <scheme val="minor"/>
      </rPr>
      <t>2558</t>
    </r>
    <phoneticPr fontId="4" type="noConversion"/>
  </si>
  <si>
    <t>ZV003735</t>
  </si>
  <si>
    <r>
      <t>0</t>
    </r>
    <r>
      <rPr>
        <sz val="11"/>
        <color indexed="8"/>
        <rFont val="宋体"/>
        <family val="3"/>
        <charset val="134"/>
      </rPr>
      <t>0</t>
    </r>
    <r>
      <rPr>
        <sz val="11"/>
        <color theme="1"/>
        <rFont val="宋体"/>
        <family val="2"/>
        <charset val="134"/>
        <scheme val="minor"/>
      </rPr>
      <t>1696</t>
    </r>
    <phoneticPr fontId="4" type="noConversion"/>
  </si>
  <si>
    <t>宗申动力</t>
  </si>
  <si>
    <t>ZV005293</t>
  </si>
  <si>
    <t>ZV003900</t>
  </si>
  <si>
    <t>ZV002080</t>
  </si>
  <si>
    <t>*ST蒙发</t>
  </si>
  <si>
    <t>ZV002789</t>
  </si>
  <si>
    <t>*ST天首</t>
  </si>
  <si>
    <t>ZV005123</t>
  </si>
  <si>
    <t>*ST兴业</t>
  </si>
  <si>
    <t>伊利股份</t>
  </si>
  <si>
    <t>恒生电子</t>
  </si>
  <si>
    <t>中国联通</t>
  </si>
  <si>
    <t>红利入账</t>
  </si>
  <si>
    <t>股息红利差异扣税</t>
  </si>
  <si>
    <t>台帐间现金划转存</t>
  </si>
  <si>
    <t>台帐间现金划转取</t>
  </si>
  <si>
    <t>证券转银行</t>
  </si>
  <si>
    <t>三一转债</t>
  </si>
  <si>
    <t>债券兑息</t>
  </si>
  <si>
    <t>有色B</t>
  </si>
  <si>
    <t>ZV004466</t>
  </si>
  <si>
    <t>ZV004153</t>
  </si>
  <si>
    <t>东方财富</t>
  </si>
  <si>
    <t>ZV006703</t>
  </si>
  <si>
    <t>红股入账</t>
  </si>
  <si>
    <t>科大讯飞</t>
    <phoneticPr fontId="2" type="noConversion"/>
  </si>
  <si>
    <t>ZV006573</t>
  </si>
  <si>
    <t>科大讯飞</t>
  </si>
  <si>
    <t>ZV004270</t>
  </si>
  <si>
    <t>三一转债</t>
    <phoneticPr fontId="2" type="noConversion"/>
  </si>
  <si>
    <t>大名城</t>
  </si>
  <si>
    <t>国中水务</t>
  </si>
  <si>
    <t>国中水务</t>
    <phoneticPr fontId="2" type="noConversion"/>
  </si>
  <si>
    <t>国中水务</t>
    <phoneticPr fontId="2" type="noConversion"/>
  </si>
  <si>
    <t>蓝标转债</t>
  </si>
  <si>
    <t>ZV003787</t>
  </si>
  <si>
    <t>ZV003350</t>
  </si>
  <si>
    <t>ZV009792</t>
  </si>
  <si>
    <t>蓝标转债</t>
    <phoneticPr fontId="2" type="noConversion"/>
  </si>
  <si>
    <t>ZV006013</t>
  </si>
  <si>
    <t>云天化</t>
  </si>
  <si>
    <t>中南文化</t>
  </si>
  <si>
    <t>ZV001357</t>
  </si>
  <si>
    <t>ZV006412</t>
  </si>
  <si>
    <t>ZV005082</t>
  </si>
  <si>
    <t>ZV005760</t>
  </si>
  <si>
    <t>ZV002826</t>
  </si>
  <si>
    <t>ZV009773</t>
  </si>
  <si>
    <t>ZV004516</t>
  </si>
  <si>
    <t>ZV007584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</si>
</sst>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0" fontId="5" fillId="4" borderId="0" xfId="0" applyFont="1" applyFill="1">
      <alignment vertical="center"/>
    </xf>
    <xf numFmtId="49" fontId="0" fillId="3" borderId="0" xfId="0" applyNumberFormat="1" applyFont="1" applyFill="1">
      <alignment vertical="center"/>
    </xf>
    <xf numFmtId="49" fontId="0" fillId="4" borderId="0" xfId="0" applyNumberFormat="1" applyFont="1" applyFill="1">
      <alignment vertical="center"/>
    </xf>
    <xf numFmtId="0" fontId="0" fillId="5" borderId="0" xfId="0" applyFill="1">
      <alignment vertical="center"/>
    </xf>
    <xf numFmtId="49" fontId="0" fillId="5" borderId="0" xfId="0" applyNumberFormat="1" applyFill="1">
      <alignment vertical="center"/>
    </xf>
    <xf numFmtId="0" fontId="0" fillId="6" borderId="0" xfId="0" applyFill="1">
      <alignment vertical="center"/>
    </xf>
    <xf numFmtId="49" fontId="0" fillId="6" borderId="0" xfId="0" applyNumberFormat="1" applyFill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1" fillId="0" borderId="0" xfId="0" applyFont="1">
      <alignment vertical="center"/>
    </xf>
    <xf numFmtId="0" fontId="0" fillId="7" borderId="0" xfId="0" applyFill="1">
      <alignment vertical="center"/>
    </xf>
    <xf numFmtId="49" fontId="0" fillId="7" borderId="0" xfId="0" applyNumberFormat="1" applyFill="1">
      <alignment vertical="center"/>
    </xf>
    <xf numFmtId="0" fontId="0" fillId="7" borderId="0" xfId="0" applyFill="1" applyBorder="1">
      <alignment vertical="center"/>
    </xf>
    <xf numFmtId="0" fontId="0" fillId="8" borderId="0" xfId="0" applyFill="1">
      <alignment vertical="center"/>
    </xf>
    <xf numFmtId="49" fontId="0" fillId="8" borderId="0" xfId="0" applyNumberFormat="1" applyFill="1">
      <alignment vertical="center"/>
    </xf>
    <xf numFmtId="0" fontId="1" fillId="5" borderId="0" xfId="0" applyFont="1" applyFill="1">
      <alignment vertical="center"/>
    </xf>
    <xf numFmtId="0" fontId="1" fillId="7" borderId="0" xfId="0" applyFont="1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7"/>
  <sheetViews>
    <sheetView tabSelected="1" topLeftCell="A146" workbookViewId="0">
      <selection activeCell="F155" sqref="F155"/>
    </sheetView>
  </sheetViews>
  <sheetFormatPr defaultRowHeight="14.4" x14ac:dyDescent="0.25"/>
  <cols>
    <col min="1" max="1" width="9.21875" bestFit="1" customWidth="1"/>
    <col min="2" max="2" width="17.88671875" bestFit="1" customWidth="1"/>
    <col min="3" max="3" width="9.21875" style="1" bestFit="1" customWidth="1"/>
    <col min="4" max="4" width="9.21875" bestFit="1" customWidth="1"/>
    <col min="5" max="5" width="13.5546875" bestFit="1" customWidth="1"/>
    <col min="6" max="8" width="9.21875" bestFit="1" customWidth="1"/>
    <col min="9" max="11" width="10.21875" bestFit="1" customWidth="1"/>
    <col min="12" max="14" width="7.21875" bestFit="1" customWidth="1"/>
    <col min="15" max="16" width="9.21875" bestFit="1" customWidth="1"/>
    <col min="17" max="17" width="11.33203125" bestFit="1" customWidth="1"/>
    <col min="18" max="18" width="17.88671875" bestFit="1" customWidth="1"/>
    <col min="19" max="19" width="11.33203125" bestFit="1" customWidth="1"/>
    <col min="258" max="258" width="11" bestFit="1" customWidth="1"/>
    <col min="259" max="259" width="9" customWidth="1"/>
    <col min="273" max="273" width="11.21875" customWidth="1"/>
    <col min="274" max="274" width="9.6640625" customWidth="1"/>
    <col min="275" max="275" width="12.109375" customWidth="1"/>
    <col min="514" max="514" width="11" bestFit="1" customWidth="1"/>
    <col min="515" max="515" width="9" customWidth="1"/>
    <col min="529" max="529" width="11.21875" customWidth="1"/>
    <col min="530" max="530" width="9.6640625" customWidth="1"/>
    <col min="531" max="531" width="12.109375" customWidth="1"/>
    <col min="770" max="770" width="11" bestFit="1" customWidth="1"/>
    <col min="771" max="771" width="9" customWidth="1"/>
    <col min="785" max="785" width="11.21875" customWidth="1"/>
    <col min="786" max="786" width="9.6640625" customWidth="1"/>
    <col min="787" max="787" width="12.109375" customWidth="1"/>
    <col min="1026" max="1026" width="11" bestFit="1" customWidth="1"/>
    <col min="1027" max="1027" width="9" customWidth="1"/>
    <col min="1041" max="1041" width="11.21875" customWidth="1"/>
    <col min="1042" max="1042" width="9.6640625" customWidth="1"/>
    <col min="1043" max="1043" width="12.109375" customWidth="1"/>
    <col min="1282" max="1282" width="11" bestFit="1" customWidth="1"/>
    <col min="1283" max="1283" width="9" customWidth="1"/>
    <col min="1297" max="1297" width="11.21875" customWidth="1"/>
    <col min="1298" max="1298" width="9.6640625" customWidth="1"/>
    <col min="1299" max="1299" width="12.109375" customWidth="1"/>
    <col min="1538" max="1538" width="11" bestFit="1" customWidth="1"/>
    <col min="1539" max="1539" width="9" customWidth="1"/>
    <col min="1553" max="1553" width="11.21875" customWidth="1"/>
    <col min="1554" max="1554" width="9.6640625" customWidth="1"/>
    <col min="1555" max="1555" width="12.109375" customWidth="1"/>
    <col min="1794" max="1794" width="11" bestFit="1" customWidth="1"/>
    <col min="1795" max="1795" width="9" customWidth="1"/>
    <col min="1809" max="1809" width="11.21875" customWidth="1"/>
    <col min="1810" max="1810" width="9.6640625" customWidth="1"/>
    <col min="1811" max="1811" width="12.109375" customWidth="1"/>
    <col min="2050" max="2050" width="11" bestFit="1" customWidth="1"/>
    <col min="2051" max="2051" width="9" customWidth="1"/>
    <col min="2065" max="2065" width="11.21875" customWidth="1"/>
    <col min="2066" max="2066" width="9.6640625" customWidth="1"/>
    <col min="2067" max="2067" width="12.109375" customWidth="1"/>
    <col min="2306" max="2306" width="11" bestFit="1" customWidth="1"/>
    <col min="2307" max="2307" width="9" customWidth="1"/>
    <col min="2321" max="2321" width="11.21875" customWidth="1"/>
    <col min="2322" max="2322" width="9.6640625" customWidth="1"/>
    <col min="2323" max="2323" width="12.109375" customWidth="1"/>
    <col min="2562" max="2562" width="11" bestFit="1" customWidth="1"/>
    <col min="2563" max="2563" width="9" customWidth="1"/>
    <col min="2577" max="2577" width="11.21875" customWidth="1"/>
    <col min="2578" max="2578" width="9.6640625" customWidth="1"/>
    <col min="2579" max="2579" width="12.109375" customWidth="1"/>
    <col min="2818" max="2818" width="11" bestFit="1" customWidth="1"/>
    <col min="2819" max="2819" width="9" customWidth="1"/>
    <col min="2833" max="2833" width="11.21875" customWidth="1"/>
    <col min="2834" max="2834" width="9.6640625" customWidth="1"/>
    <col min="2835" max="2835" width="12.109375" customWidth="1"/>
    <col min="3074" max="3074" width="11" bestFit="1" customWidth="1"/>
    <col min="3075" max="3075" width="9" customWidth="1"/>
    <col min="3089" max="3089" width="11.21875" customWidth="1"/>
    <col min="3090" max="3090" width="9.6640625" customWidth="1"/>
    <col min="3091" max="3091" width="12.109375" customWidth="1"/>
    <col min="3330" max="3330" width="11" bestFit="1" customWidth="1"/>
    <col min="3331" max="3331" width="9" customWidth="1"/>
    <col min="3345" max="3345" width="11.21875" customWidth="1"/>
    <col min="3346" max="3346" width="9.6640625" customWidth="1"/>
    <col min="3347" max="3347" width="12.109375" customWidth="1"/>
    <col min="3586" max="3586" width="11" bestFit="1" customWidth="1"/>
    <col min="3587" max="3587" width="9" customWidth="1"/>
    <col min="3601" max="3601" width="11.21875" customWidth="1"/>
    <col min="3602" max="3602" width="9.6640625" customWidth="1"/>
    <col min="3603" max="3603" width="12.109375" customWidth="1"/>
    <col min="3842" max="3842" width="11" bestFit="1" customWidth="1"/>
    <col min="3843" max="3843" width="9" customWidth="1"/>
    <col min="3857" max="3857" width="11.21875" customWidth="1"/>
    <col min="3858" max="3858" width="9.6640625" customWidth="1"/>
    <col min="3859" max="3859" width="12.109375" customWidth="1"/>
    <col min="4098" max="4098" width="11" bestFit="1" customWidth="1"/>
    <col min="4099" max="4099" width="9" customWidth="1"/>
    <col min="4113" max="4113" width="11.21875" customWidth="1"/>
    <col min="4114" max="4114" width="9.6640625" customWidth="1"/>
    <col min="4115" max="4115" width="12.109375" customWidth="1"/>
    <col min="4354" max="4354" width="11" bestFit="1" customWidth="1"/>
    <col min="4355" max="4355" width="9" customWidth="1"/>
    <col min="4369" max="4369" width="11.21875" customWidth="1"/>
    <col min="4370" max="4370" width="9.6640625" customWidth="1"/>
    <col min="4371" max="4371" width="12.109375" customWidth="1"/>
    <col min="4610" max="4610" width="11" bestFit="1" customWidth="1"/>
    <col min="4611" max="4611" width="9" customWidth="1"/>
    <col min="4625" max="4625" width="11.21875" customWidth="1"/>
    <col min="4626" max="4626" width="9.6640625" customWidth="1"/>
    <col min="4627" max="4627" width="12.109375" customWidth="1"/>
    <col min="4866" max="4866" width="11" bestFit="1" customWidth="1"/>
    <col min="4867" max="4867" width="9" customWidth="1"/>
    <col min="4881" max="4881" width="11.21875" customWidth="1"/>
    <col min="4882" max="4882" width="9.6640625" customWidth="1"/>
    <col min="4883" max="4883" width="12.109375" customWidth="1"/>
    <col min="5122" max="5122" width="11" bestFit="1" customWidth="1"/>
    <col min="5123" max="5123" width="9" customWidth="1"/>
    <col min="5137" max="5137" width="11.21875" customWidth="1"/>
    <col min="5138" max="5138" width="9.6640625" customWidth="1"/>
    <col min="5139" max="5139" width="12.109375" customWidth="1"/>
    <col min="5378" max="5378" width="11" bestFit="1" customWidth="1"/>
    <col min="5379" max="5379" width="9" customWidth="1"/>
    <col min="5393" max="5393" width="11.21875" customWidth="1"/>
    <col min="5394" max="5394" width="9.6640625" customWidth="1"/>
    <col min="5395" max="5395" width="12.109375" customWidth="1"/>
    <col min="5634" max="5634" width="11" bestFit="1" customWidth="1"/>
    <col min="5635" max="5635" width="9" customWidth="1"/>
    <col min="5649" max="5649" width="11.21875" customWidth="1"/>
    <col min="5650" max="5650" width="9.6640625" customWidth="1"/>
    <col min="5651" max="5651" width="12.109375" customWidth="1"/>
    <col min="5890" max="5890" width="11" bestFit="1" customWidth="1"/>
    <col min="5891" max="5891" width="9" customWidth="1"/>
    <col min="5905" max="5905" width="11.21875" customWidth="1"/>
    <col min="5906" max="5906" width="9.6640625" customWidth="1"/>
    <col min="5907" max="5907" width="12.109375" customWidth="1"/>
    <col min="6146" max="6146" width="11" bestFit="1" customWidth="1"/>
    <col min="6147" max="6147" width="9" customWidth="1"/>
    <col min="6161" max="6161" width="11.21875" customWidth="1"/>
    <col min="6162" max="6162" width="9.6640625" customWidth="1"/>
    <col min="6163" max="6163" width="12.109375" customWidth="1"/>
    <col min="6402" max="6402" width="11" bestFit="1" customWidth="1"/>
    <col min="6403" max="6403" width="9" customWidth="1"/>
    <col min="6417" max="6417" width="11.21875" customWidth="1"/>
    <col min="6418" max="6418" width="9.6640625" customWidth="1"/>
    <col min="6419" max="6419" width="12.109375" customWidth="1"/>
    <col min="6658" max="6658" width="11" bestFit="1" customWidth="1"/>
    <col min="6659" max="6659" width="9" customWidth="1"/>
    <col min="6673" max="6673" width="11.21875" customWidth="1"/>
    <col min="6674" max="6674" width="9.6640625" customWidth="1"/>
    <col min="6675" max="6675" width="12.109375" customWidth="1"/>
    <col min="6914" max="6914" width="11" bestFit="1" customWidth="1"/>
    <col min="6915" max="6915" width="9" customWidth="1"/>
    <col min="6929" max="6929" width="11.21875" customWidth="1"/>
    <col min="6930" max="6930" width="9.6640625" customWidth="1"/>
    <col min="6931" max="6931" width="12.109375" customWidth="1"/>
    <col min="7170" max="7170" width="11" bestFit="1" customWidth="1"/>
    <col min="7171" max="7171" width="9" customWidth="1"/>
    <col min="7185" max="7185" width="11.21875" customWidth="1"/>
    <col min="7186" max="7186" width="9.6640625" customWidth="1"/>
    <col min="7187" max="7187" width="12.109375" customWidth="1"/>
    <col min="7426" max="7426" width="11" bestFit="1" customWidth="1"/>
    <col min="7427" max="7427" width="9" customWidth="1"/>
    <col min="7441" max="7441" width="11.21875" customWidth="1"/>
    <col min="7442" max="7442" width="9.6640625" customWidth="1"/>
    <col min="7443" max="7443" width="12.109375" customWidth="1"/>
    <col min="7682" max="7682" width="11" bestFit="1" customWidth="1"/>
    <col min="7683" max="7683" width="9" customWidth="1"/>
    <col min="7697" max="7697" width="11.21875" customWidth="1"/>
    <col min="7698" max="7698" width="9.6640625" customWidth="1"/>
    <col min="7699" max="7699" width="12.109375" customWidth="1"/>
    <col min="7938" max="7938" width="11" bestFit="1" customWidth="1"/>
    <col min="7939" max="7939" width="9" customWidth="1"/>
    <col min="7953" max="7953" width="11.21875" customWidth="1"/>
    <col min="7954" max="7954" width="9.6640625" customWidth="1"/>
    <col min="7955" max="7955" width="12.109375" customWidth="1"/>
    <col min="8194" max="8194" width="11" bestFit="1" customWidth="1"/>
    <col min="8195" max="8195" width="9" customWidth="1"/>
    <col min="8209" max="8209" width="11.21875" customWidth="1"/>
    <col min="8210" max="8210" width="9.6640625" customWidth="1"/>
    <col min="8211" max="8211" width="12.109375" customWidth="1"/>
    <col min="8450" max="8450" width="11" bestFit="1" customWidth="1"/>
    <col min="8451" max="8451" width="9" customWidth="1"/>
    <col min="8465" max="8465" width="11.21875" customWidth="1"/>
    <col min="8466" max="8466" width="9.6640625" customWidth="1"/>
    <col min="8467" max="8467" width="12.109375" customWidth="1"/>
    <col min="8706" max="8706" width="11" bestFit="1" customWidth="1"/>
    <col min="8707" max="8707" width="9" customWidth="1"/>
    <col min="8721" max="8721" width="11.21875" customWidth="1"/>
    <col min="8722" max="8722" width="9.6640625" customWidth="1"/>
    <col min="8723" max="8723" width="12.109375" customWidth="1"/>
    <col min="8962" max="8962" width="11" bestFit="1" customWidth="1"/>
    <col min="8963" max="8963" width="9" customWidth="1"/>
    <col min="8977" max="8977" width="11.21875" customWidth="1"/>
    <col min="8978" max="8978" width="9.6640625" customWidth="1"/>
    <col min="8979" max="8979" width="12.109375" customWidth="1"/>
    <col min="9218" max="9218" width="11" bestFit="1" customWidth="1"/>
    <col min="9219" max="9219" width="9" customWidth="1"/>
    <col min="9233" max="9233" width="11.21875" customWidth="1"/>
    <col min="9234" max="9234" width="9.6640625" customWidth="1"/>
    <col min="9235" max="9235" width="12.109375" customWidth="1"/>
    <col min="9474" max="9474" width="11" bestFit="1" customWidth="1"/>
    <col min="9475" max="9475" width="9" customWidth="1"/>
    <col min="9489" max="9489" width="11.21875" customWidth="1"/>
    <col min="9490" max="9490" width="9.6640625" customWidth="1"/>
    <col min="9491" max="9491" width="12.109375" customWidth="1"/>
    <col min="9730" max="9730" width="11" bestFit="1" customWidth="1"/>
    <col min="9731" max="9731" width="9" customWidth="1"/>
    <col min="9745" max="9745" width="11.21875" customWidth="1"/>
    <col min="9746" max="9746" width="9.6640625" customWidth="1"/>
    <col min="9747" max="9747" width="12.109375" customWidth="1"/>
    <col min="9986" max="9986" width="11" bestFit="1" customWidth="1"/>
    <col min="9987" max="9987" width="9" customWidth="1"/>
    <col min="10001" max="10001" width="11.21875" customWidth="1"/>
    <col min="10002" max="10002" width="9.6640625" customWidth="1"/>
    <col min="10003" max="10003" width="12.109375" customWidth="1"/>
    <col min="10242" max="10242" width="11" bestFit="1" customWidth="1"/>
    <col min="10243" max="10243" width="9" customWidth="1"/>
    <col min="10257" max="10257" width="11.21875" customWidth="1"/>
    <col min="10258" max="10258" width="9.6640625" customWidth="1"/>
    <col min="10259" max="10259" width="12.109375" customWidth="1"/>
    <col min="10498" max="10498" width="11" bestFit="1" customWidth="1"/>
    <col min="10499" max="10499" width="9" customWidth="1"/>
    <col min="10513" max="10513" width="11.21875" customWidth="1"/>
    <col min="10514" max="10514" width="9.6640625" customWidth="1"/>
    <col min="10515" max="10515" width="12.109375" customWidth="1"/>
    <col min="10754" max="10754" width="11" bestFit="1" customWidth="1"/>
    <col min="10755" max="10755" width="9" customWidth="1"/>
    <col min="10769" max="10769" width="11.21875" customWidth="1"/>
    <col min="10770" max="10770" width="9.6640625" customWidth="1"/>
    <col min="10771" max="10771" width="12.109375" customWidth="1"/>
    <col min="11010" max="11010" width="11" bestFit="1" customWidth="1"/>
    <col min="11011" max="11011" width="9" customWidth="1"/>
    <col min="11025" max="11025" width="11.21875" customWidth="1"/>
    <col min="11026" max="11026" width="9.6640625" customWidth="1"/>
    <col min="11027" max="11027" width="12.109375" customWidth="1"/>
    <col min="11266" max="11266" width="11" bestFit="1" customWidth="1"/>
    <col min="11267" max="11267" width="9" customWidth="1"/>
    <col min="11281" max="11281" width="11.21875" customWidth="1"/>
    <col min="11282" max="11282" width="9.6640625" customWidth="1"/>
    <col min="11283" max="11283" width="12.109375" customWidth="1"/>
    <col min="11522" max="11522" width="11" bestFit="1" customWidth="1"/>
    <col min="11523" max="11523" width="9" customWidth="1"/>
    <col min="11537" max="11537" width="11.21875" customWidth="1"/>
    <col min="11538" max="11538" width="9.6640625" customWidth="1"/>
    <col min="11539" max="11539" width="12.109375" customWidth="1"/>
    <col min="11778" max="11778" width="11" bestFit="1" customWidth="1"/>
    <col min="11779" max="11779" width="9" customWidth="1"/>
    <col min="11793" max="11793" width="11.21875" customWidth="1"/>
    <col min="11794" max="11794" width="9.6640625" customWidth="1"/>
    <col min="11795" max="11795" width="12.109375" customWidth="1"/>
    <col min="12034" max="12034" width="11" bestFit="1" customWidth="1"/>
    <col min="12035" max="12035" width="9" customWidth="1"/>
    <col min="12049" max="12049" width="11.21875" customWidth="1"/>
    <col min="12050" max="12050" width="9.6640625" customWidth="1"/>
    <col min="12051" max="12051" width="12.109375" customWidth="1"/>
    <col min="12290" max="12290" width="11" bestFit="1" customWidth="1"/>
    <col min="12291" max="12291" width="9" customWidth="1"/>
    <col min="12305" max="12305" width="11.21875" customWidth="1"/>
    <col min="12306" max="12306" width="9.6640625" customWidth="1"/>
    <col min="12307" max="12307" width="12.109375" customWidth="1"/>
    <col min="12546" max="12546" width="11" bestFit="1" customWidth="1"/>
    <col min="12547" max="12547" width="9" customWidth="1"/>
    <col min="12561" max="12561" width="11.21875" customWidth="1"/>
    <col min="12562" max="12562" width="9.6640625" customWidth="1"/>
    <col min="12563" max="12563" width="12.109375" customWidth="1"/>
    <col min="12802" max="12802" width="11" bestFit="1" customWidth="1"/>
    <col min="12803" max="12803" width="9" customWidth="1"/>
    <col min="12817" max="12817" width="11.21875" customWidth="1"/>
    <col min="12818" max="12818" width="9.6640625" customWidth="1"/>
    <col min="12819" max="12819" width="12.109375" customWidth="1"/>
    <col min="13058" max="13058" width="11" bestFit="1" customWidth="1"/>
    <col min="13059" max="13059" width="9" customWidth="1"/>
    <col min="13073" max="13073" width="11.21875" customWidth="1"/>
    <col min="13074" max="13074" width="9.6640625" customWidth="1"/>
    <col min="13075" max="13075" width="12.109375" customWidth="1"/>
    <col min="13314" max="13314" width="11" bestFit="1" customWidth="1"/>
    <col min="13315" max="13315" width="9" customWidth="1"/>
    <col min="13329" max="13329" width="11.21875" customWidth="1"/>
    <col min="13330" max="13330" width="9.6640625" customWidth="1"/>
    <col min="13331" max="13331" width="12.109375" customWidth="1"/>
    <col min="13570" max="13570" width="11" bestFit="1" customWidth="1"/>
    <col min="13571" max="13571" width="9" customWidth="1"/>
    <col min="13585" max="13585" width="11.21875" customWidth="1"/>
    <col min="13586" max="13586" width="9.6640625" customWidth="1"/>
    <col min="13587" max="13587" width="12.109375" customWidth="1"/>
    <col min="13826" max="13826" width="11" bestFit="1" customWidth="1"/>
    <col min="13827" max="13827" width="9" customWidth="1"/>
    <col min="13841" max="13841" width="11.21875" customWidth="1"/>
    <col min="13842" max="13842" width="9.6640625" customWidth="1"/>
    <col min="13843" max="13843" width="12.109375" customWidth="1"/>
    <col min="14082" max="14082" width="11" bestFit="1" customWidth="1"/>
    <col min="14083" max="14083" width="9" customWidth="1"/>
    <col min="14097" max="14097" width="11.21875" customWidth="1"/>
    <col min="14098" max="14098" width="9.6640625" customWidth="1"/>
    <col min="14099" max="14099" width="12.109375" customWidth="1"/>
    <col min="14338" max="14338" width="11" bestFit="1" customWidth="1"/>
    <col min="14339" max="14339" width="9" customWidth="1"/>
    <col min="14353" max="14353" width="11.21875" customWidth="1"/>
    <col min="14354" max="14354" width="9.6640625" customWidth="1"/>
    <col min="14355" max="14355" width="12.109375" customWidth="1"/>
    <col min="14594" max="14594" width="11" bestFit="1" customWidth="1"/>
    <col min="14595" max="14595" width="9" customWidth="1"/>
    <col min="14609" max="14609" width="11.21875" customWidth="1"/>
    <col min="14610" max="14610" width="9.6640625" customWidth="1"/>
    <col min="14611" max="14611" width="12.109375" customWidth="1"/>
    <col min="14850" max="14850" width="11" bestFit="1" customWidth="1"/>
    <col min="14851" max="14851" width="9" customWidth="1"/>
    <col min="14865" max="14865" width="11.21875" customWidth="1"/>
    <col min="14866" max="14866" width="9.6640625" customWidth="1"/>
    <col min="14867" max="14867" width="12.109375" customWidth="1"/>
    <col min="15106" max="15106" width="11" bestFit="1" customWidth="1"/>
    <col min="15107" max="15107" width="9" customWidth="1"/>
    <col min="15121" max="15121" width="11.21875" customWidth="1"/>
    <col min="15122" max="15122" width="9.6640625" customWidth="1"/>
    <col min="15123" max="15123" width="12.109375" customWidth="1"/>
    <col min="15362" max="15362" width="11" bestFit="1" customWidth="1"/>
    <col min="15363" max="15363" width="9" customWidth="1"/>
    <col min="15377" max="15377" width="11.21875" customWidth="1"/>
    <col min="15378" max="15378" width="9.6640625" customWidth="1"/>
    <col min="15379" max="15379" width="12.109375" customWidth="1"/>
    <col min="15618" max="15618" width="11" bestFit="1" customWidth="1"/>
    <col min="15619" max="15619" width="9" customWidth="1"/>
    <col min="15633" max="15633" width="11.21875" customWidth="1"/>
    <col min="15634" max="15634" width="9.6640625" customWidth="1"/>
    <col min="15635" max="15635" width="12.109375" customWidth="1"/>
    <col min="15874" max="15874" width="11" bestFit="1" customWidth="1"/>
    <col min="15875" max="15875" width="9" customWidth="1"/>
    <col min="15889" max="15889" width="11.21875" customWidth="1"/>
    <col min="15890" max="15890" width="9.6640625" customWidth="1"/>
    <col min="15891" max="15891" width="12.109375" customWidth="1"/>
    <col min="16130" max="16130" width="11" bestFit="1" customWidth="1"/>
    <col min="16131" max="16131" width="9" customWidth="1"/>
    <col min="16145" max="16145" width="11.21875" customWidth="1"/>
    <col min="16146" max="16146" width="9.6640625" customWidth="1"/>
    <col min="16147" max="16147" width="12.109375" customWidth="1"/>
  </cols>
  <sheetData>
    <row r="1" spans="1:19" x14ac:dyDescent="0.25">
      <c r="A1" t="s">
        <v>0</v>
      </c>
      <c r="B1" t="s">
        <v>1</v>
      </c>
      <c r="C1" s="1" t="s">
        <v>2</v>
      </c>
      <c r="D1" t="s">
        <v>3</v>
      </c>
      <c r="E1" s="27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s="2" customFormat="1" ht="13.95" hidden="1" x14ac:dyDescent="0.25">
      <c r="A2" s="2">
        <v>20160321</v>
      </c>
      <c r="B2" s="2" t="s">
        <v>19</v>
      </c>
      <c r="C2" s="3">
        <v>0</v>
      </c>
      <c r="D2" s="2">
        <v>0</v>
      </c>
      <c r="E2" s="2">
        <f>H2</f>
        <v>24.57</v>
      </c>
      <c r="F2" s="2">
        <v>0</v>
      </c>
      <c r="G2" s="2">
        <v>0</v>
      </c>
      <c r="H2" s="2">
        <v>24.57</v>
      </c>
      <c r="I2" s="2">
        <v>35425.64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9" s="2" customFormat="1" ht="13.95" hidden="1" x14ac:dyDescent="0.25">
      <c r="A3" s="2">
        <v>20151221</v>
      </c>
      <c r="B3" s="2" t="s">
        <v>19</v>
      </c>
      <c r="C3" s="3">
        <v>0</v>
      </c>
      <c r="D3" s="2">
        <v>0</v>
      </c>
      <c r="E3" s="2">
        <f>H3</f>
        <v>11.52</v>
      </c>
      <c r="F3" s="2">
        <v>0</v>
      </c>
      <c r="G3" s="2">
        <v>0</v>
      </c>
      <c r="H3" s="2">
        <v>11.52</v>
      </c>
      <c r="I3" s="2">
        <v>26529.81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9" ht="13.95" hidden="1" x14ac:dyDescent="0.25">
      <c r="A4">
        <v>20160426</v>
      </c>
      <c r="B4" t="s">
        <v>20</v>
      </c>
      <c r="C4" s="1">
        <v>0</v>
      </c>
      <c r="D4">
        <v>0</v>
      </c>
      <c r="F4">
        <v>0</v>
      </c>
      <c r="G4">
        <v>0</v>
      </c>
      <c r="H4">
        <v>25000</v>
      </c>
      <c r="I4">
        <v>35920.550000000003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9" ht="13.95" hidden="1" x14ac:dyDescent="0.25">
      <c r="A5">
        <v>20160216</v>
      </c>
      <c r="B5" t="s">
        <v>20</v>
      </c>
      <c r="C5" s="1">
        <v>0</v>
      </c>
      <c r="D5">
        <v>0</v>
      </c>
      <c r="F5">
        <v>0</v>
      </c>
      <c r="G5">
        <v>0</v>
      </c>
      <c r="H5">
        <v>30000</v>
      </c>
      <c r="I5">
        <v>48751.41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9" ht="13.95" hidden="1" x14ac:dyDescent="0.25">
      <c r="A6">
        <v>20160121</v>
      </c>
      <c r="B6" t="s">
        <v>20</v>
      </c>
      <c r="C6" s="1">
        <v>0</v>
      </c>
      <c r="D6">
        <v>0</v>
      </c>
      <c r="F6">
        <v>0</v>
      </c>
      <c r="G6">
        <v>0</v>
      </c>
      <c r="H6">
        <v>30000</v>
      </c>
      <c r="I6">
        <v>56529.81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9" ht="13.95" hidden="1" x14ac:dyDescent="0.25">
      <c r="A7">
        <v>20160127</v>
      </c>
      <c r="B7" t="s">
        <v>20</v>
      </c>
      <c r="C7" s="1">
        <v>0</v>
      </c>
      <c r="D7">
        <v>0</v>
      </c>
      <c r="F7">
        <v>0</v>
      </c>
      <c r="G7">
        <v>0</v>
      </c>
      <c r="H7">
        <v>20000</v>
      </c>
      <c r="I7">
        <v>23707.24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9" ht="13.95" hidden="1" x14ac:dyDescent="0.25">
      <c r="A8">
        <v>20151013</v>
      </c>
      <c r="B8" t="s">
        <v>20</v>
      </c>
      <c r="C8" s="1">
        <v>0</v>
      </c>
      <c r="D8">
        <v>0</v>
      </c>
      <c r="F8">
        <v>0</v>
      </c>
      <c r="G8">
        <v>0</v>
      </c>
      <c r="H8">
        <v>10000</v>
      </c>
      <c r="I8">
        <v>10305.35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9" s="4" customFormat="1" ht="13.95" hidden="1" x14ac:dyDescent="0.25">
      <c r="A9" s="4">
        <v>20151015</v>
      </c>
      <c r="B9" s="4" t="s">
        <v>21</v>
      </c>
      <c r="C9" s="5">
        <v>510300</v>
      </c>
      <c r="D9" s="4" t="s">
        <v>22</v>
      </c>
      <c r="F9" s="4">
        <v>3.496</v>
      </c>
      <c r="G9" s="4">
        <v>2900</v>
      </c>
      <c r="H9" s="4">
        <v>4300</v>
      </c>
      <c r="I9" s="4">
        <v>10138.4</v>
      </c>
      <c r="J9" s="4">
        <v>-10143.4</v>
      </c>
      <c r="K9" s="4">
        <v>161.94999999999999</v>
      </c>
      <c r="L9" s="4">
        <v>0</v>
      </c>
      <c r="M9" s="4">
        <v>0</v>
      </c>
      <c r="N9" s="4">
        <v>4.54</v>
      </c>
      <c r="O9" s="4">
        <v>0.46</v>
      </c>
      <c r="P9" s="4">
        <v>0</v>
      </c>
      <c r="Q9" s="4">
        <v>1090002867</v>
      </c>
      <c r="R9" s="4">
        <v>5954439</v>
      </c>
      <c r="S9" s="4" t="s">
        <v>23</v>
      </c>
    </row>
    <row r="10" spans="1:19" s="4" customFormat="1" ht="13.95" hidden="1" x14ac:dyDescent="0.25">
      <c r="A10" s="6">
        <v>20151106</v>
      </c>
      <c r="B10" s="6" t="s">
        <v>24</v>
      </c>
      <c r="C10" s="7">
        <v>510300</v>
      </c>
      <c r="D10" s="6" t="s">
        <v>22</v>
      </c>
      <c r="E10" s="8"/>
      <c r="F10" s="6">
        <v>3.85</v>
      </c>
      <c r="G10" s="6">
        <v>4300</v>
      </c>
      <c r="H10" s="6">
        <v>0</v>
      </c>
      <c r="I10" s="6">
        <v>16555</v>
      </c>
      <c r="J10" s="6">
        <v>16550</v>
      </c>
      <c r="K10" s="6">
        <v>26518.29</v>
      </c>
      <c r="L10" s="6">
        <v>0</v>
      </c>
      <c r="M10" s="6">
        <v>0</v>
      </c>
      <c r="N10" s="6">
        <v>4.26</v>
      </c>
      <c r="O10" s="6">
        <v>0.74</v>
      </c>
      <c r="P10" s="6">
        <v>0</v>
      </c>
      <c r="Q10" s="6">
        <v>1090006601</v>
      </c>
      <c r="R10" s="6">
        <v>15999681</v>
      </c>
      <c r="S10" s="6" t="s">
        <v>23</v>
      </c>
    </row>
    <row r="11" spans="1:19" s="4" customFormat="1" ht="13.95" hidden="1" x14ac:dyDescent="0.25">
      <c r="A11" s="6">
        <v>20151105</v>
      </c>
      <c r="B11" s="6" t="s">
        <v>24</v>
      </c>
      <c r="C11" s="7">
        <v>518880</v>
      </c>
      <c r="D11" s="6" t="s">
        <v>25</v>
      </c>
      <c r="E11" s="6"/>
      <c r="F11" s="6">
        <v>2.2810000000000001</v>
      </c>
      <c r="G11" s="6">
        <v>4300</v>
      </c>
      <c r="H11" s="6">
        <v>0</v>
      </c>
      <c r="I11" s="6">
        <v>9808.2999999999993</v>
      </c>
      <c r="J11" s="6">
        <v>9806.34</v>
      </c>
      <c r="K11" s="6">
        <v>9968.2900000000009</v>
      </c>
      <c r="L11" s="6">
        <v>0</v>
      </c>
      <c r="M11" s="6">
        <v>0</v>
      </c>
      <c r="N11" s="6">
        <v>1.52</v>
      </c>
      <c r="O11" s="6">
        <v>0.44</v>
      </c>
      <c r="P11" s="6">
        <v>0</v>
      </c>
      <c r="Q11" s="6">
        <v>1090009566</v>
      </c>
      <c r="R11" s="6">
        <v>24627294</v>
      </c>
      <c r="S11" s="6" t="s">
        <v>23</v>
      </c>
    </row>
    <row r="12" spans="1:19" s="4" customFormat="1" ht="13.95" hidden="1" x14ac:dyDescent="0.25">
      <c r="A12" s="4">
        <v>20160429</v>
      </c>
      <c r="B12" s="4" t="s">
        <v>21</v>
      </c>
      <c r="C12" s="5">
        <v>600319</v>
      </c>
      <c r="D12" s="4" t="s">
        <v>26</v>
      </c>
      <c r="F12" s="4">
        <v>8.1300000000000008</v>
      </c>
      <c r="G12" s="4">
        <v>1600</v>
      </c>
      <c r="H12" s="4">
        <v>1600</v>
      </c>
      <c r="I12" s="4">
        <v>13008</v>
      </c>
      <c r="J12" s="4">
        <v>-13013.26</v>
      </c>
      <c r="K12" s="4">
        <v>31980.14</v>
      </c>
      <c r="L12" s="4">
        <v>0</v>
      </c>
      <c r="M12" s="4">
        <v>0.26</v>
      </c>
      <c r="N12" s="4">
        <v>4.1100000000000003</v>
      </c>
      <c r="O12" s="4">
        <v>0.89</v>
      </c>
      <c r="P12" s="4">
        <v>0</v>
      </c>
      <c r="Q12" s="4">
        <v>1090000913</v>
      </c>
      <c r="R12" s="4">
        <v>1929737</v>
      </c>
      <c r="S12" s="4" t="s">
        <v>23</v>
      </c>
    </row>
    <row r="13" spans="1:19" s="4" customFormat="1" ht="13.95" hidden="1" x14ac:dyDescent="0.25">
      <c r="A13" s="6">
        <v>20160519</v>
      </c>
      <c r="B13" s="6" t="s">
        <v>24</v>
      </c>
      <c r="C13" s="7">
        <v>600319</v>
      </c>
      <c r="D13" s="6" t="s">
        <v>26</v>
      </c>
      <c r="E13" s="6">
        <f>J13+J12</f>
        <v>1622.7899999999991</v>
      </c>
      <c r="F13" s="6">
        <v>9.16</v>
      </c>
      <c r="G13" s="6">
        <v>1600</v>
      </c>
      <c r="H13" s="6">
        <v>0</v>
      </c>
      <c r="I13" s="6">
        <v>14656</v>
      </c>
      <c r="J13" s="6">
        <v>14636.05</v>
      </c>
      <c r="K13" s="6">
        <v>58414.19</v>
      </c>
      <c r="L13" s="6">
        <v>14.66</v>
      </c>
      <c r="M13" s="6">
        <v>0.28999999999999998</v>
      </c>
      <c r="N13" s="6">
        <v>4</v>
      </c>
      <c r="O13" s="6">
        <v>1</v>
      </c>
      <c r="P13" s="6">
        <v>0</v>
      </c>
      <c r="Q13" s="6">
        <v>1090001735</v>
      </c>
      <c r="R13" s="6">
        <v>3627304</v>
      </c>
      <c r="S13" s="6" t="s">
        <v>23</v>
      </c>
    </row>
    <row r="14" spans="1:19" s="4" customFormat="1" ht="13.95" hidden="1" x14ac:dyDescent="0.25">
      <c r="A14" s="4">
        <v>20160217</v>
      </c>
      <c r="B14" s="4" t="s">
        <v>21</v>
      </c>
      <c r="C14" s="5">
        <v>159915</v>
      </c>
      <c r="D14" s="4" t="s">
        <v>27</v>
      </c>
      <c r="F14" s="4">
        <v>2.0950000000000002</v>
      </c>
      <c r="G14" s="4">
        <v>5000</v>
      </c>
      <c r="H14" s="4">
        <v>5000</v>
      </c>
      <c r="I14" s="4">
        <v>10475</v>
      </c>
      <c r="J14" s="4">
        <v>-10480</v>
      </c>
      <c r="K14" s="4">
        <v>33031.410000000003</v>
      </c>
      <c r="L14" s="4">
        <v>0</v>
      </c>
      <c r="M14" s="4">
        <v>0</v>
      </c>
      <c r="N14" s="4">
        <v>4.49</v>
      </c>
      <c r="O14" s="4">
        <v>0.51</v>
      </c>
      <c r="P14" s="4">
        <v>0</v>
      </c>
      <c r="Q14" s="4" t="s">
        <v>28</v>
      </c>
      <c r="R14" s="4">
        <v>392970</v>
      </c>
      <c r="S14" s="4">
        <v>114530373</v>
      </c>
    </row>
    <row r="15" spans="1:19" s="4" customFormat="1" ht="13.95" hidden="1" x14ac:dyDescent="0.25">
      <c r="A15" s="4">
        <v>20160224</v>
      </c>
      <c r="B15" s="4" t="s">
        <v>21</v>
      </c>
      <c r="C15" s="5">
        <v>159915</v>
      </c>
      <c r="D15" s="4" t="s">
        <v>27</v>
      </c>
      <c r="F15" s="4">
        <v>2.08</v>
      </c>
      <c r="G15" s="4">
        <v>5000</v>
      </c>
      <c r="H15" s="4">
        <v>10000</v>
      </c>
      <c r="I15" s="4">
        <v>10400</v>
      </c>
      <c r="J15" s="4">
        <v>-10405</v>
      </c>
      <c r="K15" s="4">
        <v>22626.41</v>
      </c>
      <c r="L15" s="4">
        <v>0</v>
      </c>
      <c r="M15" s="4">
        <v>0</v>
      </c>
      <c r="N15" s="4">
        <v>4.49</v>
      </c>
      <c r="O15" s="4">
        <v>0.51</v>
      </c>
      <c r="P15" s="4">
        <v>0</v>
      </c>
      <c r="Q15" s="4" t="s">
        <v>29</v>
      </c>
      <c r="R15" s="4">
        <v>13842855</v>
      </c>
      <c r="S15" s="4">
        <v>114530373</v>
      </c>
    </row>
    <row r="16" spans="1:19" s="4" customFormat="1" ht="13.95" hidden="1" x14ac:dyDescent="0.25">
      <c r="A16" s="6">
        <v>20160229</v>
      </c>
      <c r="B16" s="6" t="s">
        <v>24</v>
      </c>
      <c r="C16" s="7">
        <v>159915</v>
      </c>
      <c r="D16" s="6" t="s">
        <v>27</v>
      </c>
      <c r="E16" s="6">
        <f>J14+J15+J16</f>
        <v>-3100.34</v>
      </c>
      <c r="F16" s="6">
        <v>1.7789999999999999</v>
      </c>
      <c r="G16" s="6">
        <v>10000</v>
      </c>
      <c r="H16" s="6">
        <v>0</v>
      </c>
      <c r="I16" s="6">
        <v>17790</v>
      </c>
      <c r="J16" s="6">
        <v>17784.66</v>
      </c>
      <c r="K16" s="6">
        <v>40411.07</v>
      </c>
      <c r="L16" s="6">
        <v>0</v>
      </c>
      <c r="M16" s="6">
        <v>0</v>
      </c>
      <c r="N16" s="6">
        <v>4.47</v>
      </c>
      <c r="O16" s="6">
        <v>0.87</v>
      </c>
      <c r="P16" s="6">
        <v>0</v>
      </c>
      <c r="Q16" s="6" t="s">
        <v>30</v>
      </c>
      <c r="R16" s="6">
        <v>22863698</v>
      </c>
      <c r="S16" s="6">
        <v>114530373</v>
      </c>
    </row>
    <row r="17" spans="1:19" s="4" customFormat="1" ht="13.95" hidden="1" x14ac:dyDescent="0.25">
      <c r="A17" s="4">
        <v>20160322</v>
      </c>
      <c r="B17" s="4" t="s">
        <v>21</v>
      </c>
      <c r="C17" s="5">
        <v>159915</v>
      </c>
      <c r="D17" s="4" t="s">
        <v>27</v>
      </c>
      <c r="F17" s="4">
        <v>2.12</v>
      </c>
      <c r="G17" s="4">
        <v>5000</v>
      </c>
      <c r="H17" s="4">
        <v>5000</v>
      </c>
      <c r="I17" s="4">
        <v>10600</v>
      </c>
      <c r="J17" s="4">
        <v>-10605</v>
      </c>
      <c r="K17" s="4">
        <v>24820.639999999999</v>
      </c>
      <c r="L17" s="4">
        <v>0</v>
      </c>
      <c r="M17" s="4">
        <v>0</v>
      </c>
      <c r="N17" s="4">
        <v>4.4800000000000004</v>
      </c>
      <c r="O17" s="4">
        <v>0.52</v>
      </c>
      <c r="P17" s="4">
        <v>0</v>
      </c>
      <c r="Q17" s="4" t="s">
        <v>31</v>
      </c>
      <c r="R17" s="4">
        <v>21854051</v>
      </c>
      <c r="S17" s="4">
        <v>114530373</v>
      </c>
    </row>
    <row r="18" spans="1:19" s="4" customFormat="1" ht="13.95" hidden="1" x14ac:dyDescent="0.25">
      <c r="A18" s="6">
        <v>20160429</v>
      </c>
      <c r="B18" s="6" t="s">
        <v>24</v>
      </c>
      <c r="C18" s="7">
        <v>159915</v>
      </c>
      <c r="D18" s="6" t="s">
        <v>27</v>
      </c>
      <c r="E18" s="6">
        <f>J18+J17</f>
        <v>-345</v>
      </c>
      <c r="F18" s="6">
        <v>2.0529999999999999</v>
      </c>
      <c r="G18" s="6">
        <v>5000</v>
      </c>
      <c r="H18" s="6">
        <v>0</v>
      </c>
      <c r="I18" s="6">
        <v>10265</v>
      </c>
      <c r="J18" s="6">
        <v>10260</v>
      </c>
      <c r="K18" s="6">
        <v>44993.4</v>
      </c>
      <c r="L18" s="6">
        <v>0</v>
      </c>
      <c r="M18" s="6">
        <v>0</v>
      </c>
      <c r="N18" s="6">
        <v>4.5</v>
      </c>
      <c r="O18" s="6">
        <v>0.5</v>
      </c>
      <c r="P18" s="6">
        <v>0</v>
      </c>
      <c r="Q18" s="6" t="s">
        <v>32</v>
      </c>
      <c r="R18" s="6">
        <v>8455560</v>
      </c>
      <c r="S18" s="6">
        <v>114530373</v>
      </c>
    </row>
    <row r="19" spans="1:19" s="4" customFormat="1" ht="13.95" hidden="1" x14ac:dyDescent="0.25">
      <c r="A19" s="4">
        <v>20160405</v>
      </c>
      <c r="B19" s="4" t="s">
        <v>21</v>
      </c>
      <c r="C19" s="5">
        <v>160216</v>
      </c>
      <c r="D19" s="4" t="s">
        <v>33</v>
      </c>
      <c r="F19" s="4">
        <v>0.35</v>
      </c>
      <c r="G19" s="4">
        <v>15000</v>
      </c>
      <c r="H19" s="4">
        <v>58000</v>
      </c>
      <c r="I19" s="4">
        <v>5250</v>
      </c>
      <c r="J19" s="4">
        <v>-5255</v>
      </c>
      <c r="K19" s="4">
        <v>7979.91</v>
      </c>
      <c r="L19" s="4">
        <v>0</v>
      </c>
      <c r="M19" s="4">
        <v>0</v>
      </c>
      <c r="N19" s="4">
        <v>4.74</v>
      </c>
      <c r="O19" s="4">
        <v>0.26</v>
      </c>
      <c r="P19" s="4">
        <v>0</v>
      </c>
      <c r="Q19" s="4" t="s">
        <v>34</v>
      </c>
      <c r="R19" s="4">
        <v>6918293</v>
      </c>
      <c r="S19" s="4">
        <v>114530373</v>
      </c>
    </row>
    <row r="20" spans="1:19" s="4" customFormat="1" ht="13.95" hidden="1" x14ac:dyDescent="0.25">
      <c r="A20" s="4">
        <v>20160204</v>
      </c>
      <c r="B20" s="4" t="s">
        <v>21</v>
      </c>
      <c r="C20" s="5">
        <v>160216</v>
      </c>
      <c r="D20" s="4" t="s">
        <v>33</v>
      </c>
      <c r="F20" s="4">
        <v>0.35499999999999998</v>
      </c>
      <c r="G20" s="4">
        <v>15000</v>
      </c>
      <c r="H20" s="4">
        <v>15000</v>
      </c>
      <c r="I20" s="4">
        <v>5325</v>
      </c>
      <c r="J20" s="4">
        <v>-5330</v>
      </c>
      <c r="K20" s="4">
        <v>18751.41</v>
      </c>
      <c r="L20" s="4">
        <v>0</v>
      </c>
      <c r="M20" s="4">
        <v>0</v>
      </c>
      <c r="N20" s="4">
        <v>4.74</v>
      </c>
      <c r="O20" s="4">
        <v>0.26</v>
      </c>
      <c r="P20" s="4">
        <v>0</v>
      </c>
      <c r="Q20" s="4" t="s">
        <v>35</v>
      </c>
      <c r="R20" s="4">
        <v>5092725</v>
      </c>
      <c r="S20" s="4">
        <v>114530373</v>
      </c>
    </row>
    <row r="21" spans="1:19" s="4" customFormat="1" ht="13.95" hidden="1" x14ac:dyDescent="0.25">
      <c r="A21" s="4">
        <v>20160217</v>
      </c>
      <c r="B21" s="4" t="s">
        <v>21</v>
      </c>
      <c r="C21" s="5">
        <v>160216</v>
      </c>
      <c r="D21" s="4" t="s">
        <v>33</v>
      </c>
      <c r="F21" s="4">
        <v>0.34899999999999998</v>
      </c>
      <c r="G21" s="4">
        <v>15000</v>
      </c>
      <c r="H21" s="4">
        <v>30000</v>
      </c>
      <c r="I21" s="4">
        <v>5235</v>
      </c>
      <c r="J21" s="4">
        <v>-5240</v>
      </c>
      <c r="K21" s="4">
        <v>43511.41</v>
      </c>
      <c r="L21" s="4">
        <v>0</v>
      </c>
      <c r="M21" s="4">
        <v>0</v>
      </c>
      <c r="N21" s="4">
        <v>4.75</v>
      </c>
      <c r="O21" s="4">
        <v>0.25</v>
      </c>
      <c r="P21" s="4">
        <v>0</v>
      </c>
      <c r="Q21" s="4" t="s">
        <v>36</v>
      </c>
      <c r="R21" s="4">
        <v>663725</v>
      </c>
      <c r="S21" s="4">
        <v>114530373</v>
      </c>
    </row>
    <row r="22" spans="1:19" s="4" customFormat="1" ht="13.95" hidden="1" x14ac:dyDescent="0.25">
      <c r="A22" s="4">
        <v>20160314</v>
      </c>
      <c r="B22" s="4" t="s">
        <v>21</v>
      </c>
      <c r="C22" s="5">
        <v>160216</v>
      </c>
      <c r="D22" s="4" t="s">
        <v>33</v>
      </c>
      <c r="F22" s="4">
        <v>0.38500000000000001</v>
      </c>
      <c r="G22" s="4">
        <v>13000</v>
      </c>
      <c r="H22" s="4">
        <v>43000</v>
      </c>
      <c r="I22" s="4">
        <v>5005</v>
      </c>
      <c r="J22" s="4">
        <v>-5010</v>
      </c>
      <c r="K22" s="4">
        <v>35401.07</v>
      </c>
      <c r="L22" s="4">
        <v>0</v>
      </c>
      <c r="M22" s="4">
        <v>0</v>
      </c>
      <c r="N22" s="4">
        <v>4.76</v>
      </c>
      <c r="O22" s="4">
        <v>0.24</v>
      </c>
      <c r="P22" s="4">
        <v>0</v>
      </c>
      <c r="Q22" s="4" t="s">
        <v>37</v>
      </c>
      <c r="R22" s="4">
        <v>13291047</v>
      </c>
      <c r="S22" s="4">
        <v>114530373</v>
      </c>
    </row>
    <row r="23" spans="1:19" s="4" customFormat="1" ht="13.95" hidden="1" x14ac:dyDescent="0.25">
      <c r="A23" s="6">
        <v>20160429</v>
      </c>
      <c r="B23" s="6" t="s">
        <v>24</v>
      </c>
      <c r="C23" s="7">
        <v>160216</v>
      </c>
      <c r="D23" s="6" t="s">
        <v>33</v>
      </c>
      <c r="E23" s="6"/>
      <c r="F23" s="6">
        <v>0.41799999999999998</v>
      </c>
      <c r="G23" s="6">
        <v>29000</v>
      </c>
      <c r="H23" s="6">
        <v>29000</v>
      </c>
      <c r="I23" s="6">
        <v>12122</v>
      </c>
      <c r="J23" s="6">
        <v>12117</v>
      </c>
      <c r="K23" s="6">
        <v>25585.56</v>
      </c>
      <c r="L23" s="6">
        <v>0</v>
      </c>
      <c r="M23" s="6">
        <v>0</v>
      </c>
      <c r="N23" s="6">
        <v>4.41</v>
      </c>
      <c r="O23" s="6">
        <v>0.59</v>
      </c>
      <c r="P23" s="6">
        <v>0</v>
      </c>
      <c r="Q23" s="6" t="s">
        <v>38</v>
      </c>
      <c r="R23" s="6">
        <v>8433570</v>
      </c>
      <c r="S23" s="6">
        <v>114530373</v>
      </c>
    </row>
    <row r="24" spans="1:19" s="4" customFormat="1" ht="13.95" hidden="1" x14ac:dyDescent="0.25">
      <c r="A24" s="6">
        <v>20160505</v>
      </c>
      <c r="B24" s="6" t="s">
        <v>24</v>
      </c>
      <c r="C24" s="7">
        <v>160216</v>
      </c>
      <c r="D24" s="6" t="s">
        <v>33</v>
      </c>
      <c r="E24" s="6">
        <f>SUM(J19:J24)</f>
        <v>3080</v>
      </c>
      <c r="F24" s="6">
        <v>0.40699999999999997</v>
      </c>
      <c r="G24" s="6">
        <v>29000</v>
      </c>
      <c r="H24" s="6">
        <v>0</v>
      </c>
      <c r="I24" s="6">
        <v>11803</v>
      </c>
      <c r="J24" s="6">
        <v>11798</v>
      </c>
      <c r="K24" s="6">
        <v>43778.14</v>
      </c>
      <c r="L24" s="6">
        <v>0</v>
      </c>
      <c r="M24" s="6">
        <v>0</v>
      </c>
      <c r="N24" s="6">
        <v>4.43</v>
      </c>
      <c r="O24" s="6">
        <v>0.56999999999999995</v>
      </c>
      <c r="P24" s="6">
        <v>0</v>
      </c>
      <c r="Q24" s="6" t="s">
        <v>39</v>
      </c>
      <c r="R24" s="6">
        <v>20103041</v>
      </c>
      <c r="S24" s="6">
        <v>114530373</v>
      </c>
    </row>
    <row r="25" spans="1:19" s="4" customFormat="1" ht="13.95" hidden="1" x14ac:dyDescent="0.25">
      <c r="A25" s="4">
        <v>20160129</v>
      </c>
      <c r="B25" s="4" t="s">
        <v>21</v>
      </c>
      <c r="C25" s="5">
        <v>600029</v>
      </c>
      <c r="D25" s="4" t="s">
        <v>40</v>
      </c>
      <c r="F25" s="4">
        <v>6.1</v>
      </c>
      <c r="G25" s="4">
        <v>1800</v>
      </c>
      <c r="H25" s="4">
        <v>1800</v>
      </c>
      <c r="I25" s="4">
        <v>10980</v>
      </c>
      <c r="J25" s="4">
        <v>-10985.22</v>
      </c>
      <c r="K25" s="4">
        <v>12722.02</v>
      </c>
      <c r="L25" s="4">
        <v>0</v>
      </c>
      <c r="M25" s="4">
        <v>0.22</v>
      </c>
      <c r="N25" s="4">
        <v>4.25</v>
      </c>
      <c r="O25" s="4">
        <v>0.75</v>
      </c>
      <c r="P25" s="4">
        <v>0</v>
      </c>
      <c r="Q25" s="4">
        <v>1090000219</v>
      </c>
      <c r="R25" s="4">
        <v>1207758</v>
      </c>
      <c r="S25" s="4" t="s">
        <v>23</v>
      </c>
    </row>
    <row r="26" spans="1:19" s="6" customFormat="1" ht="13.95" hidden="1" x14ac:dyDescent="0.25">
      <c r="A26" s="6">
        <v>20160201</v>
      </c>
      <c r="B26" s="6" t="s">
        <v>24</v>
      </c>
      <c r="C26" s="7">
        <v>600029</v>
      </c>
      <c r="D26" s="6" t="s">
        <v>40</v>
      </c>
      <c r="E26" s="6">
        <f>J26+J25</f>
        <v>374.17000000000007</v>
      </c>
      <c r="F26" s="6">
        <v>6.32</v>
      </c>
      <c r="G26" s="6">
        <v>1800</v>
      </c>
      <c r="H26" s="6">
        <v>0</v>
      </c>
      <c r="I26" s="6">
        <v>11376</v>
      </c>
      <c r="J26" s="6">
        <v>11359.39</v>
      </c>
      <c r="K26" s="6">
        <v>24081.41</v>
      </c>
      <c r="L26" s="6">
        <v>11.38</v>
      </c>
      <c r="M26" s="6">
        <v>0.23</v>
      </c>
      <c r="N26" s="6">
        <v>4.22</v>
      </c>
      <c r="O26" s="6">
        <v>0.78</v>
      </c>
      <c r="P26" s="6">
        <v>0</v>
      </c>
      <c r="Q26" s="6">
        <v>1090000083</v>
      </c>
      <c r="R26" s="6">
        <v>511015</v>
      </c>
      <c r="S26" s="6" t="s">
        <v>23</v>
      </c>
    </row>
    <row r="27" spans="1:19" s="6" customFormat="1" ht="13.95" hidden="1" x14ac:dyDescent="0.25">
      <c r="A27" s="4">
        <v>20160331</v>
      </c>
      <c r="B27" s="4" t="s">
        <v>21</v>
      </c>
      <c r="C27" s="9" t="s">
        <v>41</v>
      </c>
      <c r="D27" s="4" t="s">
        <v>42</v>
      </c>
      <c r="E27" s="4"/>
      <c r="F27" s="4">
        <v>31</v>
      </c>
      <c r="G27" s="4">
        <v>200</v>
      </c>
      <c r="H27" s="4">
        <v>200</v>
      </c>
      <c r="I27" s="4">
        <v>6200</v>
      </c>
      <c r="J27" s="4">
        <v>-6205</v>
      </c>
      <c r="K27" s="4">
        <v>18615.64</v>
      </c>
      <c r="L27" s="4">
        <v>0</v>
      </c>
      <c r="M27" s="4">
        <v>0</v>
      </c>
      <c r="N27" s="4">
        <v>4.46</v>
      </c>
      <c r="O27" s="4">
        <v>0.54</v>
      </c>
      <c r="P27" s="4">
        <v>0</v>
      </c>
      <c r="Q27" s="4" t="s">
        <v>43</v>
      </c>
      <c r="R27" s="4">
        <v>1331710</v>
      </c>
      <c r="S27" s="4">
        <v>114530373</v>
      </c>
    </row>
    <row r="28" spans="1:19" s="6" customFormat="1" ht="13.95" hidden="1" x14ac:dyDescent="0.25">
      <c r="A28" s="6">
        <v>20160401</v>
      </c>
      <c r="B28" s="6" t="s">
        <v>24</v>
      </c>
      <c r="C28" s="10" t="s">
        <v>41</v>
      </c>
      <c r="D28" s="6" t="s">
        <v>42</v>
      </c>
      <c r="E28" s="6">
        <f>J28+J27</f>
        <v>509.27000000000044</v>
      </c>
      <c r="F28" s="6">
        <v>33.630000000000003</v>
      </c>
      <c r="G28" s="6">
        <v>200</v>
      </c>
      <c r="H28" s="6">
        <v>0</v>
      </c>
      <c r="I28" s="6">
        <v>6726</v>
      </c>
      <c r="J28" s="6">
        <v>6714.27</v>
      </c>
      <c r="K28" s="6">
        <v>25329.91</v>
      </c>
      <c r="L28" s="6">
        <v>6.73</v>
      </c>
      <c r="M28" s="6">
        <v>0</v>
      </c>
      <c r="N28" s="6">
        <v>4.41</v>
      </c>
      <c r="O28" s="6">
        <v>0.59</v>
      </c>
      <c r="P28" s="6">
        <v>0</v>
      </c>
      <c r="Q28" s="6" t="s">
        <v>44</v>
      </c>
      <c r="R28" s="6">
        <v>7084504</v>
      </c>
      <c r="S28" s="6">
        <v>114530373</v>
      </c>
    </row>
    <row r="29" spans="1:19" s="6" customFormat="1" ht="13.95" hidden="1" x14ac:dyDescent="0.25">
      <c r="A29" s="4">
        <v>20160401</v>
      </c>
      <c r="B29" s="4" t="s">
        <v>21</v>
      </c>
      <c r="C29" s="9" t="s">
        <v>45</v>
      </c>
      <c r="D29" s="4" t="s">
        <v>46</v>
      </c>
      <c r="E29" s="4"/>
      <c r="F29" s="4">
        <v>120.9</v>
      </c>
      <c r="G29" s="4">
        <v>100</v>
      </c>
      <c r="H29" s="4">
        <v>100</v>
      </c>
      <c r="I29" s="4">
        <v>12090</v>
      </c>
      <c r="J29" s="4">
        <v>-12095</v>
      </c>
      <c r="K29" s="4">
        <v>13234.91</v>
      </c>
      <c r="L29" s="4">
        <v>0</v>
      </c>
      <c r="M29" s="4">
        <v>0</v>
      </c>
      <c r="N29" s="4">
        <v>3.93</v>
      </c>
      <c r="O29" s="4">
        <v>1.07</v>
      </c>
      <c r="P29" s="4">
        <v>0</v>
      </c>
      <c r="Q29" s="4" t="s">
        <v>47</v>
      </c>
      <c r="R29" s="4">
        <v>17463104</v>
      </c>
      <c r="S29" s="4">
        <v>114530373</v>
      </c>
    </row>
    <row r="30" spans="1:19" s="6" customFormat="1" ht="13.95" hidden="1" x14ac:dyDescent="0.25">
      <c r="A30" s="6">
        <v>20160412</v>
      </c>
      <c r="B30" s="6" t="s">
        <v>24</v>
      </c>
      <c r="C30" s="10" t="s">
        <v>48</v>
      </c>
      <c r="D30" s="6" t="s">
        <v>46</v>
      </c>
      <c r="E30" s="6">
        <f>J30+J29</f>
        <v>250.63999999999942</v>
      </c>
      <c r="F30" s="6">
        <v>123.63</v>
      </c>
      <c r="G30" s="6">
        <v>100</v>
      </c>
      <c r="H30" s="6">
        <v>0</v>
      </c>
      <c r="I30" s="6">
        <v>12363</v>
      </c>
      <c r="J30" s="6">
        <v>12345.64</v>
      </c>
      <c r="K30" s="6">
        <v>15085.55</v>
      </c>
      <c r="L30" s="6">
        <v>12.36</v>
      </c>
      <c r="M30" s="6">
        <v>0</v>
      </c>
      <c r="N30" s="6">
        <v>3.9</v>
      </c>
      <c r="O30" s="6">
        <v>1.1000000000000001</v>
      </c>
      <c r="P30" s="6">
        <v>0</v>
      </c>
      <c r="Q30" s="6" t="s">
        <v>49</v>
      </c>
      <c r="R30" s="6">
        <v>14076075</v>
      </c>
      <c r="S30" s="6">
        <v>114530373</v>
      </c>
    </row>
    <row r="31" spans="1:19" s="6" customFormat="1" ht="13.95" hidden="1" x14ac:dyDescent="0.25">
      <c r="A31" s="4">
        <v>20160406</v>
      </c>
      <c r="B31" s="4" t="s">
        <v>21</v>
      </c>
      <c r="C31" s="9" t="s">
        <v>50</v>
      </c>
      <c r="D31" s="4" t="s">
        <v>51</v>
      </c>
      <c r="E31" s="4"/>
      <c r="F31" s="4">
        <v>10.47</v>
      </c>
      <c r="G31" s="4">
        <v>500</v>
      </c>
      <c r="H31" s="4">
        <v>500</v>
      </c>
      <c r="I31" s="4">
        <v>5235</v>
      </c>
      <c r="J31" s="4">
        <v>-5240</v>
      </c>
      <c r="K31" s="4">
        <v>2739.91</v>
      </c>
      <c r="L31" s="4">
        <v>0</v>
      </c>
      <c r="M31" s="4">
        <v>0</v>
      </c>
      <c r="N31" s="4">
        <v>4.55</v>
      </c>
      <c r="O31" s="4">
        <v>0.45</v>
      </c>
      <c r="P31" s="4">
        <v>0</v>
      </c>
      <c r="Q31" s="4" t="s">
        <v>52</v>
      </c>
      <c r="R31" s="4">
        <v>21715313</v>
      </c>
      <c r="S31" s="4">
        <v>114530373</v>
      </c>
    </row>
    <row r="32" spans="1:19" s="6" customFormat="1" ht="13.95" hidden="1" x14ac:dyDescent="0.25">
      <c r="A32" s="4">
        <v>20160412</v>
      </c>
      <c r="B32" s="4" t="s">
        <v>21</v>
      </c>
      <c r="C32" s="9" t="s">
        <v>50</v>
      </c>
      <c r="D32" s="4" t="s">
        <v>51</v>
      </c>
      <c r="E32" s="4"/>
      <c r="F32" s="4">
        <v>10.4</v>
      </c>
      <c r="G32" s="4">
        <v>400</v>
      </c>
      <c r="H32" s="4">
        <v>900</v>
      </c>
      <c r="I32" s="4">
        <v>4160</v>
      </c>
      <c r="J32" s="4">
        <v>-4165</v>
      </c>
      <c r="K32" s="4">
        <v>10920.55</v>
      </c>
      <c r="L32" s="4">
        <v>0</v>
      </c>
      <c r="M32" s="4">
        <v>0</v>
      </c>
      <c r="N32" s="4">
        <v>4.6399999999999997</v>
      </c>
      <c r="O32" s="4">
        <v>0.36</v>
      </c>
      <c r="P32" s="4">
        <v>0</v>
      </c>
      <c r="Q32" s="4" t="s">
        <v>53</v>
      </c>
      <c r="R32" s="4">
        <v>15438780</v>
      </c>
      <c r="S32" s="4">
        <v>114530373</v>
      </c>
    </row>
    <row r="33" spans="1:19" s="6" customFormat="1" ht="13.95" hidden="1" x14ac:dyDescent="0.25">
      <c r="A33" s="6">
        <v>20160429</v>
      </c>
      <c r="B33" s="6" t="s">
        <v>24</v>
      </c>
      <c r="C33" s="10" t="s">
        <v>50</v>
      </c>
      <c r="D33" s="6" t="s">
        <v>51</v>
      </c>
      <c r="E33" s="6">
        <f>J31+J33+J32</f>
        <v>-257.15999999999985</v>
      </c>
      <c r="F33" s="6">
        <v>10.18</v>
      </c>
      <c r="G33" s="6">
        <v>900</v>
      </c>
      <c r="H33" s="6">
        <v>0</v>
      </c>
      <c r="I33" s="6">
        <v>9162</v>
      </c>
      <c r="J33" s="6">
        <v>9147.84</v>
      </c>
      <c r="K33" s="6">
        <v>34733.4</v>
      </c>
      <c r="L33" s="6">
        <v>9.16</v>
      </c>
      <c r="M33" s="6">
        <v>0</v>
      </c>
      <c r="N33" s="6">
        <v>4.1900000000000004</v>
      </c>
      <c r="O33" s="6">
        <v>0.81</v>
      </c>
      <c r="P33" s="6">
        <v>0</v>
      </c>
      <c r="Q33" s="6" t="s">
        <v>54</v>
      </c>
      <c r="R33" s="6">
        <v>8146446</v>
      </c>
      <c r="S33" s="6">
        <v>114530373</v>
      </c>
    </row>
    <row r="34" spans="1:19" s="4" customFormat="1" ht="13.95" hidden="1" x14ac:dyDescent="0.25">
      <c r="A34" s="11">
        <v>20160621</v>
      </c>
      <c r="B34" s="11" t="s">
        <v>19</v>
      </c>
      <c r="C34" s="12">
        <v>0</v>
      </c>
      <c r="D34" s="11">
        <v>0</v>
      </c>
      <c r="E34" s="11">
        <v>25.75</v>
      </c>
      <c r="F34" s="11">
        <v>0</v>
      </c>
      <c r="G34" s="11">
        <v>0</v>
      </c>
      <c r="H34" s="11">
        <v>25.75</v>
      </c>
      <c r="I34" s="11">
        <v>12213.61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/>
      <c r="Q34" s="11"/>
      <c r="R34" s="11"/>
      <c r="S34" s="11"/>
    </row>
    <row r="35" spans="1:19" s="4" customFormat="1" ht="13.95" hidden="1" x14ac:dyDescent="0.25">
      <c r="A35" s="11">
        <v>20160921</v>
      </c>
      <c r="B35" s="11" t="s">
        <v>19</v>
      </c>
      <c r="C35" s="12">
        <v>0</v>
      </c>
      <c r="D35" s="11">
        <v>0</v>
      </c>
      <c r="E35" s="11">
        <v>9.58</v>
      </c>
      <c r="F35" s="11">
        <v>0</v>
      </c>
      <c r="G35" s="11">
        <v>0</v>
      </c>
      <c r="H35" s="11">
        <v>9.58</v>
      </c>
      <c r="I35" s="11">
        <v>685.3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/>
      <c r="Q35" s="11"/>
      <c r="R35" s="11"/>
      <c r="S35" s="11"/>
    </row>
    <row r="36" spans="1:19" s="4" customFormat="1" ht="13.95" hidden="1" x14ac:dyDescent="0.25">
      <c r="A36" s="11">
        <v>20161221</v>
      </c>
      <c r="B36" s="11" t="s">
        <v>19</v>
      </c>
      <c r="C36" s="12">
        <v>0</v>
      </c>
      <c r="D36" s="11">
        <v>0</v>
      </c>
      <c r="E36" s="11">
        <v>2.71</v>
      </c>
      <c r="F36" s="11">
        <v>0</v>
      </c>
      <c r="G36" s="11">
        <v>0</v>
      </c>
      <c r="H36" s="11">
        <v>2.71</v>
      </c>
      <c r="I36" s="11">
        <v>1747.51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/>
      <c r="Q36" s="11"/>
      <c r="R36" s="11"/>
      <c r="S36" s="11"/>
    </row>
    <row r="37" spans="1:19" ht="13.95" hidden="1" x14ac:dyDescent="0.25">
      <c r="A37">
        <v>20161024</v>
      </c>
      <c r="B37" t="s">
        <v>20</v>
      </c>
      <c r="C37" s="1">
        <v>0</v>
      </c>
      <c r="D37">
        <v>0</v>
      </c>
      <c r="F37">
        <v>0</v>
      </c>
      <c r="G37">
        <v>0</v>
      </c>
      <c r="H37">
        <v>20000</v>
      </c>
      <c r="I37">
        <v>20685.3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9" ht="13.95" hidden="1" x14ac:dyDescent="0.25">
      <c r="A38" s="4">
        <v>20160524</v>
      </c>
      <c r="B38" s="4" t="s">
        <v>21</v>
      </c>
      <c r="C38" s="5">
        <v>611</v>
      </c>
      <c r="D38" s="4" t="s">
        <v>55</v>
      </c>
      <c r="E38" s="4"/>
      <c r="F38" s="4">
        <v>8.34</v>
      </c>
      <c r="G38" s="4">
        <v>200</v>
      </c>
      <c r="H38" s="4">
        <v>200</v>
      </c>
      <c r="I38" s="4">
        <v>1668</v>
      </c>
      <c r="J38" s="4">
        <v>-1673</v>
      </c>
      <c r="K38" s="4">
        <v>54424.14</v>
      </c>
      <c r="L38" s="4">
        <v>0</v>
      </c>
      <c r="M38" s="4">
        <v>0</v>
      </c>
      <c r="N38" s="4">
        <v>4.8600000000000003</v>
      </c>
      <c r="O38" s="4">
        <v>0.14000000000000001</v>
      </c>
      <c r="P38" s="4">
        <v>0</v>
      </c>
      <c r="Q38" s="4" t="s">
        <v>36</v>
      </c>
      <c r="R38" s="4">
        <v>338461</v>
      </c>
      <c r="S38" s="4">
        <v>114530373</v>
      </c>
    </row>
    <row r="39" spans="1:19" ht="13.95" hidden="1" x14ac:dyDescent="0.25">
      <c r="A39" s="4">
        <v>20160602</v>
      </c>
      <c r="B39" s="4" t="s">
        <v>21</v>
      </c>
      <c r="C39" s="5">
        <v>611</v>
      </c>
      <c r="D39" s="4" t="s">
        <v>55</v>
      </c>
      <c r="E39" s="4"/>
      <c r="F39" s="4">
        <v>8.51</v>
      </c>
      <c r="G39" s="4">
        <v>1000</v>
      </c>
      <c r="H39" s="4">
        <v>1200</v>
      </c>
      <c r="I39" s="4">
        <v>8510</v>
      </c>
      <c r="J39" s="4">
        <v>-8515</v>
      </c>
      <c r="K39" s="4">
        <v>43902.1</v>
      </c>
      <c r="L39" s="4">
        <v>0</v>
      </c>
      <c r="M39" s="4">
        <v>0</v>
      </c>
      <c r="N39" s="4">
        <v>4.25</v>
      </c>
      <c r="O39" s="4">
        <v>0.75</v>
      </c>
      <c r="P39" s="4">
        <v>0</v>
      </c>
      <c r="Q39" s="4" t="s">
        <v>56</v>
      </c>
      <c r="R39" s="4">
        <v>19656498</v>
      </c>
      <c r="S39" s="4">
        <v>114530373</v>
      </c>
    </row>
    <row r="40" spans="1:19" ht="13.95" hidden="1" x14ac:dyDescent="0.25">
      <c r="A40" s="13">
        <v>20170124</v>
      </c>
      <c r="B40" s="13" t="s">
        <v>24</v>
      </c>
      <c r="C40" s="14">
        <v>611</v>
      </c>
      <c r="D40" s="13" t="s">
        <v>57</v>
      </c>
      <c r="E40" s="6">
        <f>J38+J40+J39</f>
        <v>476.31999999999971</v>
      </c>
      <c r="F40" s="13">
        <v>8.9</v>
      </c>
      <c r="G40" s="13">
        <v>1200</v>
      </c>
      <c r="H40" s="13">
        <v>0</v>
      </c>
      <c r="I40" s="13">
        <v>10680</v>
      </c>
      <c r="J40" s="13">
        <v>10664.32</v>
      </c>
      <c r="K40" s="13">
        <v>11137.02</v>
      </c>
      <c r="L40" s="13">
        <v>10.68</v>
      </c>
      <c r="M40" s="13">
        <v>0</v>
      </c>
      <c r="N40" s="13">
        <v>4.0599999999999996</v>
      </c>
      <c r="O40" s="13">
        <v>0.94</v>
      </c>
      <c r="P40" s="13">
        <v>0</v>
      </c>
      <c r="Q40" s="13" t="s">
        <v>58</v>
      </c>
      <c r="R40" s="13">
        <v>104000007738487</v>
      </c>
      <c r="S40" s="13">
        <v>114530373</v>
      </c>
    </row>
    <row r="41" spans="1:19" ht="13.95" hidden="1" x14ac:dyDescent="0.25">
      <c r="A41" s="4">
        <v>20160524</v>
      </c>
      <c r="B41" s="4" t="s">
        <v>21</v>
      </c>
      <c r="C41" s="5">
        <v>600603</v>
      </c>
      <c r="D41" s="4" t="s">
        <v>59</v>
      </c>
      <c r="E41" s="4"/>
      <c r="F41" s="4">
        <v>11.56</v>
      </c>
      <c r="G41" s="4">
        <v>200</v>
      </c>
      <c r="H41" s="4">
        <v>200</v>
      </c>
      <c r="I41" s="4">
        <v>2312</v>
      </c>
      <c r="J41" s="4">
        <v>-2317.0500000000002</v>
      </c>
      <c r="K41" s="4">
        <v>56097.14</v>
      </c>
      <c r="L41" s="4">
        <v>0</v>
      </c>
      <c r="M41" s="4">
        <v>0.05</v>
      </c>
      <c r="N41" s="4">
        <v>4.84</v>
      </c>
      <c r="O41" s="4">
        <v>0.16</v>
      </c>
      <c r="P41" s="4">
        <v>0</v>
      </c>
      <c r="Q41" s="4">
        <v>1090000136</v>
      </c>
      <c r="R41" s="4">
        <v>185339</v>
      </c>
      <c r="S41" s="4" t="s">
        <v>23</v>
      </c>
    </row>
    <row r="42" spans="1:19" ht="13.95" hidden="1" x14ac:dyDescent="0.25">
      <c r="A42" s="13">
        <v>20161025</v>
      </c>
      <c r="B42" s="13" t="s">
        <v>24</v>
      </c>
      <c r="C42" s="14">
        <v>600603</v>
      </c>
      <c r="D42" s="13" t="s">
        <v>59</v>
      </c>
      <c r="E42" s="6">
        <f>J42+J41</f>
        <v>489.07999999999993</v>
      </c>
      <c r="F42" s="13">
        <v>14.07</v>
      </c>
      <c r="G42" s="13">
        <v>200</v>
      </c>
      <c r="H42" s="13">
        <v>0</v>
      </c>
      <c r="I42" s="13">
        <v>2814</v>
      </c>
      <c r="J42" s="13">
        <v>2806.13</v>
      </c>
      <c r="K42" s="13">
        <v>4422.33</v>
      </c>
      <c r="L42" s="13">
        <v>2.81</v>
      </c>
      <c r="M42" s="13">
        <v>0.06</v>
      </c>
      <c r="N42" s="13">
        <v>4.8</v>
      </c>
      <c r="O42" s="13">
        <v>0.2</v>
      </c>
      <c r="P42" s="13">
        <v>0</v>
      </c>
      <c r="Q42" s="13">
        <v>1090003854</v>
      </c>
      <c r="R42" s="13">
        <v>5692965</v>
      </c>
      <c r="S42" s="13" t="s">
        <v>23</v>
      </c>
    </row>
    <row r="43" spans="1:19" ht="13.95" hidden="1" x14ac:dyDescent="0.25">
      <c r="A43" s="4">
        <v>20160601</v>
      </c>
      <c r="B43" s="4" t="s">
        <v>21</v>
      </c>
      <c r="C43" s="5">
        <v>600319</v>
      </c>
      <c r="D43" s="4" t="s">
        <v>26</v>
      </c>
      <c r="E43" s="4"/>
      <c r="F43" s="4">
        <v>10.01</v>
      </c>
      <c r="G43" s="4">
        <v>200</v>
      </c>
      <c r="H43" s="4">
        <v>200</v>
      </c>
      <c r="I43" s="4">
        <v>2002</v>
      </c>
      <c r="J43" s="4">
        <v>-2007.04</v>
      </c>
      <c r="K43" s="4">
        <v>52417.1</v>
      </c>
      <c r="L43" s="4">
        <v>0</v>
      </c>
      <c r="M43" s="4">
        <v>0.04</v>
      </c>
      <c r="N43" s="4">
        <v>4.8600000000000003</v>
      </c>
      <c r="O43" s="4">
        <v>0.14000000000000001</v>
      </c>
      <c r="P43" s="4">
        <v>0</v>
      </c>
      <c r="Q43" s="4">
        <v>1090000696</v>
      </c>
      <c r="R43" s="4">
        <v>1397850</v>
      </c>
      <c r="S43" s="4" t="s">
        <v>23</v>
      </c>
    </row>
    <row r="44" spans="1:19" ht="13.95" hidden="1" x14ac:dyDescent="0.25">
      <c r="A44" s="13">
        <v>20170111</v>
      </c>
      <c r="B44" s="13" t="s">
        <v>24</v>
      </c>
      <c r="C44" s="14">
        <v>600319</v>
      </c>
      <c r="D44" s="13" t="s">
        <v>26</v>
      </c>
      <c r="E44" s="6">
        <f>J44+J43</f>
        <v>45.860000000000127</v>
      </c>
      <c r="F44" s="13">
        <v>10.3</v>
      </c>
      <c r="G44" s="13">
        <v>200</v>
      </c>
      <c r="H44" s="13">
        <v>0</v>
      </c>
      <c r="I44" s="13">
        <v>2060</v>
      </c>
      <c r="J44" s="13">
        <v>2052.9</v>
      </c>
      <c r="K44" s="13">
        <v>16507.91</v>
      </c>
      <c r="L44" s="13">
        <v>2.06</v>
      </c>
      <c r="M44" s="13">
        <v>0.04</v>
      </c>
      <c r="N44" s="13">
        <v>4.8600000000000003</v>
      </c>
      <c r="O44" s="13">
        <v>0.14000000000000001</v>
      </c>
      <c r="P44" s="13">
        <v>0</v>
      </c>
      <c r="Q44" s="13">
        <v>1090005276</v>
      </c>
      <c r="R44" s="13">
        <v>8412531</v>
      </c>
      <c r="S44" s="13" t="s">
        <v>23</v>
      </c>
    </row>
    <row r="45" spans="1:19" s="11" customFormat="1" ht="13.95" hidden="1" x14ac:dyDescent="0.25">
      <c r="A45" s="4">
        <v>20160606</v>
      </c>
      <c r="B45" s="4" t="s">
        <v>21</v>
      </c>
      <c r="C45" s="5">
        <v>510300</v>
      </c>
      <c r="D45" s="4" t="s">
        <v>22</v>
      </c>
      <c r="E45" s="4"/>
      <c r="F45" s="4">
        <v>3.18</v>
      </c>
      <c r="G45" s="4">
        <v>3300</v>
      </c>
      <c r="H45" s="4">
        <v>3300</v>
      </c>
      <c r="I45" s="4">
        <v>10494</v>
      </c>
      <c r="J45" s="4">
        <v>-10499</v>
      </c>
      <c r="K45" s="4">
        <v>33403.1</v>
      </c>
      <c r="L45" s="4">
        <v>0</v>
      </c>
      <c r="M45" s="4">
        <v>0</v>
      </c>
      <c r="N45" s="4">
        <v>4.53</v>
      </c>
      <c r="O45" s="4">
        <v>0.47</v>
      </c>
      <c r="P45" s="4">
        <v>0</v>
      </c>
      <c r="Q45" s="4">
        <v>1090001173</v>
      </c>
      <c r="R45" s="4">
        <v>2333692</v>
      </c>
      <c r="S45" s="4" t="s">
        <v>23</v>
      </c>
    </row>
    <row r="46" spans="1:19" ht="13.95" hidden="1" x14ac:dyDescent="0.25">
      <c r="A46" s="13">
        <v>20161025</v>
      </c>
      <c r="B46" s="13" t="s">
        <v>24</v>
      </c>
      <c r="C46" s="14">
        <v>510300</v>
      </c>
      <c r="D46" s="13" t="s">
        <v>22</v>
      </c>
      <c r="E46" s="6">
        <f>J46+J45</f>
        <v>785.29999999999927</v>
      </c>
      <c r="F46" s="13">
        <v>3.4209999999999998</v>
      </c>
      <c r="G46" s="13">
        <v>3300</v>
      </c>
      <c r="H46" s="13">
        <v>0</v>
      </c>
      <c r="I46" s="13">
        <v>11289.3</v>
      </c>
      <c r="J46" s="13">
        <v>11284.3</v>
      </c>
      <c r="K46" s="13">
        <v>15706.63</v>
      </c>
      <c r="L46" s="13">
        <v>0</v>
      </c>
      <c r="M46" s="13">
        <v>0</v>
      </c>
      <c r="N46" s="13">
        <v>4.49</v>
      </c>
      <c r="O46" s="13">
        <v>0.51</v>
      </c>
      <c r="P46" s="13">
        <v>0</v>
      </c>
      <c r="Q46" s="13">
        <v>1090003902</v>
      </c>
      <c r="R46" s="13">
        <v>5694444</v>
      </c>
      <c r="S46" s="13" t="s">
        <v>23</v>
      </c>
    </row>
    <row r="47" spans="1:19" s="4" customFormat="1" ht="13.95" hidden="1" x14ac:dyDescent="0.25">
      <c r="A47" s="4">
        <v>20161024</v>
      </c>
      <c r="B47" s="4" t="s">
        <v>21</v>
      </c>
      <c r="C47" s="5">
        <v>600887</v>
      </c>
      <c r="D47" s="4" t="s">
        <v>60</v>
      </c>
      <c r="F47" s="4">
        <v>17.329999999999998</v>
      </c>
      <c r="G47" s="4">
        <v>1100</v>
      </c>
      <c r="H47" s="4">
        <v>1100</v>
      </c>
      <c r="I47" s="4">
        <v>19063</v>
      </c>
      <c r="J47" s="4">
        <v>-19069.099999999999</v>
      </c>
      <c r="K47" s="4">
        <v>1616.2</v>
      </c>
      <c r="L47" s="4">
        <v>0</v>
      </c>
      <c r="M47" s="4">
        <v>0.38</v>
      </c>
      <c r="N47" s="4">
        <v>4.41</v>
      </c>
      <c r="O47" s="4">
        <v>1.31</v>
      </c>
      <c r="P47" s="4">
        <v>0</v>
      </c>
      <c r="Q47" s="4">
        <v>1090001829</v>
      </c>
      <c r="R47" s="4">
        <v>5064641</v>
      </c>
      <c r="S47" s="4" t="s">
        <v>23</v>
      </c>
    </row>
    <row r="48" spans="1:19" s="4" customFormat="1" ht="13.95" hidden="1" x14ac:dyDescent="0.25">
      <c r="A48" s="13">
        <v>20161028</v>
      </c>
      <c r="B48" s="13" t="s">
        <v>24</v>
      </c>
      <c r="C48" s="14">
        <v>600887</v>
      </c>
      <c r="D48" s="13" t="s">
        <v>60</v>
      </c>
      <c r="E48" s="6">
        <f>J48+J47</f>
        <v>880.53000000000247</v>
      </c>
      <c r="F48" s="13">
        <v>18.16</v>
      </c>
      <c r="G48" s="13">
        <v>1100</v>
      </c>
      <c r="H48" s="13">
        <v>0</v>
      </c>
      <c r="I48" s="13">
        <v>19976</v>
      </c>
      <c r="J48" s="13">
        <v>19949.63</v>
      </c>
      <c r="K48" s="13">
        <v>20112.95</v>
      </c>
      <c r="L48" s="13">
        <v>19.98</v>
      </c>
      <c r="M48" s="13">
        <v>0.4</v>
      </c>
      <c r="N48" s="13">
        <v>4.62</v>
      </c>
      <c r="O48" s="13">
        <v>1.37</v>
      </c>
      <c r="P48" s="13">
        <v>0</v>
      </c>
      <c r="Q48" s="13">
        <v>1090000975</v>
      </c>
      <c r="R48" s="13">
        <v>1176881</v>
      </c>
      <c r="S48" s="13" t="s">
        <v>23</v>
      </c>
    </row>
    <row r="49" spans="1:19" s="4" customFormat="1" ht="13.95" hidden="1" x14ac:dyDescent="0.25">
      <c r="A49" s="4">
        <v>20160909</v>
      </c>
      <c r="B49" s="4" t="s">
        <v>21</v>
      </c>
      <c r="C49" s="5">
        <v>600570</v>
      </c>
      <c r="D49" s="4" t="s">
        <v>61</v>
      </c>
      <c r="F49" s="4">
        <v>59.03</v>
      </c>
      <c r="G49" s="4">
        <v>200</v>
      </c>
      <c r="H49" s="4">
        <v>200</v>
      </c>
      <c r="I49" s="4">
        <v>11806</v>
      </c>
      <c r="J49" s="4">
        <v>-11811.24</v>
      </c>
      <c r="K49" s="4">
        <v>675.72</v>
      </c>
      <c r="L49" s="4">
        <v>0</v>
      </c>
      <c r="M49" s="4">
        <v>0.24</v>
      </c>
      <c r="N49" s="4">
        <v>4.1900000000000004</v>
      </c>
      <c r="O49" s="4">
        <v>0.81</v>
      </c>
      <c r="P49" s="4">
        <v>0</v>
      </c>
      <c r="Q49" s="4">
        <v>1090000046</v>
      </c>
      <c r="R49" s="4">
        <v>301538</v>
      </c>
      <c r="S49" s="4" t="s">
        <v>23</v>
      </c>
    </row>
    <row r="50" spans="1:19" s="4" customFormat="1" ht="13.95" hidden="1" x14ac:dyDescent="0.25">
      <c r="A50" s="13">
        <v>20161114</v>
      </c>
      <c r="B50" s="13" t="s">
        <v>24</v>
      </c>
      <c r="C50" s="14">
        <v>600570</v>
      </c>
      <c r="D50" s="13" t="s">
        <v>61</v>
      </c>
      <c r="E50" s="6">
        <f>J50+J49</f>
        <v>119.56999999999971</v>
      </c>
      <c r="F50" s="13">
        <v>59.74</v>
      </c>
      <c r="G50" s="13">
        <v>200</v>
      </c>
      <c r="H50" s="13">
        <v>0</v>
      </c>
      <c r="I50" s="13">
        <v>11948</v>
      </c>
      <c r="J50" s="13">
        <v>11930.81</v>
      </c>
      <c r="K50" s="13">
        <v>12154.8</v>
      </c>
      <c r="L50" s="13">
        <v>11.95</v>
      </c>
      <c r="M50" s="13">
        <v>0.24</v>
      </c>
      <c r="N50" s="13">
        <v>4.18</v>
      </c>
      <c r="O50" s="13">
        <v>0.82</v>
      </c>
      <c r="P50" s="13">
        <v>0</v>
      </c>
      <c r="Q50" s="13">
        <v>1090006658</v>
      </c>
      <c r="R50" s="13">
        <v>12715845</v>
      </c>
      <c r="S50" s="13" t="s">
        <v>23</v>
      </c>
    </row>
    <row r="51" spans="1:19" s="13" customFormat="1" ht="13.95" hidden="1" x14ac:dyDescent="0.25">
      <c r="A51" s="4">
        <v>20160628</v>
      </c>
      <c r="B51" s="4" t="s">
        <v>21</v>
      </c>
      <c r="C51" s="5">
        <v>600050</v>
      </c>
      <c r="D51" s="4" t="s">
        <v>62</v>
      </c>
      <c r="E51" s="4"/>
      <c r="F51" s="4">
        <v>3.83</v>
      </c>
      <c r="G51" s="4">
        <v>2000</v>
      </c>
      <c r="H51" s="4">
        <v>2000</v>
      </c>
      <c r="I51" s="4">
        <v>7660</v>
      </c>
      <c r="J51" s="4">
        <v>-7665.15</v>
      </c>
      <c r="K51" s="4">
        <v>4548.46</v>
      </c>
      <c r="L51" s="4">
        <v>0</v>
      </c>
      <c r="M51" s="4">
        <v>0.15</v>
      </c>
      <c r="N51" s="4">
        <v>4.4800000000000004</v>
      </c>
      <c r="O51" s="4">
        <v>0.52</v>
      </c>
      <c r="P51" s="4">
        <v>0</v>
      </c>
      <c r="Q51" s="4">
        <v>1090002338</v>
      </c>
      <c r="R51" s="4">
        <v>5924029</v>
      </c>
      <c r="S51" s="4" t="s">
        <v>23</v>
      </c>
    </row>
    <row r="52" spans="1:19" s="13" customFormat="1" ht="13.95" hidden="1" x14ac:dyDescent="0.25">
      <c r="A52" s="11">
        <v>20160629</v>
      </c>
      <c r="B52" s="11" t="s">
        <v>63</v>
      </c>
      <c r="C52" s="12">
        <v>600050</v>
      </c>
      <c r="D52" s="11" t="s">
        <v>62</v>
      </c>
      <c r="E52" s="11"/>
      <c r="F52" s="11">
        <v>0</v>
      </c>
      <c r="G52" s="11">
        <v>2000</v>
      </c>
      <c r="H52" s="11">
        <v>0</v>
      </c>
      <c r="I52" s="11">
        <v>114.4</v>
      </c>
      <c r="J52" s="11">
        <v>114.4</v>
      </c>
      <c r="K52" s="11">
        <v>4662.8599999999997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 t="s">
        <v>23</v>
      </c>
      <c r="S52" s="11"/>
    </row>
    <row r="53" spans="1:19" s="13" customFormat="1" ht="13.95" hidden="1" x14ac:dyDescent="0.25">
      <c r="A53" s="13">
        <v>20160705</v>
      </c>
      <c r="B53" s="13" t="s">
        <v>24</v>
      </c>
      <c r="C53" s="14">
        <v>600050</v>
      </c>
      <c r="D53" s="13" t="s">
        <v>62</v>
      </c>
      <c r="E53" s="6">
        <f>J51++J54+J53+J52</f>
        <v>273.3499999999998</v>
      </c>
      <c r="F53" s="13">
        <v>3.93</v>
      </c>
      <c r="G53" s="13">
        <v>2000</v>
      </c>
      <c r="H53" s="13">
        <v>0</v>
      </c>
      <c r="I53" s="13">
        <v>7860</v>
      </c>
      <c r="J53" s="13">
        <v>7846.98</v>
      </c>
      <c r="K53" s="13">
        <v>12509.84</v>
      </c>
      <c r="L53" s="13">
        <v>7.86</v>
      </c>
      <c r="M53" s="13">
        <v>0.16</v>
      </c>
      <c r="N53" s="13">
        <v>4.46</v>
      </c>
      <c r="O53" s="13">
        <v>0.54</v>
      </c>
      <c r="P53" s="13">
        <v>0</v>
      </c>
      <c r="Q53" s="13">
        <v>1090002421</v>
      </c>
      <c r="R53" s="13">
        <v>6155829</v>
      </c>
      <c r="S53" s="13" t="s">
        <v>23</v>
      </c>
    </row>
    <row r="54" spans="1:19" s="13" customFormat="1" ht="13.95" hidden="1" x14ac:dyDescent="0.25">
      <c r="A54" s="11">
        <v>20160706</v>
      </c>
      <c r="B54" s="11" t="s">
        <v>64</v>
      </c>
      <c r="C54" s="12">
        <v>600050</v>
      </c>
      <c r="D54" s="11" t="s">
        <v>62</v>
      </c>
      <c r="E54" s="11"/>
      <c r="F54" s="11">
        <v>0</v>
      </c>
      <c r="G54" s="11">
        <v>0</v>
      </c>
      <c r="H54" s="11">
        <v>0</v>
      </c>
      <c r="I54" s="11">
        <v>0</v>
      </c>
      <c r="J54" s="11">
        <v>-22.88</v>
      </c>
      <c r="K54" s="11">
        <v>12486.96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 t="s">
        <v>23</v>
      </c>
      <c r="S54" s="11"/>
    </row>
    <row r="55" spans="1:19" s="11" customFormat="1" ht="13.95" hidden="1" x14ac:dyDescent="0.25">
      <c r="A55">
        <v>20170105</v>
      </c>
      <c r="B55" t="s">
        <v>20</v>
      </c>
      <c r="C55" s="1">
        <v>0</v>
      </c>
      <c r="D55">
        <v>0</v>
      </c>
      <c r="E55"/>
      <c r="F55">
        <v>0</v>
      </c>
      <c r="G55">
        <v>0</v>
      </c>
      <c r="H55">
        <v>40000</v>
      </c>
      <c r="I55">
        <v>41747.51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/>
      <c r="Q55"/>
      <c r="R55"/>
      <c r="S55"/>
    </row>
    <row r="56" spans="1:19" ht="13.95" hidden="1" x14ac:dyDescent="0.25">
      <c r="A56">
        <v>20170110</v>
      </c>
      <c r="B56" t="s">
        <v>20</v>
      </c>
      <c r="C56" s="1">
        <v>0</v>
      </c>
      <c r="D56">
        <v>0</v>
      </c>
      <c r="F56">
        <v>0</v>
      </c>
      <c r="G56">
        <v>0</v>
      </c>
      <c r="H56">
        <v>14800</v>
      </c>
      <c r="I56">
        <v>34923.15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9" s="4" customFormat="1" ht="13.95" hidden="1" x14ac:dyDescent="0.25">
      <c r="A57">
        <v>20170217</v>
      </c>
      <c r="B57" t="s">
        <v>65</v>
      </c>
      <c r="C57" s="1">
        <v>0</v>
      </c>
      <c r="D57">
        <v>0</v>
      </c>
      <c r="E57"/>
      <c r="F57">
        <v>0</v>
      </c>
      <c r="G57">
        <v>0</v>
      </c>
      <c r="H57">
        <v>20000</v>
      </c>
      <c r="I57">
        <v>20046.02</v>
      </c>
      <c r="J57">
        <v>0</v>
      </c>
      <c r="K57">
        <v>0</v>
      </c>
      <c r="L57">
        <v>0</v>
      </c>
      <c r="M57">
        <v>0</v>
      </c>
      <c r="N57">
        <v>0</v>
      </c>
      <c r="O57">
        <v>204</v>
      </c>
      <c r="P57"/>
      <c r="Q57"/>
      <c r="R57"/>
      <c r="S57"/>
    </row>
    <row r="58" spans="1:19" s="4" customFormat="1" ht="13.95" hidden="1" x14ac:dyDescent="0.25">
      <c r="A58">
        <v>20170217</v>
      </c>
      <c r="B58" t="s">
        <v>65</v>
      </c>
      <c r="C58" s="1">
        <v>0</v>
      </c>
      <c r="D58">
        <v>0</v>
      </c>
      <c r="E58"/>
      <c r="F58">
        <v>0</v>
      </c>
      <c r="G58">
        <v>0</v>
      </c>
      <c r="H58">
        <v>10001</v>
      </c>
      <c r="I58">
        <v>30047.02</v>
      </c>
      <c r="J58">
        <v>0</v>
      </c>
      <c r="K58">
        <v>0</v>
      </c>
      <c r="L58">
        <v>0</v>
      </c>
      <c r="M58">
        <v>0</v>
      </c>
      <c r="N58">
        <v>0</v>
      </c>
      <c r="O58">
        <v>206</v>
      </c>
      <c r="P58"/>
      <c r="Q58"/>
      <c r="R58"/>
      <c r="S58"/>
    </row>
    <row r="59" spans="1:19" s="11" customFormat="1" ht="13.95" hidden="1" x14ac:dyDescent="0.25">
      <c r="A59">
        <v>20170309</v>
      </c>
      <c r="B59" t="s">
        <v>65</v>
      </c>
      <c r="C59" s="1">
        <v>0</v>
      </c>
      <c r="D59">
        <v>0</v>
      </c>
      <c r="E59"/>
      <c r="F59">
        <v>0</v>
      </c>
      <c r="G59">
        <v>0</v>
      </c>
      <c r="H59">
        <v>20000</v>
      </c>
      <c r="I59">
        <v>39767.019999999997</v>
      </c>
      <c r="J59">
        <v>0</v>
      </c>
      <c r="K59">
        <v>0</v>
      </c>
      <c r="L59">
        <v>0</v>
      </c>
      <c r="M59">
        <v>0</v>
      </c>
      <c r="N59">
        <v>0</v>
      </c>
      <c r="O59">
        <v>285</v>
      </c>
      <c r="P59"/>
      <c r="Q59"/>
      <c r="R59"/>
      <c r="S59"/>
    </row>
    <row r="60" spans="1:19" s="4" customFormat="1" ht="13.95" hidden="1" x14ac:dyDescent="0.25">
      <c r="A60">
        <v>20170324</v>
      </c>
      <c r="B60" t="s">
        <v>65</v>
      </c>
      <c r="C60" s="1">
        <v>0</v>
      </c>
      <c r="D60">
        <v>0</v>
      </c>
      <c r="E60"/>
      <c r="F60">
        <v>0</v>
      </c>
      <c r="G60">
        <v>0</v>
      </c>
      <c r="H60">
        <v>0.28999999999999998</v>
      </c>
      <c r="I60">
        <v>7811.42</v>
      </c>
      <c r="J60">
        <v>0</v>
      </c>
      <c r="K60">
        <v>0</v>
      </c>
      <c r="L60">
        <v>0</v>
      </c>
      <c r="M60">
        <v>0</v>
      </c>
      <c r="N60">
        <v>0</v>
      </c>
      <c r="O60">
        <v>185</v>
      </c>
      <c r="P60"/>
      <c r="Q60"/>
      <c r="R60"/>
      <c r="S60"/>
    </row>
    <row r="61" spans="1:19" s="11" customFormat="1" ht="13.95" hidden="1" x14ac:dyDescent="0.25">
      <c r="A61">
        <v>20170324</v>
      </c>
      <c r="B61" t="s">
        <v>65</v>
      </c>
      <c r="C61" s="1">
        <v>0</v>
      </c>
      <c r="D61">
        <v>0</v>
      </c>
      <c r="E61"/>
      <c r="F61">
        <v>0</v>
      </c>
      <c r="G61">
        <v>0</v>
      </c>
      <c r="H61">
        <v>50000.19</v>
      </c>
      <c r="I61">
        <v>57811.61</v>
      </c>
      <c r="J61">
        <v>0</v>
      </c>
      <c r="K61">
        <v>0</v>
      </c>
      <c r="L61">
        <v>0</v>
      </c>
      <c r="M61">
        <v>0</v>
      </c>
      <c r="N61">
        <v>0</v>
      </c>
      <c r="O61">
        <v>187</v>
      </c>
      <c r="P61"/>
      <c r="Q61"/>
      <c r="R61"/>
      <c r="S61"/>
    </row>
    <row r="62" spans="1:19" s="13" customFormat="1" ht="13.95" hidden="1" x14ac:dyDescent="0.25">
      <c r="A62">
        <v>20170616</v>
      </c>
      <c r="B62" t="s">
        <v>66</v>
      </c>
      <c r="C62" s="1">
        <v>0</v>
      </c>
      <c r="D62">
        <v>0</v>
      </c>
      <c r="E62"/>
      <c r="F62">
        <v>0</v>
      </c>
      <c r="G62">
        <v>0</v>
      </c>
      <c r="H62">
        <v>-20000</v>
      </c>
      <c r="I62">
        <v>8799.94</v>
      </c>
      <c r="J62">
        <v>0</v>
      </c>
      <c r="K62">
        <v>0</v>
      </c>
      <c r="L62">
        <v>0</v>
      </c>
      <c r="M62">
        <v>0</v>
      </c>
      <c r="N62">
        <v>0</v>
      </c>
      <c r="O62">
        <v>201</v>
      </c>
      <c r="P62"/>
      <c r="Q62"/>
      <c r="R62"/>
      <c r="S62"/>
    </row>
    <row r="63" spans="1:19" s="11" customFormat="1" ht="15" hidden="1" customHeight="1" x14ac:dyDescent="0.25">
      <c r="A63">
        <v>20170731</v>
      </c>
      <c r="B63" t="s">
        <v>66</v>
      </c>
      <c r="C63" s="1">
        <v>0</v>
      </c>
      <c r="D63">
        <v>0</v>
      </c>
      <c r="E63"/>
      <c r="F63">
        <v>0</v>
      </c>
      <c r="G63">
        <v>0</v>
      </c>
      <c r="H63">
        <v>-30000</v>
      </c>
      <c r="I63">
        <v>76815.259999999995</v>
      </c>
      <c r="J63">
        <v>0</v>
      </c>
      <c r="K63">
        <v>0</v>
      </c>
      <c r="L63">
        <v>0</v>
      </c>
      <c r="M63">
        <v>0</v>
      </c>
      <c r="N63">
        <v>0</v>
      </c>
      <c r="O63">
        <v>48</v>
      </c>
      <c r="P63"/>
      <c r="Q63"/>
      <c r="R63"/>
      <c r="S63"/>
    </row>
    <row r="64" spans="1:19" ht="13.95" hidden="1" x14ac:dyDescent="0.25">
      <c r="A64">
        <v>20170731</v>
      </c>
      <c r="B64" t="s">
        <v>67</v>
      </c>
      <c r="C64" s="1">
        <v>0</v>
      </c>
      <c r="D64">
        <v>0</v>
      </c>
      <c r="F64">
        <v>0</v>
      </c>
      <c r="G64">
        <v>0</v>
      </c>
      <c r="H64">
        <v>-30000</v>
      </c>
      <c r="I64">
        <v>106815.26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9" ht="13.95" hidden="1" x14ac:dyDescent="0.25">
      <c r="A65">
        <v>20170809</v>
      </c>
      <c r="B65" t="s">
        <v>65</v>
      </c>
      <c r="C65" s="1">
        <v>0</v>
      </c>
      <c r="D65">
        <v>0</v>
      </c>
      <c r="F65">
        <v>0</v>
      </c>
      <c r="G65">
        <v>0</v>
      </c>
      <c r="H65">
        <v>30000.58</v>
      </c>
      <c r="I65">
        <v>97654.84</v>
      </c>
      <c r="J65">
        <v>0</v>
      </c>
      <c r="K65">
        <v>0</v>
      </c>
      <c r="L65">
        <v>0</v>
      </c>
      <c r="M65">
        <v>0</v>
      </c>
      <c r="N65">
        <v>0</v>
      </c>
      <c r="O65">
        <v>2</v>
      </c>
    </row>
    <row r="66" spans="1:19" s="13" customFormat="1" ht="13.95" hidden="1" x14ac:dyDescent="0.25">
      <c r="A66" t="str">
        <f>"20171027"</f>
        <v>20171027</v>
      </c>
      <c r="B66" t="str">
        <f>"台帐间现金划转取"</f>
        <v>台帐间现金划转取</v>
      </c>
      <c r="C66"/>
      <c r="D66"/>
      <c r="E66"/>
      <c r="F66">
        <v>0</v>
      </c>
      <c r="G66">
        <v>0</v>
      </c>
      <c r="H66">
        <v>0</v>
      </c>
      <c r="I66">
        <v>0</v>
      </c>
      <c r="J66">
        <v>-100000</v>
      </c>
      <c r="K66">
        <v>918.3</v>
      </c>
      <c r="L66">
        <v>0</v>
      </c>
      <c r="M66">
        <v>0</v>
      </c>
      <c r="N66">
        <v>0</v>
      </c>
      <c r="O66">
        <v>0</v>
      </c>
      <c r="P66">
        <v>0</v>
      </c>
      <c r="Q66"/>
      <c r="R66" t="str">
        <f>"245"</f>
        <v>245</v>
      </c>
      <c r="S66"/>
    </row>
    <row r="67" spans="1:19" s="13" customFormat="1" ht="13.95" hidden="1" x14ac:dyDescent="0.25">
      <c r="A67" t="str">
        <f>"20171027"</f>
        <v>20171027</v>
      </c>
      <c r="B67" t="str">
        <f>"台帐间现金划转取"</f>
        <v>台帐间现金划转取</v>
      </c>
      <c r="C67"/>
      <c r="D67"/>
      <c r="E67"/>
      <c r="F67">
        <v>0</v>
      </c>
      <c r="G67">
        <v>0</v>
      </c>
      <c r="H67">
        <v>0</v>
      </c>
      <c r="I67">
        <v>0</v>
      </c>
      <c r="J67">
        <v>-100000</v>
      </c>
      <c r="K67">
        <v>918.3</v>
      </c>
      <c r="L67">
        <v>0</v>
      </c>
      <c r="M67">
        <v>0</v>
      </c>
      <c r="N67">
        <v>0</v>
      </c>
      <c r="O67">
        <v>0</v>
      </c>
      <c r="P67">
        <v>0</v>
      </c>
      <c r="Q67"/>
      <c r="R67" t="str">
        <f>"245"</f>
        <v>245</v>
      </c>
      <c r="S67"/>
    </row>
    <row r="68" spans="1:19" s="13" customFormat="1" ht="13.95" hidden="1" x14ac:dyDescent="0.25">
      <c r="A68" t="str">
        <f>"20171031"</f>
        <v>20171031</v>
      </c>
      <c r="B68" t="str">
        <f>"台帐间现金划转存"</f>
        <v>台帐间现金划转存</v>
      </c>
      <c r="C68"/>
      <c r="D68"/>
      <c r="E68"/>
      <c r="F68">
        <v>0</v>
      </c>
      <c r="G68">
        <v>0</v>
      </c>
      <c r="H68">
        <v>0</v>
      </c>
      <c r="I68">
        <v>0</v>
      </c>
      <c r="J68">
        <v>100002.63</v>
      </c>
      <c r="K68">
        <v>100920.93</v>
      </c>
      <c r="L68">
        <v>0</v>
      </c>
      <c r="M68">
        <v>0</v>
      </c>
      <c r="N68">
        <v>0</v>
      </c>
      <c r="O68">
        <v>0</v>
      </c>
      <c r="P68">
        <v>0</v>
      </c>
      <c r="Q68"/>
      <c r="R68" t="str">
        <f>"280"</f>
        <v>280</v>
      </c>
      <c r="S68"/>
    </row>
    <row r="69" spans="1:19" s="4" customFormat="1" ht="13.95" hidden="1" x14ac:dyDescent="0.25">
      <c r="A69" s="11">
        <v>20170321</v>
      </c>
      <c r="B69" s="11" t="s">
        <v>19</v>
      </c>
      <c r="C69" s="12">
        <v>0</v>
      </c>
      <c r="D69" s="11">
        <v>0</v>
      </c>
      <c r="E69" s="11">
        <v>13.1</v>
      </c>
      <c r="F69" s="11">
        <v>0</v>
      </c>
      <c r="G69" s="11">
        <v>0</v>
      </c>
      <c r="H69" s="11">
        <v>13.1</v>
      </c>
      <c r="I69" s="11">
        <v>31018.55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/>
      <c r="Q69" s="11"/>
      <c r="R69" s="11"/>
      <c r="S69" s="11"/>
    </row>
    <row r="70" spans="1:19" s="4" customFormat="1" ht="13.95" hidden="1" x14ac:dyDescent="0.25">
      <c r="A70" s="11">
        <v>20170621</v>
      </c>
      <c r="B70" s="11" t="s">
        <v>19</v>
      </c>
      <c r="C70" s="12">
        <v>0</v>
      </c>
      <c r="D70" s="11">
        <v>0</v>
      </c>
      <c r="E70" s="11">
        <v>36.299999999999997</v>
      </c>
      <c r="F70" s="11">
        <v>0</v>
      </c>
      <c r="G70" s="11">
        <v>0</v>
      </c>
      <c r="H70" s="11">
        <v>36.299999999999997</v>
      </c>
      <c r="I70" s="11">
        <v>8836.24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/>
      <c r="P70" s="11"/>
      <c r="Q70" s="11"/>
      <c r="R70" s="11"/>
      <c r="S70" s="11"/>
    </row>
    <row r="71" spans="1:19" s="13" customFormat="1" ht="13.95" hidden="1" x14ac:dyDescent="0.25">
      <c r="A71" s="11" t="str">
        <f>"20170921"</f>
        <v>20170921</v>
      </c>
      <c r="B71" s="11" t="str">
        <f>"利息归本"</f>
        <v>利息归本</v>
      </c>
      <c r="C71" s="12"/>
      <c r="D71" s="11"/>
      <c r="E71" s="11">
        <v>100.44</v>
      </c>
      <c r="F71" s="11">
        <v>0</v>
      </c>
      <c r="G71" s="11">
        <v>0</v>
      </c>
      <c r="H71" s="11">
        <v>100.44</v>
      </c>
      <c r="I71" s="11">
        <v>125225.59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/>
      <c r="P71" s="11"/>
      <c r="Q71" s="11"/>
    </row>
    <row r="72" spans="1:19" s="13" customFormat="1" ht="13.95" hidden="1" x14ac:dyDescent="0.25">
      <c r="A72" s="11" t="str">
        <f>"20171221"</f>
        <v>20171221</v>
      </c>
      <c r="B72" s="11" t="str">
        <f>"利息归本"</f>
        <v>利息归本</v>
      </c>
      <c r="C72" s="12"/>
      <c r="D72" s="11"/>
      <c r="E72" s="11">
        <v>79.83</v>
      </c>
      <c r="F72" s="11">
        <v>0</v>
      </c>
      <c r="G72" s="11">
        <v>0</v>
      </c>
      <c r="H72" s="11">
        <v>79.83</v>
      </c>
      <c r="I72" s="11">
        <v>74812.52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/>
      <c r="P72" s="11"/>
      <c r="Q72" s="11"/>
    </row>
    <row r="73" spans="1:19" s="13" customFormat="1" ht="14.55" hidden="1" thickBot="1" x14ac:dyDescent="0.3">
      <c r="A73" s="11" t="str">
        <f>"20180321"</f>
        <v>20180321</v>
      </c>
      <c r="B73" s="11" t="str">
        <f>"利息归本"</f>
        <v>利息归本</v>
      </c>
      <c r="C73" s="12"/>
      <c r="D73" s="11"/>
      <c r="E73" s="11">
        <v>42.96</v>
      </c>
      <c r="F73" s="11">
        <v>0</v>
      </c>
      <c r="G73" s="11">
        <v>0</v>
      </c>
      <c r="H73" s="11">
        <v>42.96</v>
      </c>
      <c r="I73" s="11">
        <v>29000.76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/>
      <c r="P73" s="11"/>
      <c r="Q73" s="11"/>
    </row>
    <row r="74" spans="1:19" s="6" customFormat="1" ht="13.95" hidden="1" x14ac:dyDescent="0.25">
      <c r="A74" s="4">
        <v>20160121</v>
      </c>
      <c r="B74" s="4" t="s">
        <v>21</v>
      </c>
      <c r="C74" s="5">
        <v>110032</v>
      </c>
      <c r="D74" s="4" t="s">
        <v>68</v>
      </c>
      <c r="E74" s="15"/>
      <c r="F74" s="4">
        <v>106.41</v>
      </c>
      <c r="G74" s="4">
        <v>200</v>
      </c>
      <c r="H74" s="4">
        <v>200</v>
      </c>
      <c r="I74" s="4">
        <v>21282</v>
      </c>
      <c r="J74" s="4">
        <v>-21286.26</v>
      </c>
      <c r="K74" s="4">
        <v>35243.550000000003</v>
      </c>
      <c r="L74" s="4">
        <v>0</v>
      </c>
      <c r="M74" s="4">
        <v>0</v>
      </c>
      <c r="N74" s="4">
        <v>4.24</v>
      </c>
      <c r="O74" s="4">
        <v>0.02</v>
      </c>
      <c r="P74" s="4">
        <v>0</v>
      </c>
      <c r="Q74" s="4">
        <v>1090002391</v>
      </c>
      <c r="R74" s="4">
        <v>5327787</v>
      </c>
      <c r="S74" s="4" t="s">
        <v>23</v>
      </c>
    </row>
    <row r="75" spans="1:19" s="6" customFormat="1" ht="13.95" hidden="1" x14ac:dyDescent="0.25">
      <c r="A75" s="4">
        <v>20160426</v>
      </c>
      <c r="B75" s="4" t="s">
        <v>21</v>
      </c>
      <c r="C75" s="5">
        <v>110032</v>
      </c>
      <c r="D75" s="4" t="s">
        <v>68</v>
      </c>
      <c r="E75" s="16"/>
      <c r="F75" s="4">
        <v>112.238</v>
      </c>
      <c r="G75" s="4">
        <v>200</v>
      </c>
      <c r="H75" s="4">
        <v>700</v>
      </c>
      <c r="I75" s="4">
        <v>22447.5</v>
      </c>
      <c r="J75" s="4">
        <v>-22451.99</v>
      </c>
      <c r="K75" s="4">
        <v>13468.56</v>
      </c>
      <c r="L75" s="4">
        <v>0</v>
      </c>
      <c r="M75" s="4">
        <v>0</v>
      </c>
      <c r="N75" s="4">
        <v>4.46</v>
      </c>
      <c r="O75" s="4">
        <v>0.03</v>
      </c>
      <c r="P75" s="4">
        <v>0</v>
      </c>
      <c r="Q75" s="4">
        <v>1090000634</v>
      </c>
      <c r="R75" s="4">
        <v>987419</v>
      </c>
      <c r="S75" s="4" t="s">
        <v>23</v>
      </c>
    </row>
    <row r="76" spans="1:19" s="4" customFormat="1" ht="13.95" hidden="1" x14ac:dyDescent="0.25">
      <c r="A76" s="4">
        <v>20160608</v>
      </c>
      <c r="B76" s="4" t="s">
        <v>21</v>
      </c>
      <c r="C76" s="5">
        <v>110032</v>
      </c>
      <c r="D76" s="4" t="s">
        <v>68</v>
      </c>
      <c r="E76" s="16"/>
      <c r="F76" s="4">
        <v>106.11</v>
      </c>
      <c r="G76" s="4">
        <v>100</v>
      </c>
      <c r="H76" s="4">
        <v>800</v>
      </c>
      <c r="I76" s="4">
        <v>10611</v>
      </c>
      <c r="J76" s="4">
        <v>-10613.12</v>
      </c>
      <c r="K76" s="4">
        <v>22789.98</v>
      </c>
      <c r="L76" s="4">
        <v>0</v>
      </c>
      <c r="M76" s="4">
        <v>0</v>
      </c>
      <c r="N76" s="4">
        <v>2.11</v>
      </c>
      <c r="O76" s="4">
        <v>0.01</v>
      </c>
      <c r="P76" s="4">
        <v>0</v>
      </c>
      <c r="Q76" s="4">
        <v>1090003200</v>
      </c>
      <c r="R76" s="4">
        <v>8821256</v>
      </c>
      <c r="S76" s="4" t="s">
        <v>23</v>
      </c>
    </row>
    <row r="77" spans="1:19" s="4" customFormat="1" ht="13.95" hidden="1" x14ac:dyDescent="0.25">
      <c r="A77" s="4">
        <v>20160614</v>
      </c>
      <c r="B77" s="4" t="s">
        <v>21</v>
      </c>
      <c r="C77" s="5">
        <v>110032</v>
      </c>
      <c r="D77" s="4" t="s">
        <v>68</v>
      </c>
      <c r="E77" s="16"/>
      <c r="F77" s="4">
        <v>106</v>
      </c>
      <c r="G77" s="4">
        <v>100</v>
      </c>
      <c r="H77" s="4">
        <v>900</v>
      </c>
      <c r="I77" s="4">
        <v>10600</v>
      </c>
      <c r="J77" s="4">
        <v>-10602.12</v>
      </c>
      <c r="K77" s="4">
        <v>12187.86</v>
      </c>
      <c r="L77" s="4">
        <v>0</v>
      </c>
      <c r="M77" s="4">
        <v>0</v>
      </c>
      <c r="N77" s="4">
        <v>2.11</v>
      </c>
      <c r="O77" s="4">
        <v>0.01</v>
      </c>
      <c r="P77" s="4">
        <v>0</v>
      </c>
      <c r="Q77" s="4">
        <v>1090001339</v>
      </c>
      <c r="R77" s="4">
        <v>3035589</v>
      </c>
      <c r="S77" s="4" t="s">
        <v>23</v>
      </c>
    </row>
    <row r="78" spans="1:19" s="4" customFormat="1" ht="13.95" hidden="1" x14ac:dyDescent="0.25">
      <c r="A78" s="11">
        <v>20170109</v>
      </c>
      <c r="B78" s="11" t="s">
        <v>69</v>
      </c>
      <c r="C78" s="12">
        <v>110032</v>
      </c>
      <c r="D78" s="11" t="s">
        <v>68</v>
      </c>
      <c r="E78" s="17"/>
      <c r="F78" s="11">
        <v>0.2</v>
      </c>
      <c r="G78" s="11">
        <v>900</v>
      </c>
      <c r="H78" s="11">
        <v>0</v>
      </c>
      <c r="I78" s="11">
        <v>180</v>
      </c>
      <c r="J78" s="11">
        <v>180</v>
      </c>
      <c r="K78" s="11">
        <v>20123.150000000001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 t="s">
        <v>23</v>
      </c>
      <c r="S78" s="11"/>
    </row>
    <row r="79" spans="1:19" s="4" customFormat="1" ht="13.95" hidden="1" x14ac:dyDescent="0.25">
      <c r="A79" s="13">
        <v>20170622</v>
      </c>
      <c r="B79" s="13" t="s">
        <v>24</v>
      </c>
      <c r="C79" s="14">
        <v>110032</v>
      </c>
      <c r="D79" s="13" t="s">
        <v>68</v>
      </c>
      <c r="E79" s="18"/>
      <c r="F79" s="13">
        <v>114.9</v>
      </c>
      <c r="G79" s="13">
        <v>200</v>
      </c>
      <c r="H79" s="13">
        <v>700</v>
      </c>
      <c r="I79" s="13">
        <v>22980</v>
      </c>
      <c r="J79" s="13">
        <v>22975.4</v>
      </c>
      <c r="K79" s="13">
        <v>31811.64</v>
      </c>
      <c r="L79" s="13">
        <v>0</v>
      </c>
      <c r="M79" s="13">
        <v>0</v>
      </c>
      <c r="N79" s="13">
        <v>4.58</v>
      </c>
      <c r="O79" s="13">
        <v>0.02</v>
      </c>
      <c r="P79" s="13">
        <v>0</v>
      </c>
      <c r="Q79" s="13">
        <v>1090001483</v>
      </c>
      <c r="R79" s="13">
        <v>4595790</v>
      </c>
      <c r="S79" s="13" t="s">
        <v>23</v>
      </c>
    </row>
    <row r="80" spans="1:19" s="4" customFormat="1" ht="13.95" hidden="1" x14ac:dyDescent="0.25">
      <c r="A80" s="13">
        <v>20170623</v>
      </c>
      <c r="B80" s="13" t="s">
        <v>24</v>
      </c>
      <c r="C80" s="14">
        <v>110032</v>
      </c>
      <c r="D80" s="13" t="s">
        <v>68</v>
      </c>
      <c r="E80" s="18"/>
      <c r="F80" s="13">
        <v>115.9</v>
      </c>
      <c r="G80" s="13">
        <v>200</v>
      </c>
      <c r="H80" s="13">
        <v>500</v>
      </c>
      <c r="I80" s="13">
        <v>23180</v>
      </c>
      <c r="J80" s="13">
        <v>23175.360000000001</v>
      </c>
      <c r="K80" s="13">
        <v>61779.199999999997</v>
      </c>
      <c r="L80" s="13">
        <v>0</v>
      </c>
      <c r="M80" s="13">
        <v>0</v>
      </c>
      <c r="N80" s="13">
        <v>4.62</v>
      </c>
      <c r="O80" s="13">
        <v>0.02</v>
      </c>
      <c r="P80" s="13">
        <v>0</v>
      </c>
      <c r="Q80" s="13">
        <v>1090003023</v>
      </c>
      <c r="R80" s="13">
        <v>8565197</v>
      </c>
      <c r="S80" s="13" t="s">
        <v>23</v>
      </c>
    </row>
    <row r="81" spans="1:19" s="4" customFormat="1" ht="29.55" hidden="1" customHeight="1" thickBot="1" x14ac:dyDescent="0.3">
      <c r="A81" s="13">
        <v>20170626</v>
      </c>
      <c r="B81" s="13" t="s">
        <v>24</v>
      </c>
      <c r="C81" s="14">
        <v>110032</v>
      </c>
      <c r="D81" s="13" t="s">
        <v>68</v>
      </c>
      <c r="E81" s="19">
        <f>SUM(J74:J81)</f>
        <v>5408.4599999999955</v>
      </c>
      <c r="F81" s="13">
        <v>120.18</v>
      </c>
      <c r="G81" s="13">
        <v>200</v>
      </c>
      <c r="H81" s="13">
        <v>300</v>
      </c>
      <c r="I81" s="13">
        <v>24036</v>
      </c>
      <c r="J81" s="13">
        <v>24031.19</v>
      </c>
      <c r="K81" s="13">
        <v>85810.39</v>
      </c>
      <c r="L81" s="13">
        <v>0</v>
      </c>
      <c r="M81" s="13">
        <v>0</v>
      </c>
      <c r="N81" s="13">
        <v>4.79</v>
      </c>
      <c r="O81" s="13">
        <v>0.02</v>
      </c>
      <c r="P81" s="13">
        <v>0</v>
      </c>
      <c r="Q81" s="13">
        <v>1090002629</v>
      </c>
      <c r="R81" s="13">
        <v>3536780</v>
      </c>
      <c r="S81" s="13" t="s">
        <v>23</v>
      </c>
    </row>
    <row r="82" spans="1:19" ht="13.95" hidden="1" x14ac:dyDescent="0.25">
      <c r="A82" s="4">
        <v>20170217</v>
      </c>
      <c r="B82" s="4" t="s">
        <v>21</v>
      </c>
      <c r="C82" s="5">
        <v>510300</v>
      </c>
      <c r="D82" s="4" t="s">
        <v>22</v>
      </c>
      <c r="E82" s="4"/>
      <c r="F82" s="4">
        <v>3.4249999999999998</v>
      </c>
      <c r="G82" s="4">
        <v>3000</v>
      </c>
      <c r="H82" s="4">
        <v>3000</v>
      </c>
      <c r="I82" s="4">
        <v>10275</v>
      </c>
      <c r="J82" s="4">
        <v>-10280</v>
      </c>
      <c r="K82" s="4">
        <v>19767.02</v>
      </c>
      <c r="L82" s="4">
        <v>0</v>
      </c>
      <c r="M82" s="4">
        <v>0</v>
      </c>
      <c r="N82" s="4">
        <v>4.54</v>
      </c>
      <c r="O82" s="4">
        <v>0.46</v>
      </c>
      <c r="P82" s="4">
        <v>0</v>
      </c>
      <c r="Q82" s="4">
        <v>1090003454</v>
      </c>
      <c r="R82" s="4">
        <v>9933842</v>
      </c>
      <c r="S82" s="4" t="s">
        <v>23</v>
      </c>
    </row>
    <row r="83" spans="1:19" s="11" customFormat="1" ht="13.95" hidden="1" x14ac:dyDescent="0.25">
      <c r="A83" s="13">
        <v>20170405</v>
      </c>
      <c r="B83" s="13" t="s">
        <v>24</v>
      </c>
      <c r="C83" s="14">
        <v>510300</v>
      </c>
      <c r="D83" s="13" t="s">
        <v>22</v>
      </c>
      <c r="E83" s="6">
        <f>J83+J82</f>
        <v>143</v>
      </c>
      <c r="F83" s="13">
        <v>3.476</v>
      </c>
      <c r="G83" s="13">
        <v>3000</v>
      </c>
      <c r="H83" s="13">
        <v>0</v>
      </c>
      <c r="I83" s="13">
        <v>10428</v>
      </c>
      <c r="J83" s="13">
        <v>10423</v>
      </c>
      <c r="K83" s="13">
        <v>68234.61</v>
      </c>
      <c r="L83" s="13">
        <v>0</v>
      </c>
      <c r="M83" s="13">
        <v>0</v>
      </c>
      <c r="N83" s="13">
        <v>4.53</v>
      </c>
      <c r="O83" s="13">
        <v>0.47</v>
      </c>
      <c r="P83" s="13">
        <v>0</v>
      </c>
      <c r="Q83" s="13">
        <v>1090001215</v>
      </c>
      <c r="R83" s="13">
        <v>2378451</v>
      </c>
      <c r="S83" s="13" t="s">
        <v>23</v>
      </c>
    </row>
    <row r="84" spans="1:19" s="13" customFormat="1" ht="13.95" hidden="1" x14ac:dyDescent="0.25">
      <c r="A84" s="4">
        <v>20170216</v>
      </c>
      <c r="B84" s="4" t="s">
        <v>21</v>
      </c>
      <c r="C84" s="5">
        <v>150197</v>
      </c>
      <c r="D84" s="4" t="s">
        <v>70</v>
      </c>
      <c r="E84" s="4"/>
      <c r="F84" s="4">
        <v>1.2050000000000001</v>
      </c>
      <c r="G84" s="4">
        <v>9200</v>
      </c>
      <c r="H84" s="4">
        <v>9200</v>
      </c>
      <c r="I84" s="4">
        <v>11086</v>
      </c>
      <c r="J84" s="4">
        <v>-11091</v>
      </c>
      <c r="K84" s="4">
        <v>46.02</v>
      </c>
      <c r="L84" s="4">
        <v>0</v>
      </c>
      <c r="M84" s="4">
        <v>0</v>
      </c>
      <c r="N84" s="4">
        <v>4.46</v>
      </c>
      <c r="O84" s="4">
        <v>0.54</v>
      </c>
      <c r="P84" s="4">
        <v>0</v>
      </c>
      <c r="Q84" s="4" t="s">
        <v>71</v>
      </c>
      <c r="R84" s="4">
        <v>103000011510817</v>
      </c>
      <c r="S84" s="4">
        <v>114530373</v>
      </c>
    </row>
    <row r="85" spans="1:19" s="13" customFormat="1" ht="13.95" hidden="1" x14ac:dyDescent="0.25">
      <c r="A85" s="13">
        <v>20170310</v>
      </c>
      <c r="B85" s="13" t="s">
        <v>24</v>
      </c>
      <c r="C85" s="14">
        <v>150197</v>
      </c>
      <c r="D85" s="13" t="s">
        <v>70</v>
      </c>
      <c r="E85" s="6">
        <f>J85+J84</f>
        <v>-598.79999999999927</v>
      </c>
      <c r="F85" s="13">
        <v>1.141</v>
      </c>
      <c r="G85" s="13">
        <v>9200</v>
      </c>
      <c r="H85" s="13">
        <v>0</v>
      </c>
      <c r="I85" s="13">
        <v>10497.2</v>
      </c>
      <c r="J85" s="13">
        <v>10492.2</v>
      </c>
      <c r="K85" s="13">
        <v>31005.45</v>
      </c>
      <c r="L85" s="13">
        <v>0</v>
      </c>
      <c r="M85" s="13">
        <v>0</v>
      </c>
      <c r="N85" s="13">
        <v>4.49</v>
      </c>
      <c r="O85" s="13">
        <v>0.51</v>
      </c>
      <c r="P85" s="13">
        <v>0</v>
      </c>
      <c r="Q85" s="13" t="s">
        <v>72</v>
      </c>
      <c r="R85" s="13">
        <v>101000004212158</v>
      </c>
      <c r="S85" s="13">
        <v>114530373</v>
      </c>
    </row>
    <row r="86" spans="1:19" ht="13.95" hidden="1" x14ac:dyDescent="0.25">
      <c r="A86" s="4">
        <v>20161125</v>
      </c>
      <c r="B86" s="4" t="s">
        <v>21</v>
      </c>
      <c r="C86" s="5">
        <v>300059</v>
      </c>
      <c r="D86" s="4" t="s">
        <v>73</v>
      </c>
      <c r="E86" s="4"/>
      <c r="F86" s="4">
        <v>20.81</v>
      </c>
      <c r="G86" s="4">
        <v>500</v>
      </c>
      <c r="H86" s="4">
        <v>500</v>
      </c>
      <c r="I86" s="4">
        <v>10405</v>
      </c>
      <c r="J86" s="4">
        <v>-10410</v>
      </c>
      <c r="K86" s="4">
        <v>1744.8</v>
      </c>
      <c r="L86" s="4">
        <v>0</v>
      </c>
      <c r="M86" s="4">
        <v>0</v>
      </c>
      <c r="N86" s="4">
        <v>4.07</v>
      </c>
      <c r="O86" s="4">
        <v>0.93</v>
      </c>
      <c r="P86" s="4">
        <v>0</v>
      </c>
      <c r="Q86" s="4" t="s">
        <v>74</v>
      </c>
      <c r="R86" s="4">
        <v>104000010278076</v>
      </c>
      <c r="S86" s="4">
        <v>114530373</v>
      </c>
    </row>
    <row r="87" spans="1:19" ht="13.95" hidden="1" x14ac:dyDescent="0.25">
      <c r="A87" s="11">
        <v>20170417</v>
      </c>
      <c r="B87" s="11" t="s">
        <v>75</v>
      </c>
      <c r="C87" s="12">
        <v>300059</v>
      </c>
      <c r="D87" s="11" t="s">
        <v>73</v>
      </c>
      <c r="E87" s="11"/>
      <c r="F87" s="11">
        <v>0</v>
      </c>
      <c r="G87" s="11">
        <v>100</v>
      </c>
      <c r="H87" s="11">
        <v>600</v>
      </c>
      <c r="I87" s="11">
        <v>0</v>
      </c>
      <c r="J87" s="11">
        <v>0</v>
      </c>
      <c r="K87" s="11">
        <v>46029.94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114530373</v>
      </c>
      <c r="S87" s="11"/>
    </row>
    <row r="88" spans="1:19" ht="13.95" hidden="1" x14ac:dyDescent="0.25">
      <c r="A88" s="11">
        <v>20170417</v>
      </c>
      <c r="B88" s="11" t="s">
        <v>63</v>
      </c>
      <c r="C88" s="12">
        <v>300059</v>
      </c>
      <c r="D88" s="11" t="s">
        <v>73</v>
      </c>
      <c r="E88" s="11"/>
      <c r="F88" s="11">
        <v>0</v>
      </c>
      <c r="G88" s="11">
        <v>0</v>
      </c>
      <c r="H88" s="11">
        <v>0</v>
      </c>
      <c r="I88" s="11">
        <v>20</v>
      </c>
      <c r="J88" s="11">
        <v>20</v>
      </c>
      <c r="K88" s="11">
        <v>46029.94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114530373</v>
      </c>
      <c r="S88" s="11"/>
    </row>
    <row r="89" spans="1:19" ht="13.95" hidden="1" x14ac:dyDescent="0.25">
      <c r="A89" t="str">
        <f>"0"</f>
        <v>0</v>
      </c>
      <c r="B89" t="str">
        <f>"股份转出"</f>
        <v>股份转出</v>
      </c>
      <c r="C89" t="str">
        <f>"380059"</f>
        <v>380059</v>
      </c>
      <c r="D89" s="20" t="str">
        <f>"东财配债"</f>
        <v>东财配债</v>
      </c>
      <c r="F89">
        <v>0</v>
      </c>
      <c r="G89">
        <v>14</v>
      </c>
      <c r="H89">
        <v>0</v>
      </c>
      <c r="I89">
        <v>0</v>
      </c>
      <c r="J89">
        <v>0</v>
      </c>
      <c r="K89">
        <v>74812.52</v>
      </c>
      <c r="L89">
        <v>0</v>
      </c>
      <c r="M89">
        <v>0</v>
      </c>
      <c r="N89">
        <v>0</v>
      </c>
      <c r="O89">
        <v>0</v>
      </c>
      <c r="P89">
        <v>0</v>
      </c>
      <c r="R89" t="str">
        <f>"0"</f>
        <v>0</v>
      </c>
      <c r="S89" t="str">
        <f>"0114530373"</f>
        <v>0114530373</v>
      </c>
    </row>
    <row r="90" spans="1:19" ht="13.95" hidden="1" x14ac:dyDescent="0.25">
      <c r="A90" s="4" t="str">
        <f>"20170901"</f>
        <v>20170901</v>
      </c>
      <c r="B90" s="4" t="str">
        <f>"证券买入"</f>
        <v>证券买入</v>
      </c>
      <c r="C90" s="5" t="str">
        <f>"300059"</f>
        <v>300059</v>
      </c>
      <c r="D90" s="4" t="str">
        <f>"东方财富"</f>
        <v>东方财富</v>
      </c>
      <c r="E90" s="4"/>
      <c r="F90" s="4">
        <v>15.26</v>
      </c>
      <c r="G90" s="4">
        <v>700</v>
      </c>
      <c r="H90" s="4">
        <v>1300</v>
      </c>
      <c r="I90" s="4">
        <v>10682</v>
      </c>
      <c r="J90" s="4">
        <v>-10687</v>
      </c>
      <c r="K90" s="4">
        <v>123138.46</v>
      </c>
      <c r="L90" s="4">
        <v>0</v>
      </c>
      <c r="M90" s="4">
        <v>0</v>
      </c>
      <c r="N90" s="4">
        <v>4.0599999999999996</v>
      </c>
      <c r="O90" s="4">
        <v>0.94</v>
      </c>
      <c r="P90" s="4">
        <v>0</v>
      </c>
      <c r="Q90" s="4" t="str">
        <f>"ZV005364"</f>
        <v>ZV005364</v>
      </c>
      <c r="R90" s="4" t="str">
        <f>"0104000014645913"</f>
        <v>0104000014645913</v>
      </c>
      <c r="S90" s="4" t="str">
        <f>"0114530373"</f>
        <v>0114530373</v>
      </c>
    </row>
    <row r="91" spans="1:19" ht="14.55" hidden="1" thickBot="1" x14ac:dyDescent="0.3">
      <c r="A91" s="13" t="str">
        <f>"20180330"</f>
        <v>20180330</v>
      </c>
      <c r="B91" s="13" t="str">
        <f>"证券卖出"</f>
        <v>证券卖出</v>
      </c>
      <c r="C91" s="14" t="str">
        <f>"300059"</f>
        <v>300059</v>
      </c>
      <c r="D91" s="13" t="str">
        <f>"东方财富"</f>
        <v>东方财富</v>
      </c>
      <c r="E91" s="19">
        <f>SUM(J86:J91)</f>
        <v>695.65999999999985</v>
      </c>
      <c r="F91" s="13">
        <v>16.77</v>
      </c>
      <c r="G91" s="13">
        <v>1300</v>
      </c>
      <c r="H91" s="13">
        <v>0</v>
      </c>
      <c r="I91" s="13">
        <v>21801</v>
      </c>
      <c r="J91" s="13">
        <v>21772.66</v>
      </c>
      <c r="K91" s="13">
        <v>46525.38</v>
      </c>
      <c r="L91" s="13">
        <v>21.8</v>
      </c>
      <c r="M91" s="13">
        <v>0</v>
      </c>
      <c r="N91" s="13">
        <v>4.5999999999999996</v>
      </c>
      <c r="O91" s="13">
        <v>1.94</v>
      </c>
      <c r="P91" s="13">
        <v>0</v>
      </c>
      <c r="Q91" s="13" t="str">
        <f>"ZV004935"</f>
        <v>ZV004935</v>
      </c>
      <c r="R91" s="13" t="str">
        <f>"0103000012331461"</f>
        <v>0103000012331461</v>
      </c>
      <c r="S91" s="13" t="str">
        <f>"0114530373"</f>
        <v>0114530373</v>
      </c>
    </row>
    <row r="92" spans="1:19" s="4" customFormat="1" ht="13.95" hidden="1" x14ac:dyDescent="0.25">
      <c r="A92" s="4">
        <v>20170517</v>
      </c>
      <c r="B92" s="4" t="s">
        <v>21</v>
      </c>
      <c r="C92" s="5">
        <v>2230</v>
      </c>
      <c r="D92" s="4" t="s">
        <v>76</v>
      </c>
      <c r="F92" s="4">
        <v>29.8</v>
      </c>
      <c r="G92" s="4">
        <v>400</v>
      </c>
      <c r="H92" s="4">
        <v>400</v>
      </c>
      <c r="I92" s="4">
        <v>11920</v>
      </c>
      <c r="J92" s="4">
        <v>-11925</v>
      </c>
      <c r="K92" s="4">
        <v>28799.94</v>
      </c>
      <c r="L92" s="4">
        <v>0</v>
      </c>
      <c r="M92" s="4">
        <v>0</v>
      </c>
      <c r="N92" s="4">
        <v>3.94</v>
      </c>
      <c r="O92" s="4">
        <v>1.06</v>
      </c>
      <c r="P92" s="4">
        <v>0</v>
      </c>
      <c r="Q92" s="4" t="s">
        <v>77</v>
      </c>
      <c r="R92" s="4">
        <v>104000008377085</v>
      </c>
      <c r="S92" s="4">
        <v>114530373</v>
      </c>
    </row>
    <row r="93" spans="1:19" s="4" customFormat="1" ht="13.95" hidden="1" x14ac:dyDescent="0.25">
      <c r="A93" s="13">
        <v>20170622</v>
      </c>
      <c r="B93" s="13" t="s">
        <v>24</v>
      </c>
      <c r="C93" s="14">
        <v>2230</v>
      </c>
      <c r="D93" s="13" t="s">
        <v>78</v>
      </c>
      <c r="E93" s="13"/>
      <c r="F93" s="13">
        <v>34.020000000000003</v>
      </c>
      <c r="G93" s="13">
        <v>200</v>
      </c>
      <c r="H93" s="13">
        <v>200</v>
      </c>
      <c r="I93" s="13">
        <v>6804</v>
      </c>
      <c r="J93" s="13">
        <v>6792.2</v>
      </c>
      <c r="K93" s="13">
        <v>38603.839999999997</v>
      </c>
      <c r="L93" s="13">
        <v>6.8</v>
      </c>
      <c r="M93" s="13">
        <v>0</v>
      </c>
      <c r="N93" s="13">
        <v>4.38</v>
      </c>
      <c r="O93" s="13">
        <v>0.62</v>
      </c>
      <c r="P93" s="13">
        <v>0</v>
      </c>
      <c r="Q93" s="13" t="s">
        <v>79</v>
      </c>
      <c r="R93" s="13">
        <v>104000007486367</v>
      </c>
      <c r="S93" s="13">
        <v>114530373</v>
      </c>
    </row>
    <row r="94" spans="1:19" s="13" customFormat="1" ht="13.95" hidden="1" x14ac:dyDescent="0.25">
      <c r="A94" s="13" t="str">
        <f>"20170908"</f>
        <v>20170908</v>
      </c>
      <c r="B94" s="13" t="str">
        <f>"证券卖出"</f>
        <v>证券卖出</v>
      </c>
      <c r="C94" s="14" t="str">
        <f>"002230"</f>
        <v>002230</v>
      </c>
      <c r="D94" s="13" t="str">
        <f>"科大讯飞"</f>
        <v>科大讯飞</v>
      </c>
      <c r="E94" s="13">
        <f>SUM(J92:J94)</f>
        <v>5979.0700000000006</v>
      </c>
      <c r="F94" s="13">
        <v>55.64</v>
      </c>
      <c r="G94" s="13">
        <v>200</v>
      </c>
      <c r="H94" s="13">
        <v>0</v>
      </c>
      <c r="I94" s="13">
        <v>11128</v>
      </c>
      <c r="J94" s="13">
        <v>11111.87</v>
      </c>
      <c r="K94" s="13">
        <v>125125.15</v>
      </c>
      <c r="L94" s="13">
        <v>11.13</v>
      </c>
      <c r="M94" s="13">
        <v>0</v>
      </c>
      <c r="N94" s="13">
        <v>4.0199999999999996</v>
      </c>
      <c r="O94" s="13">
        <v>0.98</v>
      </c>
      <c r="P94" s="13">
        <v>0</v>
      </c>
      <c r="Q94" s="13" t="str">
        <f>"ZV007449"</f>
        <v>ZV007449</v>
      </c>
      <c r="R94" s="13" t="str">
        <f>"0101000015309442"</f>
        <v>0101000015309442</v>
      </c>
      <c r="S94" s="13" t="str">
        <f>"0114530373"</f>
        <v>0114530373</v>
      </c>
    </row>
    <row r="95" spans="1:19" s="6" customFormat="1" ht="13.95" hidden="1" x14ac:dyDescent="0.25">
      <c r="A95" s="4">
        <v>20160121</v>
      </c>
      <c r="B95" s="4" t="s">
        <v>21</v>
      </c>
      <c r="C95" s="5">
        <v>110032</v>
      </c>
      <c r="D95" s="4" t="s">
        <v>80</v>
      </c>
      <c r="E95" s="4"/>
      <c r="F95" s="4">
        <v>105.1</v>
      </c>
      <c r="G95" s="4">
        <v>300</v>
      </c>
      <c r="H95" s="4">
        <v>500</v>
      </c>
      <c r="I95" s="4">
        <v>31530</v>
      </c>
      <c r="J95" s="4">
        <v>-31536.31</v>
      </c>
      <c r="K95" s="4">
        <v>3707.24</v>
      </c>
      <c r="L95" s="4">
        <v>0</v>
      </c>
      <c r="M95" s="4">
        <v>0</v>
      </c>
      <c r="N95" s="4">
        <v>6.28</v>
      </c>
      <c r="O95" s="4">
        <v>0.03</v>
      </c>
      <c r="P95" s="4">
        <v>0</v>
      </c>
      <c r="Q95" s="4">
        <v>1090002405</v>
      </c>
      <c r="R95" s="4">
        <v>11097479</v>
      </c>
      <c r="S95" s="4" t="s">
        <v>23</v>
      </c>
    </row>
    <row r="96" spans="1:19" s="13" customFormat="1" ht="13.95" hidden="1" x14ac:dyDescent="0.25">
      <c r="A96" s="13">
        <v>20170811</v>
      </c>
      <c r="B96" s="13" t="s">
        <v>24</v>
      </c>
      <c r="C96" s="14">
        <v>110032</v>
      </c>
      <c r="D96" s="13" t="s">
        <v>68</v>
      </c>
      <c r="F96" s="13">
        <v>123.45</v>
      </c>
      <c r="G96" s="13">
        <v>150</v>
      </c>
      <c r="H96" s="13">
        <v>150</v>
      </c>
      <c r="I96" s="13">
        <v>18517.5</v>
      </c>
      <c r="J96" s="13">
        <v>18513.8</v>
      </c>
      <c r="K96" s="13">
        <v>116168.64</v>
      </c>
      <c r="L96" s="13">
        <v>0</v>
      </c>
      <c r="M96" s="13">
        <v>0</v>
      </c>
      <c r="N96" s="13">
        <v>3.68</v>
      </c>
      <c r="O96" s="13">
        <v>0.02</v>
      </c>
      <c r="P96" s="13">
        <v>0</v>
      </c>
      <c r="Q96" s="13">
        <v>1090004975</v>
      </c>
      <c r="R96" s="13">
        <v>9883464</v>
      </c>
      <c r="S96" s="13" t="s">
        <v>23</v>
      </c>
    </row>
    <row r="97" spans="1:19" s="13" customFormat="1" ht="13.95" hidden="1" x14ac:dyDescent="0.25">
      <c r="A97" s="13" t="str">
        <f>"20170818"</f>
        <v>20170818</v>
      </c>
      <c r="B97" s="13" t="str">
        <f>"证券卖出"</f>
        <v>证券卖出</v>
      </c>
      <c r="C97" s="14" t="str">
        <f>"110032"</f>
        <v>110032</v>
      </c>
      <c r="D97" s="13" t="str">
        <f>"三一转债"</f>
        <v>三一转债</v>
      </c>
      <c r="E97" s="13">
        <f>SUM(J95:J97)</f>
        <v>5470.2899999999972</v>
      </c>
      <c r="F97" s="13">
        <v>123.31</v>
      </c>
      <c r="G97" s="13">
        <v>150</v>
      </c>
      <c r="H97" s="13">
        <v>0</v>
      </c>
      <c r="I97" s="13">
        <v>18496.5</v>
      </c>
      <c r="J97" s="13">
        <v>18492.8</v>
      </c>
      <c r="K97" s="13">
        <v>144456.46</v>
      </c>
      <c r="L97" s="13">
        <v>0</v>
      </c>
      <c r="M97" s="13">
        <v>0</v>
      </c>
      <c r="N97" s="13">
        <v>3.68</v>
      </c>
      <c r="O97" s="13">
        <v>0.02</v>
      </c>
      <c r="P97" s="13">
        <v>0</v>
      </c>
      <c r="Q97" s="13" t="str">
        <f>"1090001422"</f>
        <v>1090001422</v>
      </c>
      <c r="R97" s="13" t="str">
        <f>"4218509"</f>
        <v>4218509</v>
      </c>
      <c r="S97" s="13" t="str">
        <f t="shared" ref="S97:S103" si="0">"A494937882"</f>
        <v>A494937882</v>
      </c>
    </row>
    <row r="98" spans="1:19" ht="13.95" hidden="1" x14ac:dyDescent="0.25">
      <c r="A98" s="4" t="str">
        <f>"20171031"</f>
        <v>20171031</v>
      </c>
      <c r="B98" s="4" t="str">
        <f>"证券买入"</f>
        <v>证券买入</v>
      </c>
      <c r="C98" s="5" t="str">
        <f>"601398"</f>
        <v>601398</v>
      </c>
      <c r="D98" s="4" t="str">
        <f>"工商银行"</f>
        <v>工商银行</v>
      </c>
      <c r="E98" s="4"/>
      <c r="F98" s="4">
        <v>6.12</v>
      </c>
      <c r="G98" s="4">
        <v>1000</v>
      </c>
      <c r="H98" s="4">
        <v>1000</v>
      </c>
      <c r="I98" s="4">
        <v>6120</v>
      </c>
      <c r="J98" s="4">
        <v>-6125.12</v>
      </c>
      <c r="K98" s="4">
        <v>94795.81</v>
      </c>
      <c r="L98" s="4">
        <v>0</v>
      </c>
      <c r="M98" s="4">
        <v>0.12</v>
      </c>
      <c r="N98" s="4">
        <v>4.58</v>
      </c>
      <c r="O98" s="4">
        <v>0.42</v>
      </c>
      <c r="P98" s="4">
        <v>0</v>
      </c>
      <c r="Q98" s="4" t="str">
        <f>"1090008258"</f>
        <v>1090008258</v>
      </c>
      <c r="R98" s="4" t="str">
        <f>"10296221"</f>
        <v>10296221</v>
      </c>
      <c r="S98" s="4" t="str">
        <f t="shared" si="0"/>
        <v>A494937882</v>
      </c>
    </row>
    <row r="99" spans="1:19" ht="13.95" hidden="1" x14ac:dyDescent="0.25">
      <c r="A99" s="4" t="str">
        <f>"20171101"</f>
        <v>20171101</v>
      </c>
      <c r="B99" s="4" t="str">
        <f>"证券买入"</f>
        <v>证券买入</v>
      </c>
      <c r="C99" s="5" t="str">
        <f>"601398"</f>
        <v>601398</v>
      </c>
      <c r="D99" s="4" t="str">
        <f>"工商银行"</f>
        <v>工商银行</v>
      </c>
      <c r="E99" s="4"/>
      <c r="F99" s="4">
        <v>6.09</v>
      </c>
      <c r="G99" s="4">
        <v>1000</v>
      </c>
      <c r="H99" s="4">
        <v>2000</v>
      </c>
      <c r="I99" s="4">
        <v>6090</v>
      </c>
      <c r="J99" s="4">
        <v>-6095.12</v>
      </c>
      <c r="K99" s="4">
        <v>88700.69</v>
      </c>
      <c r="L99" s="4">
        <v>0</v>
      </c>
      <c r="M99" s="4">
        <v>0.12</v>
      </c>
      <c r="N99" s="4">
        <v>4.58</v>
      </c>
      <c r="O99" s="4">
        <v>0.42</v>
      </c>
      <c r="P99" s="4">
        <v>0</v>
      </c>
      <c r="Q99" s="4" t="str">
        <f>"1090008024"</f>
        <v>1090008024</v>
      </c>
      <c r="R99" s="4" t="str">
        <f>"9511770"</f>
        <v>9511770</v>
      </c>
      <c r="S99" s="4" t="str">
        <f t="shared" si="0"/>
        <v>A494937882</v>
      </c>
    </row>
    <row r="100" spans="1:19" ht="13.95" hidden="1" x14ac:dyDescent="0.25">
      <c r="A100" s="13" t="str">
        <f>"20180208"</f>
        <v>20180208</v>
      </c>
      <c r="B100" s="13" t="str">
        <f>"证券卖出"</f>
        <v>证券卖出</v>
      </c>
      <c r="C100" s="14" t="str">
        <f>"601398"</f>
        <v>601398</v>
      </c>
      <c r="D100" s="13" t="str">
        <f>"工商银行"</f>
        <v>工商银行</v>
      </c>
      <c r="E100" s="13">
        <f>SUM(J98:J100)</f>
        <v>1700.5400000000009</v>
      </c>
      <c r="F100" s="13">
        <v>6.97</v>
      </c>
      <c r="G100" s="13">
        <v>2000</v>
      </c>
      <c r="H100" s="13">
        <v>0</v>
      </c>
      <c r="I100" s="13">
        <v>13940</v>
      </c>
      <c r="J100" s="13">
        <v>13920.78</v>
      </c>
      <c r="K100" s="13">
        <v>34089.800000000003</v>
      </c>
      <c r="L100" s="13">
        <v>13.94</v>
      </c>
      <c r="M100" s="13">
        <v>0.28000000000000003</v>
      </c>
      <c r="N100" s="13">
        <v>4.04</v>
      </c>
      <c r="O100" s="13">
        <v>0.96</v>
      </c>
      <c r="P100" s="13">
        <v>0</v>
      </c>
      <c r="Q100" s="13" t="str">
        <f>"1090002108"</f>
        <v>1090002108</v>
      </c>
      <c r="R100" s="13" t="str">
        <f>"3448200"</f>
        <v>3448200</v>
      </c>
      <c r="S100" s="13" t="str">
        <f t="shared" si="0"/>
        <v>A494937882</v>
      </c>
    </row>
    <row r="101" spans="1:19" s="13" customFormat="1" ht="13.95" hidden="1" x14ac:dyDescent="0.25">
      <c r="A101" s="4" t="str">
        <f>"20180112"</f>
        <v>20180112</v>
      </c>
      <c r="B101" s="4" t="str">
        <f>"证券买入"</f>
        <v>证券买入</v>
      </c>
      <c r="C101" s="5" t="str">
        <f>"600066"</f>
        <v>600066</v>
      </c>
      <c r="D101" s="4" t="str">
        <f>"宇通客车"</f>
        <v>宇通客车</v>
      </c>
      <c r="E101" s="4"/>
      <c r="F101" s="4">
        <v>23.79</v>
      </c>
      <c r="G101" s="4">
        <v>100</v>
      </c>
      <c r="H101" s="4">
        <v>100</v>
      </c>
      <c r="I101" s="4">
        <v>2379</v>
      </c>
      <c r="J101" s="4">
        <v>-2384.0500000000002</v>
      </c>
      <c r="K101" s="4">
        <v>67588.47</v>
      </c>
      <c r="L101" s="4">
        <v>0</v>
      </c>
      <c r="M101" s="4">
        <v>0.05</v>
      </c>
      <c r="N101" s="4">
        <v>4.83</v>
      </c>
      <c r="O101" s="4">
        <v>0.17</v>
      </c>
      <c r="P101" s="4">
        <v>0</v>
      </c>
      <c r="Q101" s="4" t="str">
        <f>"1090003371"</f>
        <v>1090003371</v>
      </c>
      <c r="R101" s="4" t="str">
        <f>"10277403"</f>
        <v>10277403</v>
      </c>
      <c r="S101" s="4" t="str">
        <f t="shared" si="0"/>
        <v>A494937882</v>
      </c>
    </row>
    <row r="102" spans="1:19" s="13" customFormat="1" ht="13.95" hidden="1" x14ac:dyDescent="0.25">
      <c r="A102" s="4" t="str">
        <f>"20180330"</f>
        <v>20180330</v>
      </c>
      <c r="B102" s="4" t="str">
        <f>"证券买入"</f>
        <v>证券买入</v>
      </c>
      <c r="C102" s="5" t="str">
        <f>"600066"</f>
        <v>600066</v>
      </c>
      <c r="D102" s="4" t="str">
        <f>"宇通客车"</f>
        <v>宇通客车</v>
      </c>
      <c r="E102" s="4"/>
      <c r="F102" s="4">
        <v>22.37</v>
      </c>
      <c r="G102" s="4">
        <v>100</v>
      </c>
      <c r="H102" s="4">
        <v>200</v>
      </c>
      <c r="I102" s="4">
        <v>2237</v>
      </c>
      <c r="J102" s="4">
        <v>-2242.04</v>
      </c>
      <c r="K102" s="4">
        <v>24752.720000000001</v>
      </c>
      <c r="L102" s="4">
        <v>0</v>
      </c>
      <c r="M102" s="4">
        <v>0.04</v>
      </c>
      <c r="N102" s="4">
        <v>4.8499999999999996</v>
      </c>
      <c r="O102" s="4">
        <v>0.15</v>
      </c>
      <c r="P102" s="4">
        <v>0</v>
      </c>
      <c r="Q102" s="4" t="str">
        <f>"1090002659"</f>
        <v>1090002659</v>
      </c>
      <c r="R102" s="4" t="str">
        <f>"8414938"</f>
        <v>8414938</v>
      </c>
      <c r="S102" s="4" t="str">
        <f t="shared" si="0"/>
        <v>A494937882</v>
      </c>
    </row>
    <row r="103" spans="1:19" s="13" customFormat="1" ht="13.95" hidden="1" x14ac:dyDescent="0.25">
      <c r="A103" s="13" t="str">
        <f>"20180523"</f>
        <v>20180523</v>
      </c>
      <c r="B103" s="13" t="str">
        <f>"证券卖出"</f>
        <v>证券卖出</v>
      </c>
      <c r="C103" s="14" t="str">
        <f>"600066"</f>
        <v>600066</v>
      </c>
      <c r="D103" s="13" t="str">
        <f>"宇通客车"</f>
        <v>宇通客车</v>
      </c>
      <c r="E103" s="13">
        <f>SUM(J101:J103)</f>
        <v>-213.60000000000036</v>
      </c>
      <c r="F103" s="13">
        <v>22.11</v>
      </c>
      <c r="G103" s="13">
        <v>200</v>
      </c>
      <c r="H103" s="13">
        <v>0</v>
      </c>
      <c r="I103" s="13">
        <v>4422</v>
      </c>
      <c r="J103" s="13">
        <v>4412.49</v>
      </c>
      <c r="K103" s="13">
        <v>21750.87</v>
      </c>
      <c r="L103" s="13">
        <v>4.42</v>
      </c>
      <c r="M103" s="13">
        <v>0.09</v>
      </c>
      <c r="N103" s="13">
        <v>4.6900000000000004</v>
      </c>
      <c r="O103" s="13">
        <v>0.31</v>
      </c>
      <c r="P103" s="13">
        <v>0</v>
      </c>
      <c r="Q103" s="13" t="str">
        <f>"1090002553"</f>
        <v>1090002553</v>
      </c>
      <c r="R103" s="13" t="str">
        <f>"7758361"</f>
        <v>7758361</v>
      </c>
      <c r="S103" s="13" t="str">
        <f t="shared" si="0"/>
        <v>A494937882</v>
      </c>
    </row>
    <row r="104" spans="1:19" s="21" customFormat="1" ht="34.5" customHeight="1" x14ac:dyDescent="0.25">
      <c r="C104" s="22"/>
      <c r="E104" s="23"/>
    </row>
    <row r="105" spans="1:19" ht="13.95" x14ac:dyDescent="0.25">
      <c r="A105" s="4" t="str">
        <f>"20180504"</f>
        <v>20180504</v>
      </c>
      <c r="B105" s="4" t="str">
        <f>"证券买入"</f>
        <v>证券买入</v>
      </c>
      <c r="C105" s="5" t="str">
        <f>"300059"</f>
        <v>300059</v>
      </c>
      <c r="D105" s="4" t="str">
        <f>"东方财富"</f>
        <v>东方财富</v>
      </c>
      <c r="E105" s="4"/>
      <c r="F105" s="4">
        <v>14.96</v>
      </c>
      <c r="G105" s="4">
        <v>1000</v>
      </c>
      <c r="H105" s="4">
        <v>1000</v>
      </c>
      <c r="I105" s="4">
        <v>14960</v>
      </c>
      <c r="J105" s="4">
        <v>-14965</v>
      </c>
      <c r="K105" s="4">
        <v>17212.38</v>
      </c>
      <c r="L105" s="4">
        <v>0</v>
      </c>
      <c r="M105" s="4">
        <v>0</v>
      </c>
      <c r="N105" s="4">
        <v>3.67</v>
      </c>
      <c r="O105" s="4">
        <v>1.33</v>
      </c>
      <c r="P105" s="4">
        <v>0</v>
      </c>
      <c r="Q105" s="4" t="str">
        <f>"ZV003026"</f>
        <v>ZV003026</v>
      </c>
      <c r="R105" s="4" t="str">
        <f>"0103000008729316"</f>
        <v>0103000008729316</v>
      </c>
      <c r="S105" s="4" t="str">
        <f>"0114530373"</f>
        <v>0114530373</v>
      </c>
    </row>
    <row r="106" spans="1:19" s="24" customFormat="1" ht="13.95" x14ac:dyDescent="0.25">
      <c r="C106" s="25"/>
      <c r="D106" s="24" t="str">
        <f>"东方财富"</f>
        <v>东方财富</v>
      </c>
      <c r="E106" s="24">
        <f>(12.58-F105)*H105</f>
        <v>-2380.0000000000009</v>
      </c>
    </row>
    <row r="107" spans="1:19" x14ac:dyDescent="0.25">
      <c r="A107" s="4">
        <v>20161027</v>
      </c>
      <c r="B107" s="4" t="s">
        <v>21</v>
      </c>
      <c r="C107" s="5">
        <v>600094</v>
      </c>
      <c r="D107" s="4" t="s">
        <v>81</v>
      </c>
      <c r="E107" s="4"/>
      <c r="F107" s="4">
        <v>9.14</v>
      </c>
      <c r="G107" s="4">
        <v>1700</v>
      </c>
      <c r="H107" s="4">
        <v>1700</v>
      </c>
      <c r="I107" s="4">
        <v>15538</v>
      </c>
      <c r="J107" s="4">
        <v>-15543.31</v>
      </c>
      <c r="K107" s="4">
        <v>163.32</v>
      </c>
      <c r="L107" s="4">
        <v>0</v>
      </c>
      <c r="M107" s="4">
        <v>0.31</v>
      </c>
      <c r="N107" s="4">
        <v>3.93</v>
      </c>
      <c r="O107" s="4">
        <v>1.07</v>
      </c>
      <c r="P107" s="4">
        <v>0</v>
      </c>
      <c r="Q107" s="4">
        <v>1090003135</v>
      </c>
      <c r="R107" s="4">
        <v>5008244</v>
      </c>
      <c r="S107" s="4" t="s">
        <v>23</v>
      </c>
    </row>
    <row r="108" spans="1:19" x14ac:dyDescent="0.25">
      <c r="A108" s="11">
        <v>20170630</v>
      </c>
      <c r="B108" s="11" t="s">
        <v>63</v>
      </c>
      <c r="C108" s="12">
        <v>600094</v>
      </c>
      <c r="D108" s="11" t="s">
        <v>81</v>
      </c>
      <c r="E108" s="11"/>
      <c r="F108" s="11">
        <v>0</v>
      </c>
      <c r="G108" s="11">
        <v>1700</v>
      </c>
      <c r="H108" s="11">
        <v>0</v>
      </c>
      <c r="I108" s="11">
        <v>85</v>
      </c>
      <c r="J108" s="11">
        <v>85</v>
      </c>
      <c r="K108" s="11">
        <v>85895.39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 t="s">
        <v>23</v>
      </c>
      <c r="S108" s="11"/>
    </row>
    <row r="109" spans="1:19" s="13" customFormat="1" x14ac:dyDescent="0.25">
      <c r="A109" s="13">
        <v>20170811</v>
      </c>
      <c r="B109" s="13" t="s">
        <v>24</v>
      </c>
      <c r="C109" s="14">
        <v>600094</v>
      </c>
      <c r="D109" s="13" t="s">
        <v>81</v>
      </c>
      <c r="E109" s="13">
        <f>(J107+J108+J110)/1700*800+J109</f>
        <v>-1343.4411764705883</v>
      </c>
      <c r="F109" s="13">
        <v>7.43</v>
      </c>
      <c r="G109" s="13">
        <v>800</v>
      </c>
      <c r="H109" s="13">
        <v>900</v>
      </c>
      <c r="I109" s="13">
        <v>5944</v>
      </c>
      <c r="J109" s="13">
        <v>5932.94</v>
      </c>
      <c r="K109" s="13">
        <v>131590.18</v>
      </c>
      <c r="L109" s="13">
        <v>5.94</v>
      </c>
      <c r="M109" s="13">
        <v>0.12</v>
      </c>
      <c r="N109" s="13">
        <v>4.59</v>
      </c>
      <c r="O109" s="13">
        <v>0.41</v>
      </c>
      <c r="P109" s="13">
        <v>0</v>
      </c>
      <c r="Q109" s="13">
        <v>1090005025</v>
      </c>
      <c r="R109" s="13">
        <v>9992174</v>
      </c>
      <c r="S109" s="13" t="s">
        <v>23</v>
      </c>
    </row>
    <row r="110" spans="1:19" s="11" customFormat="1" x14ac:dyDescent="0.25">
      <c r="A110" s="11">
        <v>20170814</v>
      </c>
      <c r="B110" s="26" t="s">
        <v>64</v>
      </c>
      <c r="C110" s="12">
        <v>600094</v>
      </c>
      <c r="D110" s="11" t="s">
        <v>81</v>
      </c>
      <c r="F110" s="11">
        <v>0</v>
      </c>
      <c r="G110" s="11">
        <v>0</v>
      </c>
      <c r="H110" s="11">
        <v>0</v>
      </c>
      <c r="I110" s="11">
        <v>0</v>
      </c>
      <c r="J110" s="11">
        <v>-4</v>
      </c>
      <c r="K110" s="11">
        <v>136006.66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 t="s">
        <v>23</v>
      </c>
    </row>
    <row r="111" spans="1:19" ht="13.95" x14ac:dyDescent="0.25">
      <c r="A111" s="4" t="str">
        <f>"20170907"</f>
        <v>20170907</v>
      </c>
      <c r="B111" s="4" t="str">
        <f>"证券买入"</f>
        <v>证券买入</v>
      </c>
      <c r="C111" s="5" t="str">
        <f>"600094"</f>
        <v>600094</v>
      </c>
      <c r="D111" s="4" t="str">
        <f>"大名城"</f>
        <v>大名城</v>
      </c>
      <c r="E111" s="4"/>
      <c r="F111" s="4">
        <v>7.6</v>
      </c>
      <c r="G111" s="4">
        <v>1200</v>
      </c>
      <c r="H111" s="4">
        <v>2100</v>
      </c>
      <c r="I111" s="4">
        <v>9120</v>
      </c>
      <c r="J111" s="4">
        <v>-9125.18</v>
      </c>
      <c r="K111" s="4">
        <v>114013.28</v>
      </c>
      <c r="L111" s="4">
        <v>0</v>
      </c>
      <c r="M111" s="4">
        <v>0.18</v>
      </c>
      <c r="N111" s="4">
        <v>4.38</v>
      </c>
      <c r="O111" s="4">
        <v>0.62</v>
      </c>
      <c r="P111" s="4">
        <v>0</v>
      </c>
      <c r="Q111" s="4" t="str">
        <f>"1090004883"</f>
        <v>1090004883</v>
      </c>
      <c r="R111" s="4" t="str">
        <f>"8612802"</f>
        <v>8612802</v>
      </c>
      <c r="S111" s="4" t="str">
        <f>"A494937882"</f>
        <v>A494937882</v>
      </c>
    </row>
    <row r="112" spans="1:19" ht="13.95" x14ac:dyDescent="0.25">
      <c r="A112" s="11" t="str">
        <f>"20180518"</f>
        <v>20180518</v>
      </c>
      <c r="B112" s="11" t="str">
        <f>"红利入账"</f>
        <v>红利入账</v>
      </c>
      <c r="C112" s="12" t="str">
        <f>"600094"</f>
        <v>600094</v>
      </c>
      <c r="D112" s="11" t="str">
        <f>"大名城"</f>
        <v>大名城</v>
      </c>
      <c r="E112" s="11"/>
      <c r="F112" s="11">
        <v>0</v>
      </c>
      <c r="G112" s="11">
        <v>2100</v>
      </c>
      <c r="H112" s="11">
        <v>0</v>
      </c>
      <c r="I112" s="11">
        <v>126</v>
      </c>
      <c r="J112" s="11">
        <v>126</v>
      </c>
      <c r="K112" s="11">
        <v>17338.38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/>
      <c r="R112" s="11" t="str">
        <f>"0"</f>
        <v>0</v>
      </c>
      <c r="S112" s="11" t="str">
        <f>"A494937882"</f>
        <v>A494937882</v>
      </c>
    </row>
    <row r="113" spans="1:19" s="24" customFormat="1" ht="13.95" x14ac:dyDescent="0.25">
      <c r="C113" s="25"/>
      <c r="D113" s="24" t="str">
        <f>"大名城"</f>
        <v>大名城</v>
      </c>
      <c r="E113" s="24">
        <f>(5.62-7.6)*1200+(5.62-9.14)*900</f>
        <v>-5544</v>
      </c>
    </row>
    <row r="114" spans="1:19" s="4" customFormat="1" x14ac:dyDescent="0.25">
      <c r="A114" s="4">
        <v>20170322</v>
      </c>
      <c r="B114" s="4" t="s">
        <v>21</v>
      </c>
      <c r="C114" s="5">
        <v>600187</v>
      </c>
      <c r="D114" s="4" t="s">
        <v>82</v>
      </c>
      <c r="F114" s="4">
        <v>5.8</v>
      </c>
      <c r="G114" s="4">
        <v>4000</v>
      </c>
      <c r="H114" s="4">
        <v>4000</v>
      </c>
      <c r="I114" s="4">
        <v>23200</v>
      </c>
      <c r="J114" s="4">
        <v>-23207.42</v>
      </c>
      <c r="K114" s="4">
        <v>7811.13</v>
      </c>
      <c r="L114" s="4">
        <v>0</v>
      </c>
      <c r="M114" s="4">
        <v>0.46</v>
      </c>
      <c r="N114" s="4">
        <v>5.37</v>
      </c>
      <c r="O114" s="4">
        <v>1.59</v>
      </c>
      <c r="P114" s="4">
        <v>0</v>
      </c>
      <c r="Q114" s="4">
        <v>1090005202</v>
      </c>
      <c r="R114" s="4">
        <v>8404447</v>
      </c>
      <c r="S114" s="4" t="s">
        <v>23</v>
      </c>
    </row>
    <row r="115" spans="1:19" s="4" customFormat="1" x14ac:dyDescent="0.25">
      <c r="A115" s="13">
        <v>20170712</v>
      </c>
      <c r="B115" s="13" t="s">
        <v>24</v>
      </c>
      <c r="C115" s="14">
        <v>600187</v>
      </c>
      <c r="D115" s="13" t="s">
        <v>82</v>
      </c>
      <c r="E115" s="13">
        <f>J114/2+J115</f>
        <v>-1479.0499999999993</v>
      </c>
      <c r="F115" s="13">
        <v>5.07</v>
      </c>
      <c r="G115" s="13">
        <v>2000</v>
      </c>
      <c r="H115" s="13">
        <v>2000</v>
      </c>
      <c r="I115" s="13">
        <v>10140</v>
      </c>
      <c r="J115" s="13">
        <v>10124.66</v>
      </c>
      <c r="K115" s="13">
        <v>146565.65</v>
      </c>
      <c r="L115" s="13">
        <v>10.14</v>
      </c>
      <c r="M115" s="13">
        <v>0.2</v>
      </c>
      <c r="N115" s="13">
        <v>4.3099999999999996</v>
      </c>
      <c r="O115" s="13">
        <v>0.69</v>
      </c>
      <c r="P115" s="13">
        <v>0</v>
      </c>
      <c r="Q115" s="13">
        <v>1090002865</v>
      </c>
      <c r="R115" s="13">
        <v>9960875</v>
      </c>
      <c r="S115" s="13" t="s">
        <v>23</v>
      </c>
    </row>
    <row r="116" spans="1:19" s="13" customFormat="1" x14ac:dyDescent="0.25">
      <c r="A116" s="13">
        <v>20170811</v>
      </c>
      <c r="B116" s="13" t="s">
        <v>24</v>
      </c>
      <c r="C116" s="14">
        <v>600187</v>
      </c>
      <c r="D116" s="13" t="s">
        <v>83</v>
      </c>
      <c r="E116" s="13">
        <f>J114/4+J116</f>
        <v>-1381.375</v>
      </c>
      <c r="F116" s="13">
        <v>4.43</v>
      </c>
      <c r="G116" s="13">
        <v>1000</v>
      </c>
      <c r="H116" s="13">
        <v>1000</v>
      </c>
      <c r="I116" s="13">
        <v>4430</v>
      </c>
      <c r="J116" s="13">
        <v>4420.4799999999996</v>
      </c>
      <c r="K116" s="13">
        <v>136010.66</v>
      </c>
      <c r="L116" s="13">
        <v>4.43</v>
      </c>
      <c r="M116" s="13">
        <v>0.09</v>
      </c>
      <c r="N116" s="13">
        <v>4.6900000000000004</v>
      </c>
      <c r="O116" s="13">
        <v>0.31</v>
      </c>
      <c r="P116" s="13">
        <v>0</v>
      </c>
      <c r="Q116" s="13">
        <v>1090005034</v>
      </c>
      <c r="R116" s="13">
        <v>10013421</v>
      </c>
      <c r="S116" s="13" t="s">
        <v>23</v>
      </c>
    </row>
    <row r="117" spans="1:19" s="24" customFormat="1" x14ac:dyDescent="0.25">
      <c r="C117" s="25"/>
      <c r="D117" s="24" t="s">
        <v>84</v>
      </c>
      <c r="E117" s="24">
        <f>(3.34-F114)*H116</f>
        <v>-2460</v>
      </c>
    </row>
    <row r="118" spans="1:19" s="4" customFormat="1" x14ac:dyDescent="0.25">
      <c r="A118" s="4">
        <v>20170105</v>
      </c>
      <c r="B118" s="4" t="s">
        <v>21</v>
      </c>
      <c r="C118" s="5">
        <v>123001</v>
      </c>
      <c r="D118" s="4" t="s">
        <v>85</v>
      </c>
      <c r="F118" s="4">
        <v>109</v>
      </c>
      <c r="G118" s="4">
        <v>200</v>
      </c>
      <c r="H118" s="4">
        <v>200</v>
      </c>
      <c r="I118" s="4">
        <v>21800</v>
      </c>
      <c r="J118" s="4">
        <v>-21804.36</v>
      </c>
      <c r="K118" s="4">
        <v>19943.150000000001</v>
      </c>
      <c r="L118" s="4">
        <v>0</v>
      </c>
      <c r="M118" s="4">
        <v>0</v>
      </c>
      <c r="N118" s="4">
        <v>3.49</v>
      </c>
      <c r="O118" s="4">
        <v>0.87</v>
      </c>
      <c r="P118" s="4">
        <v>0</v>
      </c>
      <c r="Q118" s="4" t="s">
        <v>86</v>
      </c>
      <c r="R118" s="4">
        <v>101000005764293</v>
      </c>
      <c r="S118" s="4">
        <v>114530373</v>
      </c>
    </row>
    <row r="119" spans="1:19" s="4" customFormat="1" x14ac:dyDescent="0.25">
      <c r="A119" s="4">
        <v>20170118</v>
      </c>
      <c r="B119" s="4" t="s">
        <v>21</v>
      </c>
      <c r="C119" s="5">
        <v>123001</v>
      </c>
      <c r="D119" s="4" t="s">
        <v>85</v>
      </c>
      <c r="F119" s="4">
        <v>106.88</v>
      </c>
      <c r="G119" s="4">
        <v>150</v>
      </c>
      <c r="H119" s="4">
        <v>350</v>
      </c>
      <c r="I119" s="4">
        <v>16032</v>
      </c>
      <c r="J119" s="4">
        <v>-16035.21</v>
      </c>
      <c r="K119" s="4">
        <v>472.7</v>
      </c>
      <c r="L119" s="4">
        <v>0</v>
      </c>
      <c r="M119" s="4">
        <v>0</v>
      </c>
      <c r="N119" s="4">
        <v>2.57</v>
      </c>
      <c r="O119" s="4">
        <v>0.64</v>
      </c>
      <c r="P119" s="4">
        <v>0</v>
      </c>
      <c r="Q119" s="4" t="s">
        <v>87</v>
      </c>
      <c r="R119" s="4">
        <v>104000005165351</v>
      </c>
      <c r="S119" s="4">
        <v>114530373</v>
      </c>
    </row>
    <row r="120" spans="1:19" s="4" customFormat="1" x14ac:dyDescent="0.25">
      <c r="A120" s="13">
        <v>20170712</v>
      </c>
      <c r="B120" s="13" t="s">
        <v>24</v>
      </c>
      <c r="C120" s="14">
        <v>123001</v>
      </c>
      <c r="D120" s="13" t="s">
        <v>85</v>
      </c>
      <c r="E120" s="13">
        <f>(J118+J119)/350*170+J120</f>
        <v>-649.89971428571516</v>
      </c>
      <c r="F120" s="13">
        <v>104.31100000000001</v>
      </c>
      <c r="G120" s="13">
        <v>170</v>
      </c>
      <c r="H120" s="13">
        <v>180</v>
      </c>
      <c r="I120" s="13">
        <v>17732.87</v>
      </c>
      <c r="J120" s="13">
        <v>17729.32</v>
      </c>
      <c r="K120" s="13">
        <v>136440.99</v>
      </c>
      <c r="L120" s="13">
        <v>0</v>
      </c>
      <c r="M120" s="13">
        <v>0</v>
      </c>
      <c r="N120" s="13">
        <v>2.84</v>
      </c>
      <c r="O120" s="13">
        <v>0.71</v>
      </c>
      <c r="P120" s="13">
        <v>0</v>
      </c>
      <c r="Q120" s="13" t="s">
        <v>88</v>
      </c>
      <c r="R120" s="13">
        <v>101000012630738</v>
      </c>
      <c r="S120" s="13">
        <v>114530373</v>
      </c>
    </row>
    <row r="121" spans="1:19" s="11" customFormat="1" x14ac:dyDescent="0.25">
      <c r="A121" s="11">
        <v>20170811</v>
      </c>
      <c r="B121" s="11" t="s">
        <v>24</v>
      </c>
      <c r="C121" s="12">
        <v>123001</v>
      </c>
      <c r="D121" s="11" t="s">
        <v>89</v>
      </c>
      <c r="E121" s="11">
        <f>(J118+J119)/350*90+J121</f>
        <v>-241.57514285714205</v>
      </c>
      <c r="F121" s="11">
        <v>105.45</v>
      </c>
      <c r="G121" s="11">
        <v>90</v>
      </c>
      <c r="H121" s="11">
        <v>90</v>
      </c>
      <c r="I121" s="11">
        <v>9490.5</v>
      </c>
      <c r="J121" s="11">
        <v>9488.6</v>
      </c>
      <c r="K121" s="11">
        <v>125657.24</v>
      </c>
      <c r="L121" s="11">
        <v>0</v>
      </c>
      <c r="M121" s="11">
        <v>0</v>
      </c>
      <c r="N121" s="11">
        <v>1.52</v>
      </c>
      <c r="O121" s="11">
        <v>0.38</v>
      </c>
      <c r="P121" s="11">
        <v>0</v>
      </c>
      <c r="Q121" s="11" t="s">
        <v>90</v>
      </c>
      <c r="R121" s="11">
        <v>103000011018308</v>
      </c>
      <c r="S121" s="11">
        <v>114530373</v>
      </c>
    </row>
    <row r="122" spans="1:19" s="13" customFormat="1" ht="13.95" x14ac:dyDescent="0.25">
      <c r="A122" t="str">
        <f>"20171215"</f>
        <v>20171215</v>
      </c>
      <c r="B122" t="str">
        <f>"债券兑息"</f>
        <v>债券兑息</v>
      </c>
      <c r="C122" t="str">
        <f>"123001"</f>
        <v>123001</v>
      </c>
      <c r="D122" t="str">
        <f>"蓝标转债"</f>
        <v>蓝标转债</v>
      </c>
      <c r="E122"/>
      <c r="F122">
        <v>0</v>
      </c>
      <c r="G122">
        <v>0</v>
      </c>
      <c r="H122">
        <v>0</v>
      </c>
      <c r="I122">
        <v>63</v>
      </c>
      <c r="J122">
        <v>63</v>
      </c>
      <c r="K122">
        <v>74732.69</v>
      </c>
      <c r="L122">
        <v>0</v>
      </c>
      <c r="M122">
        <v>0</v>
      </c>
      <c r="N122">
        <v>0</v>
      </c>
      <c r="O122">
        <v>0</v>
      </c>
      <c r="P122">
        <v>0</v>
      </c>
      <c r="Q122"/>
      <c r="R122" t="str">
        <f>"0"</f>
        <v>0</v>
      </c>
      <c r="S122" t="str">
        <f>"0114530373"</f>
        <v>0114530373</v>
      </c>
    </row>
    <row r="123" spans="1:19" s="24" customFormat="1" ht="13.95" x14ac:dyDescent="0.25">
      <c r="C123" s="25"/>
      <c r="D123" s="24" t="str">
        <f>"蓝标转债"</f>
        <v>蓝标转债</v>
      </c>
      <c r="E123" s="24">
        <f>(J118+J119)/350*90+J122+85.65*90</f>
        <v>-1958.6751428571415</v>
      </c>
    </row>
    <row r="124" spans="1:19" s="13" customFormat="1" x14ac:dyDescent="0.25">
      <c r="A124" s="4">
        <v>20170724</v>
      </c>
      <c r="B124" s="4" t="s">
        <v>21</v>
      </c>
      <c r="C124" s="5">
        <v>600096</v>
      </c>
      <c r="D124" s="4" t="s">
        <v>91</v>
      </c>
      <c r="E124" s="4"/>
      <c r="F124" s="4">
        <v>8.1999999999999993</v>
      </c>
      <c r="G124" s="4">
        <v>1200</v>
      </c>
      <c r="H124" s="4">
        <v>1200</v>
      </c>
      <c r="I124" s="4">
        <v>9840</v>
      </c>
      <c r="J124" s="4">
        <v>-9845.2000000000007</v>
      </c>
      <c r="K124" s="4">
        <v>136815.26</v>
      </c>
      <c r="L124" s="4">
        <v>0</v>
      </c>
      <c r="M124" s="4">
        <v>0.2</v>
      </c>
      <c r="N124" s="4">
        <v>4.32</v>
      </c>
      <c r="O124" s="4">
        <v>0.68</v>
      </c>
      <c r="P124" s="4">
        <v>0</v>
      </c>
      <c r="Q124" s="4">
        <v>1090003083</v>
      </c>
      <c r="R124" s="4">
        <v>11588416</v>
      </c>
      <c r="S124" s="4" t="s">
        <v>23</v>
      </c>
    </row>
    <row r="125" spans="1:19" s="24" customFormat="1" x14ac:dyDescent="0.25">
      <c r="C125" s="25"/>
      <c r="D125" s="24" t="s">
        <v>91</v>
      </c>
      <c r="E125" s="24">
        <f>(5.28-F124)*H124</f>
        <v>-3503.9999999999986</v>
      </c>
    </row>
    <row r="126" spans="1:19" s="13" customFormat="1" x14ac:dyDescent="0.25">
      <c r="A126" s="4">
        <v>20161028</v>
      </c>
      <c r="B126" s="4" t="s">
        <v>21</v>
      </c>
      <c r="C126" s="5">
        <v>2445</v>
      </c>
      <c r="D126" s="4" t="s">
        <v>92</v>
      </c>
      <c r="E126" s="4"/>
      <c r="F126" s="4">
        <v>18.074999999999999</v>
      </c>
      <c r="G126" s="4">
        <v>1100</v>
      </c>
      <c r="H126" s="4">
        <v>1100</v>
      </c>
      <c r="I126" s="4">
        <v>19883</v>
      </c>
      <c r="J126" s="4">
        <v>-19888.96</v>
      </c>
      <c r="K126" s="4">
        <v>223.99</v>
      </c>
      <c r="L126" s="4">
        <v>0</v>
      </c>
      <c r="M126" s="4">
        <v>0</v>
      </c>
      <c r="N126" s="4">
        <v>4.1900000000000004</v>
      </c>
      <c r="O126" s="4">
        <v>1.77</v>
      </c>
      <c r="P126" s="4">
        <v>0</v>
      </c>
      <c r="Q126" s="4" t="s">
        <v>93</v>
      </c>
      <c r="R126" s="4">
        <v>101000002111958</v>
      </c>
      <c r="S126" s="4">
        <v>114530373</v>
      </c>
    </row>
    <row r="127" spans="1:19" s="13" customFormat="1" x14ac:dyDescent="0.25">
      <c r="A127" s="4">
        <v>20170110</v>
      </c>
      <c r="B127" s="4" t="s">
        <v>21</v>
      </c>
      <c r="C127" s="5">
        <v>2445</v>
      </c>
      <c r="D127" s="4" t="s">
        <v>92</v>
      </c>
      <c r="E127" s="4"/>
      <c r="F127" s="4">
        <v>15.74</v>
      </c>
      <c r="G127" s="4">
        <v>1300</v>
      </c>
      <c r="H127" s="4">
        <v>2400</v>
      </c>
      <c r="I127" s="4">
        <v>20462</v>
      </c>
      <c r="J127" s="4">
        <v>-20468.14</v>
      </c>
      <c r="K127" s="4">
        <v>14455.01</v>
      </c>
      <c r="L127" s="4">
        <v>0</v>
      </c>
      <c r="M127" s="4">
        <v>0</v>
      </c>
      <c r="N127" s="4">
        <v>4.32</v>
      </c>
      <c r="O127" s="4">
        <v>1.82</v>
      </c>
      <c r="P127" s="4">
        <v>0</v>
      </c>
      <c r="Q127" s="4" t="s">
        <v>94</v>
      </c>
      <c r="R127" s="4">
        <v>104000009285433</v>
      </c>
      <c r="S127" s="4">
        <v>114530373</v>
      </c>
    </row>
    <row r="128" spans="1:19" s="13" customFormat="1" x14ac:dyDescent="0.25">
      <c r="A128" s="4">
        <v>20170309</v>
      </c>
      <c r="B128" s="4" t="s">
        <v>21</v>
      </c>
      <c r="C128" s="5">
        <v>2445</v>
      </c>
      <c r="D128" s="4" t="s">
        <v>92</v>
      </c>
      <c r="E128" s="4"/>
      <c r="F128" s="4">
        <v>16.04</v>
      </c>
      <c r="G128" s="4">
        <v>1200</v>
      </c>
      <c r="H128" s="4">
        <v>3600</v>
      </c>
      <c r="I128" s="4">
        <v>19248</v>
      </c>
      <c r="J128" s="4">
        <v>-19253.77</v>
      </c>
      <c r="K128" s="4">
        <v>20513.25</v>
      </c>
      <c r="L128" s="4">
        <v>0</v>
      </c>
      <c r="M128" s="4">
        <v>0</v>
      </c>
      <c r="N128" s="4">
        <v>4.0599999999999996</v>
      </c>
      <c r="O128" s="4">
        <v>1.71</v>
      </c>
      <c r="P128" s="4">
        <v>0</v>
      </c>
      <c r="Q128" s="4" t="s">
        <v>95</v>
      </c>
      <c r="R128" s="4">
        <v>103000008026389</v>
      </c>
      <c r="S128" s="4">
        <v>114530373</v>
      </c>
    </row>
    <row r="129" spans="1:19" s="13" customFormat="1" x14ac:dyDescent="0.25">
      <c r="A129" s="4">
        <v>20170410</v>
      </c>
      <c r="B129" s="4" t="s">
        <v>21</v>
      </c>
      <c r="C129" s="5">
        <v>2445</v>
      </c>
      <c r="D129" s="4" t="s">
        <v>92</v>
      </c>
      <c r="E129" s="4"/>
      <c r="F129" s="4">
        <v>15.87</v>
      </c>
      <c r="G129" s="4">
        <v>1400</v>
      </c>
      <c r="H129" s="4">
        <v>5000</v>
      </c>
      <c r="I129" s="4">
        <v>22218</v>
      </c>
      <c r="J129" s="4">
        <v>-22224.67</v>
      </c>
      <c r="K129" s="4">
        <v>46009.94</v>
      </c>
      <c r="L129" s="4">
        <v>0</v>
      </c>
      <c r="M129" s="4">
        <v>0</v>
      </c>
      <c r="N129" s="4">
        <v>4.71</v>
      </c>
      <c r="O129" s="4">
        <v>1.96</v>
      </c>
      <c r="P129" s="4">
        <v>0</v>
      </c>
      <c r="Q129" s="4" t="s">
        <v>96</v>
      </c>
      <c r="R129" s="4">
        <v>102000014994318</v>
      </c>
      <c r="S129" s="4">
        <v>114530373</v>
      </c>
    </row>
    <row r="130" spans="1:19" s="13" customFormat="1" x14ac:dyDescent="0.25">
      <c r="A130" s="4">
        <v>20170515</v>
      </c>
      <c r="B130" s="4" t="s">
        <v>21</v>
      </c>
      <c r="C130" s="5">
        <v>2445</v>
      </c>
      <c r="D130" s="4" t="s">
        <v>92</v>
      </c>
      <c r="E130" s="4"/>
      <c r="F130" s="4">
        <v>13.25</v>
      </c>
      <c r="G130" s="4">
        <v>400</v>
      </c>
      <c r="H130" s="4">
        <v>5400</v>
      </c>
      <c r="I130" s="4">
        <v>5300</v>
      </c>
      <c r="J130" s="4">
        <v>-5305</v>
      </c>
      <c r="K130" s="4">
        <v>40724.94</v>
      </c>
      <c r="L130" s="4">
        <v>0</v>
      </c>
      <c r="M130" s="4">
        <v>0</v>
      </c>
      <c r="N130" s="4">
        <v>4.5199999999999996</v>
      </c>
      <c r="O130" s="4">
        <v>0.48</v>
      </c>
      <c r="P130" s="4">
        <v>0</v>
      </c>
      <c r="Q130" s="4" t="s">
        <v>97</v>
      </c>
      <c r="R130" s="4">
        <v>104000007152532</v>
      </c>
      <c r="S130" s="4">
        <v>114530373</v>
      </c>
    </row>
    <row r="131" spans="1:19" x14ac:dyDescent="0.25">
      <c r="A131" s="13">
        <v>20170712</v>
      </c>
      <c r="B131" s="13" t="s">
        <v>24</v>
      </c>
      <c r="C131" s="14">
        <v>2445</v>
      </c>
      <c r="D131" s="13" t="s">
        <v>92</v>
      </c>
      <c r="E131" s="13">
        <f>SUM(J126:J130)*H131/H130+J131</f>
        <v>-10753.989999999998</v>
      </c>
      <c r="F131" s="13">
        <v>12.17</v>
      </c>
      <c r="G131" s="13">
        <v>2700</v>
      </c>
      <c r="H131" s="13">
        <v>2700</v>
      </c>
      <c r="I131" s="13">
        <v>32859</v>
      </c>
      <c r="J131" s="13">
        <v>32816.28</v>
      </c>
      <c r="K131" s="13">
        <v>118711.67</v>
      </c>
      <c r="L131" s="13">
        <v>32.86</v>
      </c>
      <c r="M131" s="13">
        <v>0</v>
      </c>
      <c r="N131" s="13">
        <v>6.94</v>
      </c>
      <c r="O131" s="13">
        <v>2.92</v>
      </c>
      <c r="P131" s="13">
        <v>0</v>
      </c>
      <c r="Q131" s="13" t="s">
        <v>98</v>
      </c>
      <c r="R131" s="13">
        <v>102000012075802</v>
      </c>
      <c r="S131" s="13">
        <v>114530373</v>
      </c>
    </row>
    <row r="132" spans="1:19" s="13" customFormat="1" x14ac:dyDescent="0.25">
      <c r="A132" s="11">
        <v>20170713</v>
      </c>
      <c r="B132" s="26" t="s">
        <v>63</v>
      </c>
      <c r="C132" s="12">
        <v>2445</v>
      </c>
      <c r="D132" s="11" t="s">
        <v>92</v>
      </c>
      <c r="E132" s="11"/>
      <c r="F132" s="11">
        <v>0</v>
      </c>
      <c r="G132" s="11">
        <v>0</v>
      </c>
      <c r="H132" s="11">
        <v>0</v>
      </c>
      <c r="I132" s="11">
        <v>94.81</v>
      </c>
      <c r="J132" s="11">
        <v>94.81</v>
      </c>
      <c r="K132" s="11">
        <v>146660.46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114530373</v>
      </c>
      <c r="S132" s="11"/>
    </row>
    <row r="133" spans="1:19" s="13" customFormat="1" x14ac:dyDescent="0.25">
      <c r="A133" s="4">
        <v>20170804</v>
      </c>
      <c r="B133" s="4" t="s">
        <v>21</v>
      </c>
      <c r="C133" s="5">
        <v>2445</v>
      </c>
      <c r="D133" s="4" t="s">
        <v>92</v>
      </c>
      <c r="E133" s="4"/>
      <c r="F133" s="4">
        <v>13.08</v>
      </c>
      <c r="G133" s="4">
        <v>700</v>
      </c>
      <c r="H133" s="4">
        <v>3400</v>
      </c>
      <c r="I133" s="4">
        <v>9156</v>
      </c>
      <c r="J133" s="4">
        <v>-9161</v>
      </c>
      <c r="K133" s="4">
        <v>67654.259999999995</v>
      </c>
      <c r="L133" s="4">
        <v>0</v>
      </c>
      <c r="M133" s="4">
        <v>0</v>
      </c>
      <c r="N133" s="4">
        <v>4.1900000000000004</v>
      </c>
      <c r="O133" s="4">
        <v>0.81</v>
      </c>
      <c r="P133" s="4">
        <v>0</v>
      </c>
      <c r="Q133" s="4" t="s">
        <v>99</v>
      </c>
      <c r="R133" s="4">
        <v>104000013801985</v>
      </c>
      <c r="S133" s="4">
        <v>114530373</v>
      </c>
    </row>
    <row r="134" spans="1:19" s="13" customFormat="1" x14ac:dyDescent="0.25">
      <c r="A134" s="4">
        <v>20170816</v>
      </c>
      <c r="B134" s="4" t="s">
        <v>21</v>
      </c>
      <c r="C134" s="5">
        <v>2445</v>
      </c>
      <c r="D134" s="4" t="s">
        <v>92</v>
      </c>
      <c r="E134" s="4"/>
      <c r="F134" s="4">
        <v>14.34</v>
      </c>
      <c r="G134" s="4">
        <v>700</v>
      </c>
      <c r="H134" s="4">
        <v>4100</v>
      </c>
      <c r="I134" s="4">
        <v>10038</v>
      </c>
      <c r="J134" s="4">
        <v>-10043</v>
      </c>
      <c r="K134" s="4">
        <v>125963.66</v>
      </c>
      <c r="L134" s="4">
        <v>0</v>
      </c>
      <c r="M134" s="4">
        <v>0</v>
      </c>
      <c r="N134" s="4">
        <v>4.1100000000000003</v>
      </c>
      <c r="O134" s="4">
        <v>0.89</v>
      </c>
      <c r="P134" s="4">
        <v>0</v>
      </c>
      <c r="Q134" s="4" t="s">
        <v>100</v>
      </c>
      <c r="R134" s="4">
        <v>102000013253039</v>
      </c>
      <c r="S134" s="4">
        <v>114530373</v>
      </c>
    </row>
    <row r="135" spans="1:19" s="13" customFormat="1" ht="13.95" x14ac:dyDescent="0.25">
      <c r="A135" s="4" t="str">
        <f>"20170901"</f>
        <v>20170901</v>
      </c>
      <c r="B135" s="4" t="str">
        <f>"证券买入"</f>
        <v>证券买入</v>
      </c>
      <c r="C135" s="5" t="str">
        <f>"002445"</f>
        <v>002445</v>
      </c>
      <c r="D135" s="4" t="str">
        <f>"中南文化"</f>
        <v>中南文化</v>
      </c>
      <c r="E135" s="4"/>
      <c r="F135" s="4">
        <v>15.18</v>
      </c>
      <c r="G135" s="4">
        <v>700</v>
      </c>
      <c r="H135" s="4">
        <v>4800</v>
      </c>
      <c r="I135" s="4">
        <v>10626</v>
      </c>
      <c r="J135" s="4">
        <v>-10631</v>
      </c>
      <c r="K135" s="4">
        <v>133825.46</v>
      </c>
      <c r="L135" s="4">
        <v>0</v>
      </c>
      <c r="M135" s="4">
        <v>0</v>
      </c>
      <c r="N135" s="4">
        <v>4.0599999999999996</v>
      </c>
      <c r="O135" s="4">
        <v>0.94</v>
      </c>
      <c r="P135" s="4">
        <v>0</v>
      </c>
      <c r="Q135" s="4" t="str">
        <f>"ZV005355"</f>
        <v>ZV005355</v>
      </c>
      <c r="R135" s="4" t="str">
        <f>"0104000014625928"</f>
        <v>0104000014625928</v>
      </c>
      <c r="S135" s="4" t="str">
        <f>"0114530373"</f>
        <v>0114530373</v>
      </c>
    </row>
    <row r="136" spans="1:19" s="24" customFormat="1" ht="13.95" x14ac:dyDescent="0.25">
      <c r="C136" s="25"/>
      <c r="D136" s="24" t="str">
        <f>"中南文化"</f>
        <v>中南文化</v>
      </c>
      <c r="E136" s="24">
        <f>SUM(J126:J130)*2700/5400+SUM(J132:J135)+8.44*4800</f>
        <v>-32798.459999999992</v>
      </c>
    </row>
    <row r="137" spans="1:19" ht="13.95" x14ac:dyDescent="0.25">
      <c r="A137" s="4" t="str">
        <f>"20180112"</f>
        <v>20180112</v>
      </c>
      <c r="B137" s="4" t="str">
        <f>"证券买入"</f>
        <v>证券买入</v>
      </c>
      <c r="C137" s="5" t="str">
        <f>"000868"</f>
        <v>000868</v>
      </c>
      <c r="D137" s="4" t="str">
        <f>"安凯客车"</f>
        <v>安凯客车</v>
      </c>
      <c r="E137" s="4"/>
      <c r="F137" s="4">
        <v>9.67</v>
      </c>
      <c r="G137" s="4">
        <v>500</v>
      </c>
      <c r="H137" s="4">
        <v>500</v>
      </c>
      <c r="I137" s="4">
        <v>4835</v>
      </c>
      <c r="J137" s="4">
        <v>-4840</v>
      </c>
      <c r="K137" s="4">
        <v>69972.52</v>
      </c>
      <c r="L137" s="4">
        <v>0</v>
      </c>
      <c r="M137" s="4">
        <v>0</v>
      </c>
      <c r="N137" s="4">
        <v>4.5599999999999996</v>
      </c>
      <c r="O137" s="4">
        <v>0.44</v>
      </c>
      <c r="P137" s="4">
        <v>0</v>
      </c>
      <c r="Q137" s="4" t="str">
        <f>"ZV004721"</f>
        <v>ZV004721</v>
      </c>
      <c r="R137" s="4" t="str">
        <f>"0104000012233628"</f>
        <v>0104000012233628</v>
      </c>
      <c r="S137" s="4" t="str">
        <f>"0114530373"</f>
        <v>0114530373</v>
      </c>
    </row>
    <row r="138" spans="1:19" ht="13.95" x14ac:dyDescent="0.25">
      <c r="A138" s="4" t="str">
        <f>"20180330"</f>
        <v>20180330</v>
      </c>
      <c r="B138" s="4" t="str">
        <f>"证券买入"</f>
        <v>证券买入</v>
      </c>
      <c r="C138" s="5" t="str">
        <f>"000868"</f>
        <v>000868</v>
      </c>
      <c r="D138" s="4" t="str">
        <f>"安凯客车"</f>
        <v>安凯客车</v>
      </c>
      <c r="E138" s="4"/>
      <c r="F138" s="4">
        <v>6.67</v>
      </c>
      <c r="G138" s="4">
        <v>300</v>
      </c>
      <c r="H138" s="4">
        <v>800</v>
      </c>
      <c r="I138" s="4">
        <v>2001</v>
      </c>
      <c r="J138" s="4">
        <v>-2006</v>
      </c>
      <c r="K138" s="4">
        <v>26994.76</v>
      </c>
      <c r="L138" s="4">
        <v>0</v>
      </c>
      <c r="M138" s="4">
        <v>0</v>
      </c>
      <c r="N138" s="4">
        <v>4.82</v>
      </c>
      <c r="O138" s="4">
        <v>0.18</v>
      </c>
      <c r="P138" s="4">
        <v>0</v>
      </c>
      <c r="Q138" s="4" t="str">
        <f>"ZV004769"</f>
        <v>ZV004769</v>
      </c>
      <c r="R138" s="4" t="str">
        <f>"0104000012293505"</f>
        <v>0104000012293505</v>
      </c>
      <c r="S138" s="4" t="str">
        <f>"0114530373"</f>
        <v>0114530373</v>
      </c>
    </row>
    <row r="139" spans="1:19" s="24" customFormat="1" ht="13.95" x14ac:dyDescent="0.25">
      <c r="C139" s="25"/>
      <c r="D139" s="24" t="str">
        <f>"安凯客车"</f>
        <v>安凯客车</v>
      </c>
      <c r="E139" s="24">
        <f>SUM(J137:J138)+4.62*H138</f>
        <v>-3150</v>
      </c>
    </row>
    <row r="140" spans="1:19" ht="13.95" x14ac:dyDescent="0.25">
      <c r="A140" s="4" t="str">
        <f>"20171013"</f>
        <v>20171013</v>
      </c>
      <c r="B140" s="4" t="str">
        <f>"证券买入"</f>
        <v>证券买入</v>
      </c>
      <c r="C140" s="5" t="str">
        <f>"000026"</f>
        <v>000026</v>
      </c>
      <c r="D140" s="4" t="str">
        <f>"飞亚达Ａ"</f>
        <v>飞亚达Ａ</v>
      </c>
      <c r="E140" s="4"/>
      <c r="F140" s="4">
        <v>12.15</v>
      </c>
      <c r="G140" s="4">
        <v>2000</v>
      </c>
      <c r="H140" s="4">
        <v>2000</v>
      </c>
      <c r="I140" s="4">
        <v>24300</v>
      </c>
      <c r="J140" s="4">
        <v>-24307.29</v>
      </c>
      <c r="K140" s="4">
        <v>100918.3</v>
      </c>
      <c r="L140" s="4">
        <v>0</v>
      </c>
      <c r="M140" s="4">
        <v>0</v>
      </c>
      <c r="N140" s="4">
        <v>5.14</v>
      </c>
      <c r="O140" s="4">
        <v>2.15</v>
      </c>
      <c r="P140" s="4">
        <v>0</v>
      </c>
      <c r="Q140" s="4" t="str">
        <f>"ZV006277"</f>
        <v>ZV006277</v>
      </c>
      <c r="R140" s="4" t="str">
        <f>"0104000009571999"</f>
        <v>0104000009571999</v>
      </c>
      <c r="S140" s="4" t="str">
        <f>"0114530373"</f>
        <v>0114530373</v>
      </c>
    </row>
    <row r="141" spans="1:19" s="24" customFormat="1" ht="13.95" x14ac:dyDescent="0.25">
      <c r="C141" s="25"/>
      <c r="D141" s="24" t="str">
        <f>"飞亚达Ａ"</f>
        <v>飞亚达Ａ</v>
      </c>
      <c r="E141" s="24">
        <f>J140+8.93*H140</f>
        <v>-6447.2900000000009</v>
      </c>
    </row>
    <row r="142" spans="1:19" ht="13.95" x14ac:dyDescent="0.25">
      <c r="A142" s="4" t="str">
        <f>"20180427"</f>
        <v>20180427</v>
      </c>
      <c r="B142" s="4" t="str">
        <f>"证券买入"</f>
        <v>证券买入</v>
      </c>
      <c r="C142" s="5" t="str">
        <f>"000651"</f>
        <v>000651</v>
      </c>
      <c r="D142" s="4" t="str">
        <f>"格力电器"</f>
        <v>格力电器</v>
      </c>
      <c r="E142" s="4"/>
      <c r="F142" s="4">
        <v>45.02</v>
      </c>
      <c r="G142" s="4">
        <v>200</v>
      </c>
      <c r="H142" s="4">
        <v>200</v>
      </c>
      <c r="I142" s="4">
        <v>9004</v>
      </c>
      <c r="J142" s="4">
        <v>-9009</v>
      </c>
      <c r="K142" s="4">
        <v>32177.38</v>
      </c>
      <c r="L142" s="4">
        <v>0</v>
      </c>
      <c r="M142" s="4">
        <v>0</v>
      </c>
      <c r="N142" s="4">
        <v>4.2</v>
      </c>
      <c r="O142" s="4">
        <v>0.8</v>
      </c>
      <c r="P142" s="4">
        <v>0</v>
      </c>
      <c r="Q142" s="4" t="str">
        <f>"ZV004204"</f>
        <v>ZV004204</v>
      </c>
      <c r="R142" s="4" t="str">
        <f>"0102000012043156"</f>
        <v>0102000012043156</v>
      </c>
      <c r="S142" s="4" t="str">
        <f>"0114530373"</f>
        <v>0114530373</v>
      </c>
    </row>
    <row r="143" spans="1:19" s="24" customFormat="1" ht="13.95" x14ac:dyDescent="0.25">
      <c r="C143" s="25"/>
      <c r="D143" s="24" t="str">
        <f>"格力电器"</f>
        <v>格力电器</v>
      </c>
      <c r="E143" s="24">
        <f>J142+48.09*H142</f>
        <v>609</v>
      </c>
    </row>
    <row r="144" spans="1:19" ht="13.95" x14ac:dyDescent="0.25">
      <c r="A144" s="4" t="str">
        <f>"20180126"</f>
        <v>20180126</v>
      </c>
      <c r="B144" s="4" t="str">
        <f>"证券买入"</f>
        <v>证券买入</v>
      </c>
      <c r="C144" s="5" t="str">
        <f>"000428"</f>
        <v>000428</v>
      </c>
      <c r="D144" s="4" t="str">
        <f>"华天酒店"</f>
        <v>华天酒店</v>
      </c>
      <c r="E144" s="4"/>
      <c r="F144" s="4">
        <v>4.2</v>
      </c>
      <c r="G144" s="4">
        <v>7500</v>
      </c>
      <c r="H144" s="4">
        <v>7500</v>
      </c>
      <c r="I144" s="4">
        <v>31500</v>
      </c>
      <c r="J144" s="4">
        <v>-31509.45</v>
      </c>
      <c r="K144" s="4">
        <v>36079.019999999997</v>
      </c>
      <c r="L144" s="4">
        <v>0</v>
      </c>
      <c r="M144" s="4">
        <v>0</v>
      </c>
      <c r="N144" s="4">
        <v>6.66</v>
      </c>
      <c r="O144" s="4">
        <v>2.79</v>
      </c>
      <c r="P144" s="4">
        <v>0</v>
      </c>
      <c r="Q144" s="4" t="str">
        <f>"ZV004731"</f>
        <v>ZV004731</v>
      </c>
      <c r="R144" s="4" t="str">
        <f>"0104000008582095"</f>
        <v>0104000008582095</v>
      </c>
      <c r="S144" s="4" t="str">
        <f>"0114530373"</f>
        <v>0114530373</v>
      </c>
    </row>
    <row r="145" spans="1:19" s="13" customFormat="1" ht="13.95" x14ac:dyDescent="0.25">
      <c r="A145" s="4" t="str">
        <f>"20180131"</f>
        <v>20180131</v>
      </c>
      <c r="B145" s="4" t="str">
        <f>"证券买入"</f>
        <v>证券买入</v>
      </c>
      <c r="C145" s="5" t="str">
        <f>"000428"</f>
        <v>000428</v>
      </c>
      <c r="D145" s="4" t="str">
        <f>"华天酒店"</f>
        <v>华天酒店</v>
      </c>
      <c r="E145" s="4"/>
      <c r="F145" s="4">
        <v>4.03</v>
      </c>
      <c r="G145" s="4">
        <v>2000</v>
      </c>
      <c r="H145" s="4">
        <v>9500</v>
      </c>
      <c r="I145" s="4">
        <v>8060</v>
      </c>
      <c r="J145" s="4">
        <v>-8065</v>
      </c>
      <c r="K145" s="4">
        <v>26014.02</v>
      </c>
      <c r="L145" s="4">
        <v>0</v>
      </c>
      <c r="M145" s="4">
        <v>0</v>
      </c>
      <c r="N145" s="4">
        <v>4.29</v>
      </c>
      <c r="O145" s="4">
        <v>0.71</v>
      </c>
      <c r="P145" s="4">
        <v>0</v>
      </c>
      <c r="Q145" s="4" t="str">
        <f>"ZV002556"</f>
        <v>ZV002556</v>
      </c>
      <c r="R145" s="4" t="str">
        <f>"0104000006793364"</f>
        <v>0104000006793364</v>
      </c>
      <c r="S145" s="4" t="str">
        <f>"0114530373"</f>
        <v>0114530373</v>
      </c>
    </row>
    <row r="146" spans="1:19" s="24" customFormat="1" ht="13.95" x14ac:dyDescent="0.25">
      <c r="C146" s="25"/>
      <c r="D146" s="24" t="str">
        <f>"华天酒店"</f>
        <v>华天酒店</v>
      </c>
      <c r="E146" s="24">
        <f>SUM(J144:J145)+2.83*H145</f>
        <v>-12689.449999999997</v>
      </c>
    </row>
    <row r="147" spans="1:19" s="4" customFormat="1" ht="13.95" x14ac:dyDescent="0.25">
      <c r="A147" s="4" t="str">
        <f>"20171219"</f>
        <v>20171219</v>
      </c>
      <c r="B147" s="4" t="str">
        <f>"配股权证"</f>
        <v>配股权证</v>
      </c>
      <c r="C147" s="4" t="str">
        <f>"380059"</f>
        <v>380059</v>
      </c>
      <c r="D147" s="4" t="str">
        <f>"新代码"</f>
        <v>新代码</v>
      </c>
      <c r="F147" s="4">
        <v>0</v>
      </c>
      <c r="G147" s="4">
        <v>14</v>
      </c>
      <c r="H147" s="4">
        <v>14</v>
      </c>
      <c r="I147" s="4">
        <v>0</v>
      </c>
      <c r="J147" s="4">
        <v>0</v>
      </c>
      <c r="K147" s="4">
        <v>74732.69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R147" s="4" t="str">
        <f>"0"</f>
        <v>0</v>
      </c>
      <c r="S147" s="4" t="str">
        <f>"0114530373"</f>
        <v>0114530373</v>
      </c>
    </row>
    <row r="148" spans="1:19" s="4" customFormat="1" ht="13.95" x14ac:dyDescent="0.25">
      <c r="A148" s="4" t="str">
        <f>"20180130"</f>
        <v>20180130</v>
      </c>
      <c r="B148" s="4" t="str">
        <f>"配售缴款"</f>
        <v>配售缴款</v>
      </c>
      <c r="C148" s="4" t="str">
        <f>"072807"</f>
        <v>072807</v>
      </c>
      <c r="D148" s="4" t="str">
        <f>"江银发债"</f>
        <v>江银发债</v>
      </c>
      <c r="F148" s="4">
        <v>100</v>
      </c>
      <c r="G148" s="4">
        <v>20</v>
      </c>
      <c r="H148" s="4">
        <v>0</v>
      </c>
      <c r="I148" s="4">
        <v>2000</v>
      </c>
      <c r="J148" s="4">
        <v>-2000</v>
      </c>
      <c r="K148" s="4">
        <v>34079.019999999997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 t="str">
        <f>"ZV005266"</f>
        <v>ZV005266</v>
      </c>
      <c r="S148" s="4" t="str">
        <f>"0114530373"</f>
        <v>0114530373</v>
      </c>
    </row>
    <row r="149" spans="1:19" s="4" customFormat="1" ht="13.95" x14ac:dyDescent="0.25">
      <c r="A149" s="4" t="str">
        <f>"0"</f>
        <v>0</v>
      </c>
      <c r="B149" s="4" t="str">
        <f>"新股入帐"</f>
        <v>新股入帐</v>
      </c>
      <c r="C149" s="4" t="str">
        <f>"128034"</f>
        <v>128034</v>
      </c>
      <c r="D149" s="4" t="str">
        <f>"新代码"</f>
        <v>新代码</v>
      </c>
      <c r="F149" s="4">
        <v>0</v>
      </c>
      <c r="G149" s="4">
        <v>20</v>
      </c>
      <c r="H149" s="4">
        <v>20</v>
      </c>
      <c r="I149" s="4">
        <v>0</v>
      </c>
      <c r="J149" s="4">
        <v>0</v>
      </c>
      <c r="K149" s="4">
        <v>26014.02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R149" s="4" t="str">
        <f>"0"</f>
        <v>0</v>
      </c>
      <c r="S149" s="4" t="str">
        <f>"0114530373"</f>
        <v>0114530373</v>
      </c>
    </row>
    <row r="150" spans="1:19" s="24" customFormat="1" ht="13.95" x14ac:dyDescent="0.25">
      <c r="C150" s="25"/>
      <c r="D150" s="24" t="str">
        <f>"江银发债"</f>
        <v>江银发债</v>
      </c>
      <c r="E150" s="24">
        <f>J148+92.95*H149</f>
        <v>-141</v>
      </c>
    </row>
    <row r="151" spans="1:19" s="13" customFormat="1" ht="13.95" x14ac:dyDescent="0.25">
      <c r="A151" s="4" t="str">
        <f>"20180206"</f>
        <v>20180206</v>
      </c>
      <c r="B151" s="4" t="str">
        <f>"证券买入"</f>
        <v>证券买入</v>
      </c>
      <c r="C151" s="5" t="str">
        <f>"300274"</f>
        <v>300274</v>
      </c>
      <c r="D151" s="4" t="str">
        <f>"阳光电源"</f>
        <v>阳光电源</v>
      </c>
      <c r="E151" s="4"/>
      <c r="F151" s="4">
        <v>14.6</v>
      </c>
      <c r="G151" s="4">
        <v>400</v>
      </c>
      <c r="H151" s="4">
        <v>400</v>
      </c>
      <c r="I151" s="4">
        <v>5840</v>
      </c>
      <c r="J151" s="4">
        <v>-5845</v>
      </c>
      <c r="K151" s="4">
        <v>20169.02</v>
      </c>
      <c r="L151" s="4">
        <v>0</v>
      </c>
      <c r="M151" s="4">
        <v>0</v>
      </c>
      <c r="N151" s="4">
        <v>4.4800000000000004</v>
      </c>
      <c r="O151" s="4">
        <v>0.52</v>
      </c>
      <c r="P151" s="4">
        <v>0</v>
      </c>
      <c r="Q151" s="4" t="str">
        <f>"ZV001146"</f>
        <v>ZV001146</v>
      </c>
      <c r="R151" s="4" t="str">
        <f>"0103000002712866"</f>
        <v>0103000002712866</v>
      </c>
      <c r="S151" s="4" t="str">
        <f>"0114530373"</f>
        <v>0114530373</v>
      </c>
    </row>
    <row r="152" spans="1:19" s="13" customFormat="1" ht="13.95" x14ac:dyDescent="0.25">
      <c r="A152" s="4" t="str">
        <f>"20180308"</f>
        <v>20180308</v>
      </c>
      <c r="B152" s="4" t="str">
        <f>"证券买入"</f>
        <v>证券买入</v>
      </c>
      <c r="C152" s="5" t="str">
        <f>"300274"</f>
        <v>300274</v>
      </c>
      <c r="D152" s="4" t="str">
        <f>"阳光电源"</f>
        <v>阳光电源</v>
      </c>
      <c r="E152" s="4"/>
      <c r="F152" s="4">
        <v>17.09</v>
      </c>
      <c r="G152" s="4">
        <v>300</v>
      </c>
      <c r="H152" s="4">
        <v>700</v>
      </c>
      <c r="I152" s="4">
        <v>5127</v>
      </c>
      <c r="J152" s="4">
        <v>-5132</v>
      </c>
      <c r="K152" s="4">
        <v>28957.8</v>
      </c>
      <c r="L152" s="4">
        <v>0</v>
      </c>
      <c r="M152" s="4">
        <v>0</v>
      </c>
      <c r="N152" s="4">
        <v>4.55</v>
      </c>
      <c r="O152" s="4">
        <v>0.45</v>
      </c>
      <c r="P152" s="4">
        <v>0</v>
      </c>
      <c r="Q152" s="4" t="str">
        <f>"ZV003607"</f>
        <v>ZV003607</v>
      </c>
      <c r="R152" s="4" t="str">
        <f>"0101000010421435"</f>
        <v>0101000010421435</v>
      </c>
      <c r="S152" s="4" t="str">
        <f>"0114530373"</f>
        <v>0114530373</v>
      </c>
    </row>
    <row r="153" spans="1:19" s="13" customFormat="1" ht="13.95" x14ac:dyDescent="0.25">
      <c r="A153" s="4" t="str">
        <f>"20180413"</f>
        <v>20180413</v>
      </c>
      <c r="B153" s="4" t="str">
        <f>"证券买入"</f>
        <v>证券买入</v>
      </c>
      <c r="C153" s="5" t="str">
        <f>"300274"</f>
        <v>300274</v>
      </c>
      <c r="D153" s="4" t="str">
        <f>"阳光电源"</f>
        <v>阳光电源</v>
      </c>
      <c r="E153" s="4"/>
      <c r="F153" s="4">
        <v>17.78</v>
      </c>
      <c r="G153" s="4">
        <v>300</v>
      </c>
      <c r="H153" s="4">
        <v>1000</v>
      </c>
      <c r="I153" s="4">
        <v>5334</v>
      </c>
      <c r="J153" s="4">
        <v>-5339</v>
      </c>
      <c r="K153" s="4">
        <v>41186.379999999997</v>
      </c>
      <c r="L153" s="4">
        <v>0</v>
      </c>
      <c r="M153" s="4">
        <v>0</v>
      </c>
      <c r="N153" s="4">
        <v>4.5199999999999996</v>
      </c>
      <c r="O153" s="4">
        <v>0.48</v>
      </c>
      <c r="P153" s="4">
        <v>0</v>
      </c>
      <c r="Q153" s="4" t="str">
        <f>"ZV001481"</f>
        <v>ZV001481</v>
      </c>
      <c r="R153" s="4" t="str">
        <f>"0104000003962027"</f>
        <v>0104000003962027</v>
      </c>
      <c r="S153" s="4" t="str">
        <f>"0114530373"</f>
        <v>0114530373</v>
      </c>
    </row>
    <row r="154" spans="1:19" s="13" customFormat="1" ht="13.95" x14ac:dyDescent="0.25">
      <c r="A154" s="11" t="str">
        <f>"20180606"</f>
        <v>20180606</v>
      </c>
      <c r="B154" s="11" t="str">
        <f>"红利入账"</f>
        <v>红利入账</v>
      </c>
      <c r="C154" s="12" t="str">
        <f>"300274"</f>
        <v>300274</v>
      </c>
      <c r="D154" s="11" t="str">
        <f>"阳光电源"</f>
        <v>阳光电源</v>
      </c>
      <c r="E154" s="11"/>
      <c r="F154" s="11">
        <v>0</v>
      </c>
      <c r="G154" s="11">
        <v>0</v>
      </c>
      <c r="H154" s="11">
        <v>0</v>
      </c>
      <c r="I154" s="11">
        <v>79.78</v>
      </c>
      <c r="J154" s="11">
        <v>79.78</v>
      </c>
      <c r="K154" s="11">
        <v>21830.65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/>
      <c r="R154" s="11" t="str">
        <f>"0"</f>
        <v>0</v>
      </c>
      <c r="S154" s="11" t="str">
        <f>"0114530373"</f>
        <v>0114530373</v>
      </c>
    </row>
    <row r="155" spans="1:19" s="24" customFormat="1" ht="13.95" x14ac:dyDescent="0.25">
      <c r="C155" s="25"/>
      <c r="D155" s="24" t="str">
        <f>"阳光电源"</f>
        <v>阳光电源</v>
      </c>
      <c r="E155" s="24">
        <f>SUM(J151:J154)+8.5*H153</f>
        <v>-7736.2199999999993</v>
      </c>
    </row>
    <row r="156" spans="1:19" s="13" customFormat="1" ht="13.95" x14ac:dyDescent="0.25">
      <c r="A156" s="4" t="str">
        <f>"20171109"</f>
        <v>20171109</v>
      </c>
      <c r="B156" s="4" t="str">
        <f>"证券买入"</f>
        <v>证券买入</v>
      </c>
      <c r="C156" s="5" t="str">
        <f>"000839"</f>
        <v>000839</v>
      </c>
      <c r="D156" s="4" t="str">
        <f>"中信国安"</f>
        <v>中信国安</v>
      </c>
      <c r="E156" s="4"/>
      <c r="F156" s="4">
        <v>14.026</v>
      </c>
      <c r="G156" s="4">
        <v>1000</v>
      </c>
      <c r="H156" s="4">
        <v>1000</v>
      </c>
      <c r="I156" s="4">
        <v>14026</v>
      </c>
      <c r="J156" s="4">
        <v>-14031</v>
      </c>
      <c r="K156" s="4">
        <v>74669.69</v>
      </c>
      <c r="L156" s="4">
        <v>0</v>
      </c>
      <c r="M156" s="4">
        <v>0</v>
      </c>
      <c r="N156" s="4">
        <v>3.76</v>
      </c>
      <c r="O156" s="4">
        <v>1.24</v>
      </c>
      <c r="P156" s="4">
        <v>0</v>
      </c>
      <c r="Q156" s="4" t="str">
        <f>"ZV001091"</f>
        <v>ZV001091</v>
      </c>
      <c r="R156" s="4" t="str">
        <f>"0102000000902696"</f>
        <v>0102000000902696</v>
      </c>
      <c r="S156" s="4" t="str">
        <f>"0114530373"</f>
        <v>0114530373</v>
      </c>
    </row>
    <row r="157" spans="1:19" s="24" customFormat="1" ht="13.95" x14ac:dyDescent="0.25">
      <c r="C157" s="25"/>
      <c r="D157" s="24" t="str">
        <f>"中信国安"</f>
        <v>中信国安</v>
      </c>
      <c r="E157" s="24">
        <f>J156+5.41*H156</f>
        <v>-8621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LILX</dc:creator>
  <cp:lastModifiedBy>Windows 用户</cp:lastModifiedBy>
  <dcterms:created xsi:type="dcterms:W3CDTF">2018-06-19T06:37:25Z</dcterms:created>
  <dcterms:modified xsi:type="dcterms:W3CDTF">2018-06-22T09:32:54Z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7c43d086-d00f-4d98-8f59-a88120a0ce4a</vt:lpwstr>
  </property>
</Properties>
</file>