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mal\Desktop\Project\"/>
    </mc:Choice>
  </mc:AlternateContent>
  <xr:revisionPtr revIDLastSave="0" documentId="13_ncr:1_{612D3FEA-D6EF-4461-8F34-53AFE0D6C1F8}" xr6:coauthVersionLast="47" xr6:coauthVersionMax="47" xr10:uidLastSave="{00000000-0000-0000-0000-000000000000}"/>
  <bookViews>
    <workbookView xWindow="28680" yWindow="-120" windowWidth="29040" windowHeight="15720" activeTab="3" xr2:uid="{32805AB0-FD0E-4623-AF84-4A640898A53E}"/>
  </bookViews>
  <sheets>
    <sheet name="Credit card" sheetId="1" r:id="rId1"/>
    <sheet name="Debit Card" sheetId="2" r:id="rId2"/>
    <sheet name="Splitwise" sheetId="5" r:id="rId3"/>
    <sheet name="Insights Dashboard" sheetId="4" r:id="rId4"/>
  </sheets>
  <definedNames>
    <definedName name="_xlnm._FilterDatabase" localSheetId="0" hidden="1">'Credit card'!$E$1:$E$123</definedName>
    <definedName name="_xlnm._FilterDatabase" localSheetId="1" hidden="1">'Debit Card'!$A$1:$G$98</definedName>
    <definedName name="_xlnm._FilterDatabase" localSheetId="2" hidden="1">Splitwise!$F$1:$F$141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N12" i="4" s="1"/>
  <c r="L11" i="4"/>
  <c r="N11" i="4" s="1"/>
  <c r="L10" i="4"/>
  <c r="M10" i="4" s="1"/>
  <c r="Z2" i="2"/>
  <c r="N63" i="4"/>
  <c r="N58" i="4"/>
  <c r="M60" i="4"/>
  <c r="L59" i="4"/>
  <c r="N59" i="4" s="1"/>
  <c r="L60" i="4"/>
  <c r="N60" i="4" s="1"/>
  <c r="L61" i="4"/>
  <c r="M61" i="4" s="1"/>
  <c r="L62" i="4"/>
  <c r="M62" i="4" s="1"/>
  <c r="L63" i="4"/>
  <c r="M63" i="4" s="1"/>
  <c r="L58" i="4"/>
  <c r="M58" i="4" s="1"/>
  <c r="N53" i="4"/>
  <c r="N54" i="4"/>
  <c r="N55" i="4"/>
  <c r="N50" i="4"/>
  <c r="M55" i="4"/>
  <c r="M50" i="4"/>
  <c r="L51" i="4"/>
  <c r="M51" i="4" s="1"/>
  <c r="L52" i="4"/>
  <c r="M52" i="4" s="1"/>
  <c r="L53" i="4"/>
  <c r="M53" i="4" s="1"/>
  <c r="L54" i="4"/>
  <c r="M54" i="4" s="1"/>
  <c r="L55" i="4"/>
  <c r="L50" i="4"/>
  <c r="N45" i="4"/>
  <c r="N46" i="4"/>
  <c r="N47" i="4"/>
  <c r="M47" i="4"/>
  <c r="M42" i="4"/>
  <c r="L43" i="4"/>
  <c r="M43" i="4" s="1"/>
  <c r="L44" i="4"/>
  <c r="M44" i="4" s="1"/>
  <c r="L45" i="4"/>
  <c r="M45" i="4" s="1"/>
  <c r="L46" i="4"/>
  <c r="M46" i="4" s="1"/>
  <c r="L47" i="4"/>
  <c r="L42" i="4"/>
  <c r="N42" i="4" s="1"/>
  <c r="M35" i="4"/>
  <c r="M39" i="4"/>
  <c r="L35" i="4"/>
  <c r="N35" i="4" s="1"/>
  <c r="L36" i="4"/>
  <c r="M36" i="4" s="1"/>
  <c r="L37" i="4"/>
  <c r="N37" i="4" s="1"/>
  <c r="L38" i="4"/>
  <c r="N38" i="4" s="1"/>
  <c r="L39" i="4"/>
  <c r="N39" i="4" s="1"/>
  <c r="L34" i="4"/>
  <c r="M34" i="4" s="1"/>
  <c r="M27" i="4"/>
  <c r="M28" i="4"/>
  <c r="M29" i="4"/>
  <c r="M26" i="4"/>
  <c r="L27" i="4"/>
  <c r="N27" i="4" s="1"/>
  <c r="L28" i="4"/>
  <c r="N28" i="4" s="1"/>
  <c r="L29" i="4"/>
  <c r="N29" i="4" s="1"/>
  <c r="L30" i="4"/>
  <c r="M30" i="4" s="1"/>
  <c r="L31" i="4"/>
  <c r="M31" i="4" s="1"/>
  <c r="L26" i="4"/>
  <c r="N26" i="4" s="1"/>
  <c r="V3" i="2"/>
  <c r="V4" i="2"/>
  <c r="V5" i="2"/>
  <c r="V6" i="2"/>
  <c r="V7" i="2"/>
  <c r="V2" i="2"/>
  <c r="J7" i="5"/>
  <c r="J6" i="5"/>
  <c r="J5" i="5"/>
  <c r="J4" i="5"/>
  <c r="J3" i="5"/>
  <c r="J2" i="5"/>
  <c r="L13" i="4"/>
  <c r="N13" i="4" s="1"/>
  <c r="L14" i="4"/>
  <c r="N14" i="4" s="1"/>
  <c r="L15" i="4"/>
  <c r="M15" i="4" s="1"/>
  <c r="S3" i="1"/>
  <c r="S4" i="1"/>
  <c r="S5" i="1"/>
  <c r="S6" i="1"/>
  <c r="S7" i="1"/>
  <c r="G7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2" i="2"/>
  <c r="G34" i="2"/>
  <c r="G35" i="2"/>
  <c r="G36" i="2"/>
  <c r="G37" i="2"/>
  <c r="G38" i="2"/>
  <c r="G39" i="2"/>
  <c r="G40" i="2"/>
  <c r="G41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2" i="2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U7" i="1" s="1"/>
  <c r="G2" i="1"/>
  <c r="U6" i="1" s="1"/>
  <c r="M59" i="4" l="1"/>
  <c r="N43" i="4"/>
  <c r="M11" i="4"/>
  <c r="N52" i="4"/>
  <c r="N62" i="4"/>
  <c r="M38" i="4"/>
  <c r="N51" i="4"/>
  <c r="N61" i="4"/>
  <c r="N36" i="4"/>
  <c r="N44" i="4"/>
  <c r="M37" i="4"/>
  <c r="M13" i="4"/>
  <c r="N31" i="4"/>
  <c r="N30" i="4"/>
  <c r="N34" i="4"/>
  <c r="M14" i="4"/>
  <c r="M12" i="4"/>
  <c r="N10" i="4"/>
  <c r="N15" i="4"/>
  <c r="U3" i="1"/>
  <c r="U4" i="1"/>
  <c r="U5" i="1"/>
  <c r="S2" i="2"/>
  <c r="S7" i="2"/>
  <c r="S6" i="2"/>
  <c r="S5" i="2"/>
  <c r="S4" i="2"/>
  <c r="S3" i="2"/>
  <c r="Z7" i="2"/>
  <c r="D7" i="4" s="1"/>
  <c r="D2" i="4"/>
  <c r="Z3" i="2"/>
  <c r="D3" i="4" s="1"/>
  <c r="Z4" i="2"/>
  <c r="D4" i="4" s="1"/>
  <c r="Z5" i="2"/>
  <c r="D5" i="4" s="1"/>
  <c r="Z6" i="2"/>
  <c r="D6" i="4" s="1"/>
  <c r="R4" i="2"/>
  <c r="T3" i="2"/>
  <c r="T4" i="2"/>
  <c r="T5" i="2"/>
  <c r="T6" i="2"/>
  <c r="Y5" i="2"/>
  <c r="T7" i="2"/>
  <c r="T2" i="2"/>
  <c r="Q2" i="2"/>
  <c r="Y2" i="2"/>
  <c r="Y3" i="2"/>
  <c r="Y4" i="2"/>
  <c r="Q7" i="2"/>
  <c r="Y6" i="2"/>
  <c r="P7" i="2"/>
  <c r="Y7" i="2"/>
  <c r="J3" i="2"/>
  <c r="K5" i="2"/>
  <c r="L5" i="4" s="1"/>
  <c r="L7" i="2"/>
  <c r="L23" i="4" s="1"/>
  <c r="N3" i="2"/>
  <c r="R5" i="2"/>
  <c r="O7" i="2"/>
  <c r="J4" i="2"/>
  <c r="K6" i="2"/>
  <c r="L6" i="4" s="1"/>
  <c r="L2" i="2"/>
  <c r="L18" i="4" s="1"/>
  <c r="N4" i="2"/>
  <c r="R6" i="2"/>
  <c r="O2" i="2"/>
  <c r="Q3" i="2"/>
  <c r="M7" i="2"/>
  <c r="M2" i="2"/>
  <c r="J5" i="2"/>
  <c r="K7" i="2"/>
  <c r="L7" i="4" s="1"/>
  <c r="M3" i="2"/>
  <c r="N5" i="2"/>
  <c r="R7" i="2"/>
  <c r="P3" i="2"/>
  <c r="Q4" i="2"/>
  <c r="K3" i="2"/>
  <c r="L3" i="4" s="1"/>
  <c r="O5" i="2"/>
  <c r="L6" i="2"/>
  <c r="L22" i="4" s="1"/>
  <c r="O6" i="2"/>
  <c r="J6" i="2"/>
  <c r="K2" i="2"/>
  <c r="L2" i="4" s="1"/>
  <c r="M4" i="2"/>
  <c r="N6" i="2"/>
  <c r="R2" i="2"/>
  <c r="P4" i="2"/>
  <c r="Q5" i="2"/>
  <c r="R3" i="2"/>
  <c r="K4" i="2"/>
  <c r="L4" i="4" s="1"/>
  <c r="P2" i="2"/>
  <c r="J7" i="2"/>
  <c r="L3" i="2"/>
  <c r="L19" i="4" s="1"/>
  <c r="M5" i="2"/>
  <c r="N7" i="2"/>
  <c r="O3" i="2"/>
  <c r="P5" i="2"/>
  <c r="Q6" i="2"/>
  <c r="L5" i="2"/>
  <c r="L21" i="4" s="1"/>
  <c r="J2" i="2"/>
  <c r="L4" i="2"/>
  <c r="L20" i="4" s="1"/>
  <c r="M6" i="2"/>
  <c r="N2" i="2"/>
  <c r="O4" i="2"/>
  <c r="P6" i="2"/>
  <c r="U2" i="1"/>
  <c r="Q7" i="1"/>
  <c r="R7" i="1"/>
  <c r="Q2" i="1"/>
  <c r="R2" i="1"/>
  <c r="R3" i="1"/>
  <c r="Q3" i="1"/>
  <c r="R4" i="1"/>
  <c r="Q4" i="1"/>
  <c r="R5" i="1"/>
  <c r="Q5" i="1"/>
  <c r="R6" i="1"/>
  <c r="P2" i="1"/>
  <c r="Q6" i="1"/>
  <c r="P7" i="1"/>
  <c r="N6" i="1"/>
  <c r="N5" i="1"/>
  <c r="M4" i="1"/>
  <c r="O2" i="1"/>
  <c r="M5" i="1"/>
  <c r="N7" i="1"/>
  <c r="M6" i="1"/>
  <c r="N2" i="1"/>
  <c r="P3" i="1"/>
  <c r="M7" i="1"/>
  <c r="O3" i="1"/>
  <c r="P4" i="1"/>
  <c r="M3" i="1"/>
  <c r="O7" i="1"/>
  <c r="M2" i="1"/>
  <c r="O4" i="1"/>
  <c r="P5" i="1"/>
  <c r="N3" i="1"/>
  <c r="O5" i="1"/>
  <c r="P6" i="1"/>
  <c r="L2" i="1"/>
  <c r="N4" i="1"/>
  <c r="O6" i="1"/>
  <c r="J7" i="1"/>
  <c r="L6" i="1"/>
  <c r="L7" i="1"/>
  <c r="J4" i="1"/>
  <c r="K6" i="1"/>
  <c r="J5" i="1"/>
  <c r="K7" i="1"/>
  <c r="J6" i="1"/>
  <c r="K2" i="1"/>
  <c r="J2" i="1"/>
  <c r="L4" i="1"/>
  <c r="K4" i="1"/>
  <c r="L5" i="1"/>
  <c r="L3" i="1"/>
  <c r="K3" i="1"/>
  <c r="J3" i="1"/>
  <c r="K5" i="1"/>
  <c r="N19" i="4" l="1"/>
  <c r="M19" i="4"/>
  <c r="N20" i="4"/>
  <c r="M20" i="4"/>
  <c r="M21" i="4"/>
  <c r="N21" i="4"/>
  <c r="M23" i="4"/>
  <c r="N23" i="4"/>
  <c r="M22" i="4"/>
  <c r="N22" i="4"/>
  <c r="M18" i="4"/>
  <c r="N18" i="4"/>
  <c r="M7" i="4"/>
  <c r="N7" i="4"/>
  <c r="N3" i="4"/>
  <c r="M3" i="4"/>
  <c r="M2" i="4"/>
  <c r="N2" i="4"/>
  <c r="G2" i="4"/>
  <c r="M6" i="4"/>
  <c r="N6" i="4"/>
  <c r="M4" i="4"/>
  <c r="N4" i="4"/>
  <c r="M5" i="4"/>
  <c r="N5" i="4"/>
  <c r="W4" i="2"/>
  <c r="B4" i="4" s="1"/>
  <c r="W3" i="2"/>
  <c r="B3" i="4" s="1"/>
  <c r="W7" i="2"/>
  <c r="B7" i="4" s="1"/>
  <c r="W6" i="2"/>
  <c r="B6" i="4" s="1"/>
  <c r="W5" i="2"/>
  <c r="B5" i="4" s="1"/>
  <c r="S2" i="1"/>
  <c r="W2" i="2"/>
  <c r="B2" i="4" s="1"/>
  <c r="AA7" i="2" l="1"/>
  <c r="C7" i="4"/>
  <c r="AA5" i="2"/>
  <c r="C5" i="4"/>
  <c r="AA4" i="2"/>
  <c r="C4" i="4"/>
  <c r="AA6" i="2"/>
  <c r="C6" i="4"/>
  <c r="AA2" i="2"/>
  <c r="C2" i="4"/>
  <c r="AA3" i="2"/>
  <c r="C3" i="4"/>
  <c r="E2" i="4"/>
  <c r="F2" i="4" l="1"/>
  <c r="H2" i="4"/>
</calcChain>
</file>

<file path=xl/sharedStrings.xml><?xml version="1.0" encoding="utf-8"?>
<sst xmlns="http://schemas.openxmlformats.org/spreadsheetml/2006/main" count="1249" uniqueCount="220">
  <si>
    <t>Date</t>
  </si>
  <si>
    <t>Merchant</t>
  </si>
  <si>
    <t>Amount Credits</t>
  </si>
  <si>
    <t>Amount Debits</t>
  </si>
  <si>
    <t>Transaction Type</t>
  </si>
  <si>
    <t>Category</t>
  </si>
  <si>
    <t>Month Year</t>
  </si>
  <si>
    <t>Mobile Bill</t>
  </si>
  <si>
    <t>Expense</t>
  </si>
  <si>
    <t>Utilities</t>
  </si>
  <si>
    <t>Uber</t>
  </si>
  <si>
    <t>Transportation</t>
  </si>
  <si>
    <t>Netflix</t>
  </si>
  <si>
    <t>Memberships</t>
  </si>
  <si>
    <t>Target parking</t>
  </si>
  <si>
    <t>Other</t>
  </si>
  <si>
    <t>Bank account</t>
  </si>
  <si>
    <t>Deposit</t>
  </si>
  <si>
    <t>Income</t>
  </si>
  <si>
    <t>LYFT</t>
  </si>
  <si>
    <t>Edward tuck shop</t>
  </si>
  <si>
    <t>Grocery</t>
  </si>
  <si>
    <t>Shoppers</t>
  </si>
  <si>
    <t>Yours Dr online</t>
  </si>
  <si>
    <t>World Gym</t>
  </si>
  <si>
    <t>Return Dr Online</t>
  </si>
  <si>
    <t>Apple bill</t>
  </si>
  <si>
    <t>Sardarji</t>
  </si>
  <si>
    <t>Food</t>
  </si>
  <si>
    <t>Duo Insurance</t>
  </si>
  <si>
    <t>Insurance</t>
  </si>
  <si>
    <t>Iqbal Food</t>
  </si>
  <si>
    <t>Amazon</t>
  </si>
  <si>
    <t>Shopping</t>
  </si>
  <si>
    <t>Delhites Indian Street Food</t>
  </si>
  <si>
    <t>Loblaws</t>
  </si>
  <si>
    <t>Interest</t>
  </si>
  <si>
    <t>Scotiabank Card Protection</t>
  </si>
  <si>
    <t>Scene Points Deposit</t>
  </si>
  <si>
    <t>Coco Nails</t>
  </si>
  <si>
    <t>Skincare/Beauty</t>
  </si>
  <si>
    <t>Yoga</t>
  </si>
  <si>
    <t>Chatters Haircut</t>
  </si>
  <si>
    <t>Tim Hortons</t>
  </si>
  <si>
    <t>Shell</t>
  </si>
  <si>
    <t>Staples</t>
  </si>
  <si>
    <t>Starbucks</t>
  </si>
  <si>
    <t>Amaya</t>
  </si>
  <si>
    <t>LCBO</t>
  </si>
  <si>
    <t>Swarovski(Gift)</t>
  </si>
  <si>
    <t>Traget parking</t>
  </si>
  <si>
    <t>Laundry</t>
  </si>
  <si>
    <t>H&amp;M</t>
  </si>
  <si>
    <t>Uber eats</t>
  </si>
  <si>
    <t>Wallmart</t>
  </si>
  <si>
    <t>Tadka Indian Sizzling</t>
  </si>
  <si>
    <t>Tamasha</t>
  </si>
  <si>
    <t>old navy</t>
  </si>
  <si>
    <t>Open Ai chat gpt</t>
  </si>
  <si>
    <t>ls brothers food</t>
  </si>
  <si>
    <t>dollarama</t>
  </si>
  <si>
    <t>instacart</t>
  </si>
  <si>
    <t>ERA ageless</t>
  </si>
  <si>
    <t>Honest</t>
  </si>
  <si>
    <t>subway</t>
  </si>
  <si>
    <t>tim hortons</t>
  </si>
  <si>
    <t>Month</t>
  </si>
  <si>
    <t>September</t>
  </si>
  <si>
    <t>October</t>
  </si>
  <si>
    <t>November</t>
  </si>
  <si>
    <t>December</t>
  </si>
  <si>
    <t>January</t>
  </si>
  <si>
    <t>February</t>
  </si>
  <si>
    <t>Skincare/beauty</t>
  </si>
  <si>
    <t>Total Spent</t>
  </si>
  <si>
    <t>Total Income</t>
  </si>
  <si>
    <t>Amount Credited</t>
  </si>
  <si>
    <t>Month-Year</t>
  </si>
  <si>
    <t>Medallion</t>
  </si>
  <si>
    <t>Payment</t>
  </si>
  <si>
    <t>Rent</t>
  </si>
  <si>
    <t>Gatestone</t>
  </si>
  <si>
    <t>Salary</t>
  </si>
  <si>
    <t>Subway</t>
  </si>
  <si>
    <t>Courseera</t>
  </si>
  <si>
    <t>Tution Fees</t>
  </si>
  <si>
    <t>Splitwise</t>
  </si>
  <si>
    <t>Splitwise balance</t>
  </si>
  <si>
    <t>Creditcard Bill</t>
  </si>
  <si>
    <t>Credit card Payments</t>
  </si>
  <si>
    <t>Provincial payment</t>
  </si>
  <si>
    <t>Government rebate</t>
  </si>
  <si>
    <t>Withdraw for Savings</t>
  </si>
  <si>
    <t>Transfer</t>
  </si>
  <si>
    <t>Savings</t>
  </si>
  <si>
    <t>GST Canada</t>
  </si>
  <si>
    <t>Apna Bazar</t>
  </si>
  <si>
    <t>Urban Planet</t>
  </si>
  <si>
    <t>My Roti Place</t>
  </si>
  <si>
    <t>Edward Food Truck</t>
  </si>
  <si>
    <t>Pizza pizza</t>
  </si>
  <si>
    <t>Carbon Rebate</t>
  </si>
  <si>
    <t>Sunset grill</t>
  </si>
  <si>
    <t>Remitly (Mazher)</t>
  </si>
  <si>
    <t>Loblows</t>
  </si>
  <si>
    <t>Shein</t>
  </si>
  <si>
    <t>Transfer (scotiaitrade)</t>
  </si>
  <si>
    <t>Investment</t>
  </si>
  <si>
    <t>Iqbal Foods</t>
  </si>
  <si>
    <t>Chipotle</t>
  </si>
  <si>
    <t>Service Charge (Bank)</t>
  </si>
  <si>
    <t>Iphone 16</t>
  </si>
  <si>
    <t>Wealthsimple Investment</t>
  </si>
  <si>
    <t>Esso</t>
  </si>
  <si>
    <t>Mumbaiker</t>
  </si>
  <si>
    <t>Memo(DD) Passport</t>
  </si>
  <si>
    <t>staples</t>
  </si>
  <si>
    <t>Creditcard Bills</t>
  </si>
  <si>
    <t>Splitwise Balance</t>
  </si>
  <si>
    <t>Investments</t>
  </si>
  <si>
    <t>Government Rebate</t>
  </si>
  <si>
    <t>Monthly Budget</t>
  </si>
  <si>
    <t>Monthly Spent</t>
  </si>
  <si>
    <t>Savings(%)</t>
  </si>
  <si>
    <t>Description</t>
  </si>
  <si>
    <t>Cost</t>
  </si>
  <si>
    <t>Himali Thakkar</t>
  </si>
  <si>
    <t>Dollarama</t>
  </si>
  <si>
    <t>General</t>
  </si>
  <si>
    <t>Reimbursement</t>
  </si>
  <si>
    <t>Settle all balances</t>
  </si>
  <si>
    <t>Eggs lemon juice</t>
  </si>
  <si>
    <t>Milk sugar + milk on 7th ( merged )</t>
  </si>
  <si>
    <t>Himali T. paid Isha N.</t>
  </si>
  <si>
    <t>Paid</t>
  </si>
  <si>
    <t>Ice cream</t>
  </si>
  <si>
    <t xml:space="preserve">Food basics </t>
  </si>
  <si>
    <t>Peelr</t>
  </si>
  <si>
    <t>Himali T. paid Zhoha d.</t>
  </si>
  <si>
    <t>Milk and butter</t>
  </si>
  <si>
    <t>Wifi</t>
  </si>
  <si>
    <t>Onkar</t>
  </si>
  <si>
    <t xml:space="preserve">Ice cream </t>
  </si>
  <si>
    <t>Hydro</t>
  </si>
  <si>
    <t xml:space="preserve">Grocery </t>
  </si>
  <si>
    <t>Milk</t>
  </si>
  <si>
    <t>Lyft</t>
  </si>
  <si>
    <t>Metro</t>
  </si>
  <si>
    <t>Pizza</t>
  </si>
  <si>
    <t>Shoppers vicks and spinach plus fresh fruit house ( fruits vegg )</t>
  </si>
  <si>
    <t>Uber to sunset</t>
  </si>
  <si>
    <t>Milk and dahi</t>
  </si>
  <si>
    <t>Bun bun bun</t>
  </si>
  <si>
    <t>Biryani and grocery</t>
  </si>
  <si>
    <t>Himali - milk and dahi</t>
  </si>
  <si>
    <t>Syka money</t>
  </si>
  <si>
    <t>Pav bhaji + biryani</t>
  </si>
  <si>
    <t>Cheesecake</t>
  </si>
  <si>
    <t>Cake and beer ( elif n zho )</t>
  </si>
  <si>
    <t>Cake and beer ( isha + syka + alish)</t>
  </si>
  <si>
    <t>Oats</t>
  </si>
  <si>
    <t>Eggs</t>
  </si>
  <si>
    <t>Milk dahi</t>
  </si>
  <si>
    <t>Air fryer</t>
  </si>
  <si>
    <t>Ice creamm</t>
  </si>
  <si>
    <t>Coffee table</t>
  </si>
  <si>
    <t>Banana achar tomato</t>
  </si>
  <si>
    <t>Tomato juice coffee onions</t>
  </si>
  <si>
    <t>Tortilla</t>
  </si>
  <si>
    <t>Popcorn</t>
  </si>
  <si>
    <t xml:space="preserve">Cash </t>
  </si>
  <si>
    <t>Himali milk and dahi and cheese</t>
  </si>
  <si>
    <t>Pepsi and chips</t>
  </si>
  <si>
    <t xml:space="preserve">Onkar </t>
  </si>
  <si>
    <t>Paneer</t>
  </si>
  <si>
    <t>Grocery and laundry</t>
  </si>
  <si>
    <t>Agarbatti and hall bulb</t>
  </si>
  <si>
    <t>Lint remover</t>
  </si>
  <si>
    <t>Milk (zhoa and himali</t>
  </si>
  <si>
    <t xml:space="preserve">Bags </t>
  </si>
  <si>
    <t>Avacados</t>
  </si>
  <si>
    <t>Grocery ( himali )</t>
  </si>
  <si>
    <t>Sugar</t>
  </si>
  <si>
    <t>Tissues and toilet paper</t>
  </si>
  <si>
    <t>Avacado,amla,lily haldi</t>
  </si>
  <si>
    <t xml:space="preserve">Milk and cheese </t>
  </si>
  <si>
    <t>Milk tomato and tux</t>
  </si>
  <si>
    <t>Chai</t>
  </si>
  <si>
    <t xml:space="preserve">Grocery and honest </t>
  </si>
  <si>
    <t>Isha N. paid Himali T.</t>
  </si>
  <si>
    <t>Rogers wifi</t>
  </si>
  <si>
    <t>Pan</t>
  </si>
  <si>
    <t>Total  Amount Spent</t>
  </si>
  <si>
    <t>Total  Income</t>
  </si>
  <si>
    <t>Total Savings</t>
  </si>
  <si>
    <t>Avg  Monthly  Spent</t>
  </si>
  <si>
    <t>Avg Monthly Income</t>
  </si>
  <si>
    <t>Avg Monthly Savings</t>
  </si>
  <si>
    <t>Avg Savings(%)</t>
  </si>
  <si>
    <t>Grocery Budget</t>
  </si>
  <si>
    <t>Grocery Spent</t>
  </si>
  <si>
    <t>Over Budget?</t>
  </si>
  <si>
    <t>Transportation Budget</t>
  </si>
  <si>
    <t>Transportation Spent</t>
  </si>
  <si>
    <t>Variance</t>
  </si>
  <si>
    <t>Varience</t>
  </si>
  <si>
    <t>Food Budget</t>
  </si>
  <si>
    <t>Food Spent</t>
  </si>
  <si>
    <t>Splitwise Reimbursement</t>
  </si>
  <si>
    <t>Amount Reimbursed</t>
  </si>
  <si>
    <t>Utilities Budget</t>
  </si>
  <si>
    <t>Utilities Spent</t>
  </si>
  <si>
    <t>Memberships Budget</t>
  </si>
  <si>
    <t>Memberships Spent</t>
  </si>
  <si>
    <t>Shopping Budget</t>
  </si>
  <si>
    <t>Shopping Spent</t>
  </si>
  <si>
    <t>Insurance Budget</t>
  </si>
  <si>
    <t>Insurance Spent</t>
  </si>
  <si>
    <t>Misc.Budget</t>
  </si>
  <si>
    <t>Misc.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</si>
</sst>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17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7C44-CBF8-4353-AA3A-7E770BFDEC18}">
  <dimension ref="A1:U122"/>
  <sheetViews>
    <sheetView topLeftCell="E1" workbookViewId="0">
      <selection activeCell="U3" sqref="U3"/>
    </sheetView>
  </sheetViews>
  <sheetFormatPr defaultRowHeight="14.4" x14ac:dyDescent="0.3"/>
  <cols>
    <col min="1" max="1" width="14.5546875" customWidth="1"/>
    <col min="2" max="2" width="24.109375" bestFit="1" customWidth="1"/>
    <col min="3" max="3" width="14.109375" bestFit="1" customWidth="1"/>
    <col min="4" max="4" width="13.5546875" bestFit="1" customWidth="1"/>
    <col min="5" max="5" width="15.6640625" bestFit="1" customWidth="1"/>
    <col min="6" max="6" width="19.33203125" bestFit="1" customWidth="1"/>
    <col min="7" max="7" width="14.33203125" customWidth="1"/>
    <col min="9" max="9" width="12.77734375" customWidth="1"/>
    <col min="12" max="12" width="15.21875" customWidth="1"/>
    <col min="13" max="13" width="16.33203125" customWidth="1"/>
    <col min="17" max="17" width="13.33203125" customWidth="1"/>
    <col min="18" max="18" width="13" customWidth="1"/>
    <col min="19" max="19" width="10.33203125" customWidth="1"/>
    <col min="20" max="20" width="12.88671875" customWidth="1"/>
    <col min="21" max="21" width="12.218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66</v>
      </c>
      <c r="J1" s="1" t="s">
        <v>21</v>
      </c>
      <c r="K1" s="1" t="s">
        <v>9</v>
      </c>
      <c r="L1" s="1" t="s">
        <v>11</v>
      </c>
      <c r="M1" s="1" t="s">
        <v>13</v>
      </c>
      <c r="N1" s="1" t="s">
        <v>28</v>
      </c>
      <c r="O1" s="1" t="s">
        <v>30</v>
      </c>
      <c r="P1" s="1" t="s">
        <v>33</v>
      </c>
      <c r="Q1" s="1" t="s">
        <v>73</v>
      </c>
      <c r="R1" s="1" t="s">
        <v>15</v>
      </c>
      <c r="S1" s="1" t="s">
        <v>74</v>
      </c>
      <c r="T1" s="1" t="s">
        <v>122</v>
      </c>
      <c r="U1" s="1" t="s">
        <v>75</v>
      </c>
    </row>
    <row r="2" spans="1:21" x14ac:dyDescent="0.3">
      <c r="A2" s="2">
        <v>45539</v>
      </c>
      <c r="B2" t="s">
        <v>7</v>
      </c>
      <c r="D2">
        <v>74.400000000000006</v>
      </c>
      <c r="E2" t="s">
        <v>8</v>
      </c>
      <c r="F2" t="s">
        <v>9</v>
      </c>
      <c r="G2" t="str">
        <f>TEXT(A2,"mmm-yyyy")</f>
        <v>Sep-2024</v>
      </c>
      <c r="I2" t="s">
        <v>67</v>
      </c>
      <c r="J2">
        <f>SUMIFS($D:$D,$G:$G,"Sep-2024",$F:$F,"Grocery")</f>
        <v>30.86</v>
      </c>
      <c r="K2">
        <f>SUMIFS($D:$D,$G:$G,"Sep-2024",$F:$F,"Utilities")</f>
        <v>74.400000000000006</v>
      </c>
      <c r="L2">
        <f>SUMIFS($D:$D,$G:$G,"Sep-2024",$F:$F,"Transportation")</f>
        <v>19.2</v>
      </c>
      <c r="M2">
        <f>SUMIFS($D:$D,$G:$G,"Sep-2024",$F:$F,"Memberships")</f>
        <v>204.7</v>
      </c>
      <c r="N2">
        <f>SUMIFS($D:$D,$G:$G,"Sep-2024",$F:$F,"Food")</f>
        <v>15</v>
      </c>
      <c r="O2">
        <f>SUMIFS($D:$D,$G:$G,"Sep-2024",$F:$F,"Insurance")</f>
        <v>0</v>
      </c>
      <c r="P2">
        <f>SUMIFS($D:$D,$G:$G,"Sep-2024",$F:$F,"Shopping")</f>
        <v>0</v>
      </c>
      <c r="Q2">
        <f>SUMIFS($D:$D,$G:$G,"Sep-2024",$F:$F,"Skincare/Beauty")</f>
        <v>0</v>
      </c>
      <c r="R2">
        <f>SUMIFS($D:$D,$G:$G,"Sep-2024",$F:$F,"Other")</f>
        <v>24.32</v>
      </c>
      <c r="S2">
        <f>SUM(J2:R2)</f>
        <v>368.47999999999996</v>
      </c>
      <c r="T2">
        <v>500</v>
      </c>
      <c r="U2">
        <f>SUMIFS(C:C,G:G,"Sep-2024",E:E,"Deposit")</f>
        <v>592.16999999999996</v>
      </c>
    </row>
    <row r="3" spans="1:21" x14ac:dyDescent="0.3">
      <c r="A3" s="2">
        <v>45540</v>
      </c>
      <c r="B3" t="s">
        <v>10</v>
      </c>
      <c r="D3">
        <v>11.29</v>
      </c>
      <c r="E3" t="s">
        <v>8</v>
      </c>
      <c r="F3" t="s">
        <v>11</v>
      </c>
      <c r="G3" t="str">
        <f t="shared" ref="G3:G66" si="0">TEXT(A3,"mmm-yyyy")</f>
        <v>Sep-2024</v>
      </c>
      <c r="I3" t="s">
        <v>68</v>
      </c>
      <c r="J3">
        <f>SUMIFS($D:$D,$G:$G,"Oct-2024",$F:$F,"Grocery")</f>
        <v>30.32</v>
      </c>
      <c r="K3">
        <f>SUMIFS($D:$D,$G:$G,"Oct-2024",$F:$F,"Utilities")</f>
        <v>74.400000000000006</v>
      </c>
      <c r="L3">
        <f>SUMIFS($D:$D,$G:$G,"Oct-2024",$F:$F,"Transportation")</f>
        <v>40.849999999999994</v>
      </c>
      <c r="M3">
        <f>SUMIFS($D:$D,$G:$G,"Oct-2024",$F:$F,"Memberships")</f>
        <v>42.9</v>
      </c>
      <c r="N3">
        <f>SUMIFS($D:$D,$G:$G,"Oct-2024",$F:$F,"Food")</f>
        <v>16.09</v>
      </c>
      <c r="O3">
        <f>SUMIFS($D:$D,$G:$G,"Oct-2024",$F:$F,"Insurance")</f>
        <v>18.920000000000002</v>
      </c>
      <c r="P3">
        <f>SUMIFS($D:$D,$G:$G,"Oct-2024",$F:$F,"Shopping")</f>
        <v>207.82999999999998</v>
      </c>
      <c r="Q3">
        <f>SUMIFS($D:$D,$G:$G,"Oct-2024",$F:$F,"Skincare/Beauty")</f>
        <v>0</v>
      </c>
      <c r="R3">
        <f>SUMIFS($D:$D,$G:$G,"Oct-2024",$F:$F,"Other")</f>
        <v>0</v>
      </c>
      <c r="S3">
        <f t="shared" ref="S3:S7" si="1">SUM(J3:R3)</f>
        <v>431.31</v>
      </c>
      <c r="T3">
        <v>500</v>
      </c>
      <c r="U3">
        <f>SUMIFS(C:C,G:G,"Oct-2024",E:E,"Deposit")</f>
        <v>491.07</v>
      </c>
    </row>
    <row r="4" spans="1:21" x14ac:dyDescent="0.3">
      <c r="A4" s="2">
        <v>45540</v>
      </c>
      <c r="B4" t="s">
        <v>12</v>
      </c>
      <c r="D4">
        <v>18.63</v>
      </c>
      <c r="E4" t="s">
        <v>8</v>
      </c>
      <c r="F4" t="s">
        <v>13</v>
      </c>
      <c r="G4" t="str">
        <f t="shared" si="0"/>
        <v>Sep-2024</v>
      </c>
      <c r="I4" t="s">
        <v>69</v>
      </c>
      <c r="J4">
        <f>SUMIFS($D:$D,$G:$G,"Nov-2024",$F:$F,"Grocery")</f>
        <v>15.739999999999998</v>
      </c>
      <c r="K4">
        <f>SUMIFS($D:$D,$G:$G,"Nov-2024",$F:$F,"Utilities")</f>
        <v>74.400000000000006</v>
      </c>
      <c r="L4">
        <f>SUMIFS($D:$D,$G:$G,"Nov-2024",$F:$F,"Transportation")</f>
        <v>17.619999999999997</v>
      </c>
      <c r="M4">
        <f>SUMIFS($D:$D,$G:$G,"Nov-2024",$F:$F,"Memberships")</f>
        <v>48.54</v>
      </c>
      <c r="N4">
        <f>SUMIFS($D:$D,$G:$G,"Nov-2024",$F:$F,"Food")</f>
        <v>86.679999999999993</v>
      </c>
      <c r="O4">
        <f>SUMIFS($D:$D,$G:$G,"Nov-2024",$F:$F,"Insurance")</f>
        <v>18.920000000000002</v>
      </c>
      <c r="P4">
        <f>SUMIFS($D:$D,$G:$G,"Nov-2024",$F:$F,"Shopping")</f>
        <v>173.26</v>
      </c>
      <c r="Q4">
        <f>SUMIFS($D:$D,$G:$G,"Nov-2024",$F:$F,"Skincare/Beauty")</f>
        <v>0</v>
      </c>
      <c r="R4">
        <f>SUMIFS($D:$D,$G:$G,"Nov-2024",$F:$F,"Other")</f>
        <v>57.83</v>
      </c>
      <c r="S4">
        <f t="shared" si="1"/>
        <v>492.98999999999995</v>
      </c>
      <c r="T4">
        <v>500</v>
      </c>
      <c r="U4">
        <f>SUMIFS(C:C,G:G,"Nov-2024",E:E,"Deposit")</f>
        <v>1621.51</v>
      </c>
    </row>
    <row r="5" spans="1:21" x14ac:dyDescent="0.3">
      <c r="A5" s="2">
        <v>45544</v>
      </c>
      <c r="B5" t="s">
        <v>14</v>
      </c>
      <c r="D5">
        <v>6.25</v>
      </c>
      <c r="E5" t="s">
        <v>8</v>
      </c>
      <c r="F5" t="s">
        <v>15</v>
      </c>
      <c r="G5" t="str">
        <f t="shared" si="0"/>
        <v>Sep-2024</v>
      </c>
      <c r="I5" t="s">
        <v>70</v>
      </c>
      <c r="J5">
        <f>SUMIFS($D:$D,$G:$G,"Dec-2024",$F:$F,"Grocery")</f>
        <v>141.93</v>
      </c>
      <c r="K5">
        <f>SUMIFS($D:$D,$G:$G,"Dec-2024",$F:$F,"Utilities")</f>
        <v>137.13</v>
      </c>
      <c r="L5">
        <f>SUMIFS($D:$D,$G:$G,"Dec-2024",$F:$F,"Transportation")</f>
        <v>9.5</v>
      </c>
      <c r="M5">
        <f>SUMIFS($D:$D,$G:$G,"Dec-2024",$F:$F,"Memberships")</f>
        <v>49.34</v>
      </c>
      <c r="N5">
        <f>SUMIFS($D:$D,$G:$G,"Dec-2024",$F:$F,"Food")</f>
        <v>77.28</v>
      </c>
      <c r="O5">
        <f>SUMIFS($D:$D,$G:$G,"Dec-2024",$F:$F,"Insurance")</f>
        <v>18.920000000000002</v>
      </c>
      <c r="P5">
        <f>SUMIFS($D:$D,$G:$G,"Dec-2024",$F:$F,"Shopping")</f>
        <v>72.03</v>
      </c>
      <c r="Q5">
        <f>SUMIFS($D:$D,$G:$G,"Dec-2024",$F:$F,"Skincare/Beauty")</f>
        <v>41.41</v>
      </c>
      <c r="R5">
        <f>SUMIFS($D:$D,$G:$G,"Dec-2024",$F:$F,"Other")</f>
        <v>28.44</v>
      </c>
      <c r="S5">
        <f t="shared" si="1"/>
        <v>575.98</v>
      </c>
      <c r="T5">
        <v>500</v>
      </c>
      <c r="U5">
        <f>SUMIFS(C:C,G:G,"Dec-2024",E:E,"Deposit")</f>
        <v>832</v>
      </c>
    </row>
    <row r="6" spans="1:21" x14ac:dyDescent="0.3">
      <c r="A6" s="2">
        <v>45544</v>
      </c>
      <c r="B6" t="s">
        <v>16</v>
      </c>
      <c r="C6">
        <v>339.34</v>
      </c>
      <c r="E6" t="s">
        <v>17</v>
      </c>
      <c r="F6" t="s">
        <v>18</v>
      </c>
      <c r="G6" t="str">
        <f t="shared" si="0"/>
        <v>Sep-2024</v>
      </c>
      <c r="I6" t="s">
        <v>71</v>
      </c>
      <c r="J6">
        <f>SUMIFS($D:$D,$G:$G,"Jan-2025",$F:$F,"Grocery")</f>
        <v>109.86</v>
      </c>
      <c r="K6">
        <f>SUMIFS($D:$D,$G:$G,"Jan-2025",$F:$F,"Utilities")</f>
        <v>27.12</v>
      </c>
      <c r="L6">
        <f>SUMIFS($D:$D,$G:$G,"Jan-2025",$F:$F,"Transportation")</f>
        <v>0</v>
      </c>
      <c r="M6">
        <f>SUMIFS($D:$D,$G:$G,"Jan-2025",$F:$F,"Memberships")</f>
        <v>76.259999999999991</v>
      </c>
      <c r="N6">
        <f>SUMIFS($D:$D,$G:$G,"Jan-2025",$F:$F,"Food")</f>
        <v>91.18</v>
      </c>
      <c r="O6">
        <f>SUMIFS($D:$D,$G:$G,"Jan-2025",$F:$F,"Insurance")</f>
        <v>18.920000000000002</v>
      </c>
      <c r="P6">
        <f>SUMIFS($D:$D,$G:$G,"Jan-2025",$F:$F,"Shopping")</f>
        <v>200.97000000000003</v>
      </c>
      <c r="Q6">
        <f>SUMIFS($D:$D,$G:$G,"Jan-2025",$F:$F,"Skincare/Beauty")</f>
        <v>0</v>
      </c>
      <c r="R6">
        <f>SUMIFS($D:$D,$G:$G,"Jan-2025",$F:$F,"Other")</f>
        <v>25.65</v>
      </c>
      <c r="S6">
        <f t="shared" si="1"/>
        <v>549.95999999999992</v>
      </c>
      <c r="T6">
        <v>500</v>
      </c>
      <c r="U6">
        <f>SUMIFS(C:C,G:G,"Jan-2025",E:E,"Deposit")</f>
        <v>577.79999999999995</v>
      </c>
    </row>
    <row r="7" spans="1:21" x14ac:dyDescent="0.3">
      <c r="A7" s="2">
        <v>45546</v>
      </c>
      <c r="B7" t="s">
        <v>19</v>
      </c>
      <c r="D7">
        <v>7.91</v>
      </c>
      <c r="E7" t="s">
        <v>8</v>
      </c>
      <c r="F7" t="s">
        <v>11</v>
      </c>
      <c r="G7" t="str">
        <f t="shared" si="0"/>
        <v>Sep-2024</v>
      </c>
      <c r="I7" t="s">
        <v>72</v>
      </c>
      <c r="J7">
        <f>SUMIFS($D:$D,$G:$G,"Feb-2025",$F:$F,"Grocery")</f>
        <v>137.59</v>
      </c>
      <c r="K7">
        <f>SUMIFS($D:$D,$G:$G,"Feb-2025",$F:$F,"Utilities")</f>
        <v>27.12</v>
      </c>
      <c r="L7">
        <f>SUMIFS($D:$D,$G:$G,"Feb-2025",$F:$F,"Transportation")</f>
        <v>0</v>
      </c>
      <c r="M7">
        <f>SUMIFS($D:$D,$G:$G,"Feb-2025",$F:$F,"Memberships")</f>
        <v>65.39</v>
      </c>
      <c r="N7">
        <f>SUMIFS($D:$D,$G:$G,"Feb-2025",$F:$F,"Food")</f>
        <v>74.47999999999999</v>
      </c>
      <c r="O7">
        <f>SUMIFS($D:$D,$G:$G,"Feb-2025",$F:$F,"Insurance")</f>
        <v>18.920000000000002</v>
      </c>
      <c r="P7">
        <f>SUMIFS($D:$D,$G:$G,"Feb-2025",$F:$F,"Shopping")</f>
        <v>185</v>
      </c>
      <c r="Q7">
        <f>SUMIFS($D:$D,$G:$G,"Feb-2025",$F:$F,"Skincare/Beauty")</f>
        <v>0</v>
      </c>
      <c r="R7">
        <f>SUMIFS($D:$D,$G:$G,"Feb-2025",$F:$F,"Other")</f>
        <v>25.01</v>
      </c>
      <c r="S7">
        <f t="shared" si="1"/>
        <v>533.5100000000001</v>
      </c>
      <c r="T7">
        <v>500</v>
      </c>
      <c r="U7">
        <f>SUMIFS(C:C,G:G,"Feb-2025",E:E,"Deposit")</f>
        <v>490</v>
      </c>
    </row>
    <row r="8" spans="1:21" x14ac:dyDescent="0.3">
      <c r="A8" s="2">
        <v>45551</v>
      </c>
      <c r="B8" t="s">
        <v>20</v>
      </c>
      <c r="D8">
        <v>23.07</v>
      </c>
      <c r="E8" t="s">
        <v>8</v>
      </c>
      <c r="F8" t="s">
        <v>21</v>
      </c>
      <c r="G8" t="str">
        <f t="shared" si="0"/>
        <v>Sep-2024</v>
      </c>
    </row>
    <row r="9" spans="1:21" x14ac:dyDescent="0.3">
      <c r="A9" s="2">
        <v>45551</v>
      </c>
      <c r="B9" t="s">
        <v>22</v>
      </c>
      <c r="D9">
        <v>18.07</v>
      </c>
      <c r="E9" t="s">
        <v>8</v>
      </c>
      <c r="F9" t="s">
        <v>15</v>
      </c>
      <c r="G9" t="str">
        <f t="shared" si="0"/>
        <v>Sep-2024</v>
      </c>
    </row>
    <row r="10" spans="1:21" x14ac:dyDescent="0.3">
      <c r="A10" s="2">
        <v>45552</v>
      </c>
      <c r="B10" t="s">
        <v>23</v>
      </c>
      <c r="D10">
        <v>120</v>
      </c>
      <c r="E10" t="s">
        <v>8</v>
      </c>
      <c r="F10" t="s">
        <v>13</v>
      </c>
      <c r="G10" t="str">
        <f t="shared" si="0"/>
        <v>Sep-2024</v>
      </c>
    </row>
    <row r="11" spans="1:21" x14ac:dyDescent="0.3">
      <c r="A11" s="2">
        <v>45552</v>
      </c>
      <c r="B11" t="s">
        <v>24</v>
      </c>
      <c r="D11">
        <v>16.95</v>
      </c>
      <c r="E11" t="s">
        <v>8</v>
      </c>
      <c r="F11" t="s">
        <v>13</v>
      </c>
      <c r="G11" t="str">
        <f t="shared" si="0"/>
        <v>Sep-2024</v>
      </c>
    </row>
    <row r="12" spans="1:21" x14ac:dyDescent="0.3">
      <c r="A12" s="2">
        <v>45552</v>
      </c>
      <c r="B12" t="s">
        <v>24</v>
      </c>
      <c r="D12">
        <v>41.8</v>
      </c>
      <c r="E12" t="s">
        <v>8</v>
      </c>
      <c r="F12" t="s">
        <v>13</v>
      </c>
      <c r="G12" t="str">
        <f t="shared" si="0"/>
        <v>Sep-2024</v>
      </c>
    </row>
    <row r="13" spans="1:21" x14ac:dyDescent="0.3">
      <c r="A13" s="2">
        <v>45552</v>
      </c>
      <c r="B13" t="s">
        <v>25</v>
      </c>
      <c r="C13">
        <v>120</v>
      </c>
      <c r="E13" t="s">
        <v>17</v>
      </c>
      <c r="F13" t="s">
        <v>13</v>
      </c>
      <c r="G13" t="str">
        <f t="shared" si="0"/>
        <v>Sep-2024</v>
      </c>
    </row>
    <row r="14" spans="1:21" x14ac:dyDescent="0.3">
      <c r="A14" s="2">
        <v>45552</v>
      </c>
      <c r="B14" t="s">
        <v>26</v>
      </c>
      <c r="D14">
        <v>7.32</v>
      </c>
      <c r="E14" t="s">
        <v>8</v>
      </c>
      <c r="F14" t="s">
        <v>13</v>
      </c>
      <c r="G14" t="str">
        <f t="shared" si="0"/>
        <v>Sep-2024</v>
      </c>
    </row>
    <row r="15" spans="1:21" x14ac:dyDescent="0.3">
      <c r="A15" s="2">
        <v>45552</v>
      </c>
      <c r="B15" t="s">
        <v>16</v>
      </c>
      <c r="C15">
        <v>132.83000000000001</v>
      </c>
      <c r="E15" t="s">
        <v>17</v>
      </c>
      <c r="F15" t="s">
        <v>18</v>
      </c>
      <c r="G15" t="str">
        <f t="shared" si="0"/>
        <v>Sep-2024</v>
      </c>
    </row>
    <row r="16" spans="1:21" x14ac:dyDescent="0.3">
      <c r="A16" s="2">
        <v>45558</v>
      </c>
      <c r="B16" t="s">
        <v>27</v>
      </c>
      <c r="D16">
        <v>15</v>
      </c>
      <c r="E16" t="s">
        <v>8</v>
      </c>
      <c r="F16" t="s">
        <v>28</v>
      </c>
      <c r="G16" t="str">
        <f t="shared" si="0"/>
        <v>Sep-2024</v>
      </c>
    </row>
    <row r="17" spans="1:7" x14ac:dyDescent="0.3">
      <c r="A17" s="2">
        <v>45562</v>
      </c>
      <c r="B17" t="s">
        <v>20</v>
      </c>
      <c r="D17">
        <v>7.79</v>
      </c>
      <c r="E17" t="s">
        <v>8</v>
      </c>
      <c r="F17" t="s">
        <v>21</v>
      </c>
      <c r="G17" t="str">
        <f t="shared" si="0"/>
        <v>Sep-2024</v>
      </c>
    </row>
    <row r="18" spans="1:7" x14ac:dyDescent="0.3">
      <c r="A18" s="2">
        <v>45566</v>
      </c>
      <c r="B18" t="s">
        <v>29</v>
      </c>
      <c r="D18">
        <v>18.920000000000002</v>
      </c>
      <c r="E18" t="s">
        <v>8</v>
      </c>
      <c r="F18" t="s">
        <v>30</v>
      </c>
      <c r="G18" t="str">
        <f t="shared" si="0"/>
        <v>Oct-2024</v>
      </c>
    </row>
    <row r="19" spans="1:7" x14ac:dyDescent="0.3">
      <c r="A19" s="2">
        <v>45566</v>
      </c>
      <c r="B19" t="s">
        <v>16</v>
      </c>
      <c r="C19">
        <v>39</v>
      </c>
      <c r="E19" t="s">
        <v>17</v>
      </c>
      <c r="F19" t="s">
        <v>18</v>
      </c>
      <c r="G19" t="str">
        <f t="shared" si="0"/>
        <v>Oct-2024</v>
      </c>
    </row>
    <row r="20" spans="1:7" x14ac:dyDescent="0.3">
      <c r="A20" s="2">
        <v>45569</v>
      </c>
      <c r="B20" t="s">
        <v>10</v>
      </c>
      <c r="D20">
        <v>11.29</v>
      </c>
      <c r="E20" t="s">
        <v>8</v>
      </c>
      <c r="F20" t="s">
        <v>11</v>
      </c>
      <c r="G20" t="str">
        <f t="shared" si="0"/>
        <v>Oct-2024</v>
      </c>
    </row>
    <row r="21" spans="1:7" x14ac:dyDescent="0.3">
      <c r="A21" s="2">
        <v>45572</v>
      </c>
      <c r="B21" t="s">
        <v>12</v>
      </c>
      <c r="D21">
        <v>18.63</v>
      </c>
      <c r="E21" t="s">
        <v>8</v>
      </c>
      <c r="F21" t="s">
        <v>13</v>
      </c>
      <c r="G21" t="str">
        <f t="shared" si="0"/>
        <v>Oct-2024</v>
      </c>
    </row>
    <row r="22" spans="1:7" x14ac:dyDescent="0.3">
      <c r="A22" s="2">
        <v>45572</v>
      </c>
      <c r="B22" t="s">
        <v>7</v>
      </c>
      <c r="D22">
        <v>74.400000000000006</v>
      </c>
      <c r="E22" t="s">
        <v>8</v>
      </c>
      <c r="F22" t="s">
        <v>9</v>
      </c>
      <c r="G22" t="str">
        <f t="shared" si="0"/>
        <v>Oct-2024</v>
      </c>
    </row>
    <row r="23" spans="1:7" x14ac:dyDescent="0.3">
      <c r="A23" s="2">
        <v>45572</v>
      </c>
      <c r="B23" t="s">
        <v>31</v>
      </c>
      <c r="D23">
        <v>30.32</v>
      </c>
      <c r="E23" t="s">
        <v>8</v>
      </c>
      <c r="F23" t="s">
        <v>21</v>
      </c>
      <c r="G23" t="str">
        <f t="shared" si="0"/>
        <v>Oct-2024</v>
      </c>
    </row>
    <row r="24" spans="1:7" x14ac:dyDescent="0.3">
      <c r="A24" s="2">
        <v>45576</v>
      </c>
      <c r="B24" t="s">
        <v>19</v>
      </c>
      <c r="D24">
        <v>7.65</v>
      </c>
      <c r="E24" t="s">
        <v>8</v>
      </c>
      <c r="F24" t="s">
        <v>11</v>
      </c>
      <c r="G24" t="str">
        <f t="shared" si="0"/>
        <v>Oct-2024</v>
      </c>
    </row>
    <row r="25" spans="1:7" x14ac:dyDescent="0.3">
      <c r="A25" s="2">
        <v>45582</v>
      </c>
      <c r="B25" t="s">
        <v>24</v>
      </c>
      <c r="D25">
        <v>16.95</v>
      </c>
      <c r="E25" t="s">
        <v>8</v>
      </c>
      <c r="F25" t="s">
        <v>13</v>
      </c>
      <c r="G25" t="str">
        <f t="shared" si="0"/>
        <v>Oct-2024</v>
      </c>
    </row>
    <row r="26" spans="1:7" x14ac:dyDescent="0.3">
      <c r="A26" s="2">
        <v>45582</v>
      </c>
      <c r="B26" t="s">
        <v>16</v>
      </c>
      <c r="C26">
        <v>161</v>
      </c>
      <c r="E26" t="s">
        <v>17</v>
      </c>
      <c r="F26" t="s">
        <v>18</v>
      </c>
      <c r="G26" t="str">
        <f t="shared" si="0"/>
        <v>Oct-2024</v>
      </c>
    </row>
    <row r="27" spans="1:7" x14ac:dyDescent="0.3">
      <c r="A27" s="2">
        <v>45583</v>
      </c>
      <c r="B27" t="s">
        <v>26</v>
      </c>
      <c r="D27">
        <v>7.32</v>
      </c>
      <c r="E27" t="s">
        <v>8</v>
      </c>
      <c r="F27" t="s">
        <v>13</v>
      </c>
      <c r="G27" t="str">
        <f t="shared" si="0"/>
        <v>Oct-2024</v>
      </c>
    </row>
    <row r="28" spans="1:7" x14ac:dyDescent="0.3">
      <c r="A28" s="2">
        <v>45588</v>
      </c>
      <c r="B28" t="s">
        <v>10</v>
      </c>
      <c r="D28">
        <v>21.91</v>
      </c>
      <c r="E28" t="s">
        <v>8</v>
      </c>
      <c r="F28" t="s">
        <v>11</v>
      </c>
      <c r="G28" t="str">
        <f t="shared" si="0"/>
        <v>Oct-2024</v>
      </c>
    </row>
    <row r="29" spans="1:7" x14ac:dyDescent="0.3">
      <c r="A29" s="2">
        <v>45595</v>
      </c>
      <c r="B29" t="s">
        <v>16</v>
      </c>
      <c r="C29">
        <v>120</v>
      </c>
      <c r="E29" t="s">
        <v>17</v>
      </c>
      <c r="F29" t="s">
        <v>18</v>
      </c>
      <c r="G29" t="str">
        <f t="shared" si="0"/>
        <v>Oct-2024</v>
      </c>
    </row>
    <row r="30" spans="1:7" x14ac:dyDescent="0.3">
      <c r="A30" s="2">
        <v>45596</v>
      </c>
      <c r="B30" t="s">
        <v>32</v>
      </c>
      <c r="D30">
        <v>93.22</v>
      </c>
      <c r="E30" t="s">
        <v>8</v>
      </c>
      <c r="F30" t="s">
        <v>33</v>
      </c>
      <c r="G30" t="str">
        <f t="shared" si="0"/>
        <v>Oct-2024</v>
      </c>
    </row>
    <row r="31" spans="1:7" x14ac:dyDescent="0.3">
      <c r="A31" s="2">
        <v>45597</v>
      </c>
      <c r="B31" t="s">
        <v>20</v>
      </c>
      <c r="D31">
        <v>7.54</v>
      </c>
      <c r="E31" t="s">
        <v>8</v>
      </c>
      <c r="F31" t="s">
        <v>21</v>
      </c>
      <c r="G31" t="str">
        <f t="shared" si="0"/>
        <v>Nov-2024</v>
      </c>
    </row>
    <row r="32" spans="1:7" x14ac:dyDescent="0.3">
      <c r="A32" s="2">
        <v>45597</v>
      </c>
      <c r="B32" t="s">
        <v>29</v>
      </c>
      <c r="D32">
        <v>18.920000000000002</v>
      </c>
      <c r="E32" t="s">
        <v>8</v>
      </c>
      <c r="F32" t="s">
        <v>30</v>
      </c>
      <c r="G32" t="str">
        <f t="shared" si="0"/>
        <v>Nov-2024</v>
      </c>
    </row>
    <row r="33" spans="1:7" x14ac:dyDescent="0.3">
      <c r="A33" s="2">
        <v>45600</v>
      </c>
      <c r="B33" t="s">
        <v>7</v>
      </c>
      <c r="D33">
        <v>74.400000000000006</v>
      </c>
      <c r="E33" t="s">
        <v>8</v>
      </c>
      <c r="F33" t="s">
        <v>9</v>
      </c>
      <c r="G33" t="str">
        <f t="shared" si="0"/>
        <v>Nov-2024</v>
      </c>
    </row>
    <row r="34" spans="1:7" x14ac:dyDescent="0.3">
      <c r="A34" s="2">
        <v>45600</v>
      </c>
      <c r="B34" t="s">
        <v>34</v>
      </c>
      <c r="D34">
        <v>8.3800000000000008</v>
      </c>
      <c r="E34" t="s">
        <v>8</v>
      </c>
      <c r="F34" t="s">
        <v>28</v>
      </c>
      <c r="G34" t="str">
        <f t="shared" si="0"/>
        <v>Nov-2024</v>
      </c>
    </row>
    <row r="35" spans="1:7" x14ac:dyDescent="0.3">
      <c r="A35" s="2">
        <v>45600</v>
      </c>
      <c r="B35" t="s">
        <v>35</v>
      </c>
      <c r="D35">
        <v>8.1999999999999993</v>
      </c>
      <c r="E35" t="s">
        <v>8</v>
      </c>
      <c r="F35" t="s">
        <v>21</v>
      </c>
      <c r="G35" t="str">
        <f t="shared" si="0"/>
        <v>Nov-2024</v>
      </c>
    </row>
    <row r="36" spans="1:7" x14ac:dyDescent="0.3">
      <c r="A36" s="2">
        <v>45600</v>
      </c>
      <c r="B36" t="s">
        <v>10</v>
      </c>
      <c r="D36">
        <v>11.29</v>
      </c>
      <c r="E36" t="s">
        <v>8</v>
      </c>
      <c r="F36" t="s">
        <v>11</v>
      </c>
      <c r="G36" t="str">
        <f t="shared" si="0"/>
        <v>Nov-2024</v>
      </c>
    </row>
    <row r="37" spans="1:7" x14ac:dyDescent="0.3">
      <c r="A37" s="2">
        <v>45600</v>
      </c>
      <c r="B37" t="s">
        <v>12</v>
      </c>
      <c r="D37">
        <v>18.63</v>
      </c>
      <c r="E37" t="s">
        <v>8</v>
      </c>
      <c r="F37" t="s">
        <v>13</v>
      </c>
      <c r="G37" t="str">
        <f t="shared" si="0"/>
        <v>Nov-2024</v>
      </c>
    </row>
    <row r="38" spans="1:7" x14ac:dyDescent="0.3">
      <c r="A38" s="2">
        <v>45603</v>
      </c>
      <c r="B38" t="s">
        <v>26</v>
      </c>
      <c r="D38">
        <v>7.32</v>
      </c>
      <c r="E38" t="s">
        <v>8</v>
      </c>
      <c r="F38" t="s">
        <v>13</v>
      </c>
      <c r="G38" t="str">
        <f t="shared" si="0"/>
        <v>Nov-2024</v>
      </c>
    </row>
    <row r="39" spans="1:7" x14ac:dyDescent="0.3">
      <c r="A39" s="2">
        <v>45603</v>
      </c>
      <c r="B39" t="s">
        <v>16</v>
      </c>
      <c r="C39">
        <v>382.89</v>
      </c>
      <c r="E39" t="s">
        <v>17</v>
      </c>
      <c r="F39" t="s">
        <v>18</v>
      </c>
      <c r="G39" t="str">
        <f t="shared" si="0"/>
        <v>Nov-2024</v>
      </c>
    </row>
    <row r="40" spans="1:7" x14ac:dyDescent="0.3">
      <c r="A40" s="2">
        <v>45612</v>
      </c>
      <c r="B40" t="s">
        <v>10</v>
      </c>
      <c r="D40">
        <v>6.33</v>
      </c>
      <c r="E40" t="s">
        <v>8</v>
      </c>
      <c r="F40" t="s">
        <v>11</v>
      </c>
      <c r="G40" t="str">
        <f t="shared" si="0"/>
        <v>Nov-2024</v>
      </c>
    </row>
    <row r="41" spans="1:7" x14ac:dyDescent="0.3">
      <c r="A41" s="2">
        <v>45613</v>
      </c>
      <c r="B41" t="s">
        <v>24</v>
      </c>
      <c r="D41">
        <v>16.95</v>
      </c>
      <c r="E41" t="s">
        <v>8</v>
      </c>
      <c r="F41" t="s">
        <v>13</v>
      </c>
      <c r="G41" t="str">
        <f t="shared" si="0"/>
        <v>Nov-2024</v>
      </c>
    </row>
    <row r="42" spans="1:7" x14ac:dyDescent="0.3">
      <c r="A42" s="2">
        <v>45613</v>
      </c>
      <c r="B42" t="s">
        <v>32</v>
      </c>
      <c r="D42">
        <v>4.8899999999999997</v>
      </c>
      <c r="E42" t="s">
        <v>8</v>
      </c>
      <c r="F42" t="s">
        <v>33</v>
      </c>
      <c r="G42" t="str">
        <f t="shared" si="0"/>
        <v>Nov-2024</v>
      </c>
    </row>
    <row r="43" spans="1:7" x14ac:dyDescent="0.3">
      <c r="A43" s="2">
        <v>45619</v>
      </c>
      <c r="B43" t="s">
        <v>36</v>
      </c>
      <c r="D43">
        <v>9.66</v>
      </c>
      <c r="E43" t="s">
        <v>8</v>
      </c>
      <c r="F43" t="s">
        <v>15</v>
      </c>
      <c r="G43" t="str">
        <f t="shared" si="0"/>
        <v>Nov-2024</v>
      </c>
    </row>
    <row r="44" spans="1:7" x14ac:dyDescent="0.3">
      <c r="A44" s="2">
        <v>45619</v>
      </c>
      <c r="B44" t="s">
        <v>37</v>
      </c>
      <c r="D44">
        <v>5.71</v>
      </c>
      <c r="E44" t="s">
        <v>8</v>
      </c>
      <c r="F44" t="s">
        <v>15</v>
      </c>
      <c r="G44" t="str">
        <f t="shared" si="0"/>
        <v>Nov-2024</v>
      </c>
    </row>
    <row r="45" spans="1:7" x14ac:dyDescent="0.3">
      <c r="A45" s="2">
        <v>45619</v>
      </c>
      <c r="B45" t="s">
        <v>37</v>
      </c>
      <c r="D45">
        <v>0.46</v>
      </c>
      <c r="E45" t="s">
        <v>8</v>
      </c>
      <c r="F45" t="s">
        <v>15</v>
      </c>
      <c r="G45" t="str">
        <f t="shared" si="0"/>
        <v>Nov-2024</v>
      </c>
    </row>
    <row r="46" spans="1:7" x14ac:dyDescent="0.3">
      <c r="A46" s="2">
        <v>45627</v>
      </c>
      <c r="B46" t="s">
        <v>29</v>
      </c>
      <c r="D46">
        <v>18.920000000000002</v>
      </c>
      <c r="E46" t="s">
        <v>8</v>
      </c>
      <c r="F46" t="s">
        <v>30</v>
      </c>
      <c r="G46" t="str">
        <f t="shared" si="0"/>
        <v>Dec-2024</v>
      </c>
    </row>
    <row r="47" spans="1:7" x14ac:dyDescent="0.3">
      <c r="A47" s="2">
        <v>45636</v>
      </c>
      <c r="B47" t="s">
        <v>38</v>
      </c>
      <c r="C47">
        <v>50</v>
      </c>
      <c r="E47" t="s">
        <v>17</v>
      </c>
      <c r="F47" t="s">
        <v>18</v>
      </c>
      <c r="G47" t="str">
        <f t="shared" si="0"/>
        <v>Dec-2024</v>
      </c>
    </row>
    <row r="48" spans="1:7" x14ac:dyDescent="0.3">
      <c r="A48" s="2">
        <v>45641</v>
      </c>
      <c r="B48" t="s">
        <v>7</v>
      </c>
      <c r="D48">
        <v>107.13</v>
      </c>
      <c r="E48" t="s">
        <v>8</v>
      </c>
      <c r="F48" t="s">
        <v>9</v>
      </c>
      <c r="G48" t="str">
        <f t="shared" si="0"/>
        <v>Dec-2024</v>
      </c>
    </row>
    <row r="49" spans="1:7" x14ac:dyDescent="0.3">
      <c r="A49" s="2">
        <v>45641</v>
      </c>
      <c r="B49" t="s">
        <v>39</v>
      </c>
      <c r="D49">
        <v>30.12</v>
      </c>
      <c r="E49" t="s">
        <v>8</v>
      </c>
      <c r="F49" t="s">
        <v>40</v>
      </c>
      <c r="G49" t="str">
        <f t="shared" si="0"/>
        <v>Dec-2024</v>
      </c>
    </row>
    <row r="50" spans="1:7" x14ac:dyDescent="0.3">
      <c r="A50" s="2">
        <v>45642</v>
      </c>
      <c r="B50" t="s">
        <v>16</v>
      </c>
      <c r="C50">
        <v>682</v>
      </c>
      <c r="E50" t="s">
        <v>17</v>
      </c>
      <c r="F50" t="s">
        <v>18</v>
      </c>
      <c r="G50" t="str">
        <f t="shared" si="0"/>
        <v>Dec-2024</v>
      </c>
    </row>
    <row r="51" spans="1:7" x14ac:dyDescent="0.3">
      <c r="A51" s="2">
        <v>45643</v>
      </c>
      <c r="B51" t="s">
        <v>24</v>
      </c>
      <c r="D51">
        <v>16.95</v>
      </c>
      <c r="E51" t="s">
        <v>8</v>
      </c>
      <c r="F51" t="s">
        <v>13</v>
      </c>
      <c r="G51" t="str">
        <f t="shared" si="0"/>
        <v>Dec-2024</v>
      </c>
    </row>
    <row r="52" spans="1:7" x14ac:dyDescent="0.3">
      <c r="A52" s="2">
        <v>45643</v>
      </c>
      <c r="B52" t="s">
        <v>26</v>
      </c>
      <c r="D52">
        <v>7.32</v>
      </c>
      <c r="E52" t="s">
        <v>8</v>
      </c>
      <c r="F52" t="s">
        <v>13</v>
      </c>
      <c r="G52" t="str">
        <f t="shared" si="0"/>
        <v>Dec-2024</v>
      </c>
    </row>
    <row r="53" spans="1:7" x14ac:dyDescent="0.3">
      <c r="A53" s="2">
        <v>45646</v>
      </c>
      <c r="B53" t="s">
        <v>41</v>
      </c>
      <c r="D53">
        <v>25.07</v>
      </c>
      <c r="E53" t="s">
        <v>8</v>
      </c>
      <c r="F53" t="s">
        <v>13</v>
      </c>
      <c r="G53" t="str">
        <f t="shared" si="0"/>
        <v>Dec-2024</v>
      </c>
    </row>
    <row r="54" spans="1:7" x14ac:dyDescent="0.3">
      <c r="A54" s="2">
        <v>45648</v>
      </c>
      <c r="B54" t="s">
        <v>42</v>
      </c>
      <c r="D54">
        <v>11.29</v>
      </c>
      <c r="E54" t="s">
        <v>8</v>
      </c>
      <c r="F54" t="s">
        <v>40</v>
      </c>
      <c r="G54" t="str">
        <f t="shared" si="0"/>
        <v>Dec-2024</v>
      </c>
    </row>
    <row r="55" spans="1:7" x14ac:dyDescent="0.3">
      <c r="A55" s="2">
        <v>45649</v>
      </c>
      <c r="B55" t="s">
        <v>19</v>
      </c>
      <c r="D55">
        <v>9.5</v>
      </c>
      <c r="E55" t="s">
        <v>8</v>
      </c>
      <c r="F55" t="s">
        <v>11</v>
      </c>
      <c r="G55" t="str">
        <f t="shared" si="0"/>
        <v>Dec-2024</v>
      </c>
    </row>
    <row r="56" spans="1:7" x14ac:dyDescent="0.3">
      <c r="A56" s="2">
        <v>45649</v>
      </c>
      <c r="B56" t="s">
        <v>36</v>
      </c>
      <c r="D56">
        <v>2.81</v>
      </c>
      <c r="E56" t="s">
        <v>8</v>
      </c>
      <c r="F56" t="s">
        <v>15</v>
      </c>
      <c r="G56" t="str">
        <f t="shared" si="0"/>
        <v>Dec-2024</v>
      </c>
    </row>
    <row r="57" spans="1:7" x14ac:dyDescent="0.3">
      <c r="A57" s="2">
        <v>45649</v>
      </c>
      <c r="B57" t="s">
        <v>37</v>
      </c>
      <c r="D57">
        <v>3.08</v>
      </c>
      <c r="E57" t="s">
        <v>8</v>
      </c>
      <c r="F57" t="s">
        <v>15</v>
      </c>
      <c r="G57" t="str">
        <f t="shared" si="0"/>
        <v>Dec-2024</v>
      </c>
    </row>
    <row r="58" spans="1:7" x14ac:dyDescent="0.3">
      <c r="A58" s="2">
        <v>45649</v>
      </c>
      <c r="B58" t="s">
        <v>37</v>
      </c>
      <c r="D58">
        <v>0.25</v>
      </c>
      <c r="E58" t="s">
        <v>8</v>
      </c>
      <c r="F58" t="s">
        <v>15</v>
      </c>
      <c r="G58" t="str">
        <f t="shared" si="0"/>
        <v>Dec-2024</v>
      </c>
    </row>
    <row r="59" spans="1:7" x14ac:dyDescent="0.3">
      <c r="A59" s="2">
        <v>45658</v>
      </c>
      <c r="B59" t="s">
        <v>29</v>
      </c>
      <c r="D59">
        <v>18.920000000000002</v>
      </c>
      <c r="E59" t="s">
        <v>8</v>
      </c>
      <c r="F59" t="s">
        <v>30</v>
      </c>
      <c r="G59" t="str">
        <f t="shared" si="0"/>
        <v>Jan-2025</v>
      </c>
    </row>
    <row r="60" spans="1:7" x14ac:dyDescent="0.3">
      <c r="A60" s="2">
        <v>45662</v>
      </c>
      <c r="B60" t="s">
        <v>12</v>
      </c>
      <c r="D60">
        <v>18.63</v>
      </c>
      <c r="E60" t="s">
        <v>8</v>
      </c>
      <c r="F60" t="s">
        <v>13</v>
      </c>
      <c r="G60" t="str">
        <f t="shared" si="0"/>
        <v>Jan-2025</v>
      </c>
    </row>
    <row r="61" spans="1:7" x14ac:dyDescent="0.3">
      <c r="A61" s="2">
        <v>45666</v>
      </c>
      <c r="B61" t="s">
        <v>16</v>
      </c>
      <c r="C61">
        <v>78.47</v>
      </c>
      <c r="E61" t="s">
        <v>17</v>
      </c>
      <c r="F61" t="s">
        <v>18</v>
      </c>
      <c r="G61" t="str">
        <f t="shared" si="0"/>
        <v>Jan-2025</v>
      </c>
    </row>
    <row r="62" spans="1:7" x14ac:dyDescent="0.3">
      <c r="A62" s="2">
        <v>45669</v>
      </c>
      <c r="B62" t="s">
        <v>43</v>
      </c>
      <c r="D62">
        <v>15.26</v>
      </c>
      <c r="E62" t="s">
        <v>8</v>
      </c>
      <c r="F62" t="s">
        <v>28</v>
      </c>
      <c r="G62" t="str">
        <f t="shared" si="0"/>
        <v>Jan-2025</v>
      </c>
    </row>
    <row r="63" spans="1:7" x14ac:dyDescent="0.3">
      <c r="A63" s="2">
        <v>45672</v>
      </c>
      <c r="B63" t="s">
        <v>7</v>
      </c>
      <c r="D63">
        <v>27.12</v>
      </c>
      <c r="E63" t="s">
        <v>8</v>
      </c>
      <c r="F63" t="s">
        <v>9</v>
      </c>
      <c r="G63" t="str">
        <f t="shared" si="0"/>
        <v>Jan-2025</v>
      </c>
    </row>
    <row r="64" spans="1:7" x14ac:dyDescent="0.3">
      <c r="A64" s="2">
        <v>45674</v>
      </c>
      <c r="B64" t="s">
        <v>24</v>
      </c>
      <c r="D64">
        <v>16.95</v>
      </c>
      <c r="E64" t="s">
        <v>8</v>
      </c>
      <c r="F64" t="s">
        <v>13</v>
      </c>
      <c r="G64" t="str">
        <f t="shared" si="0"/>
        <v>Jan-2025</v>
      </c>
    </row>
    <row r="65" spans="1:7" x14ac:dyDescent="0.3">
      <c r="A65" s="2">
        <v>45674</v>
      </c>
      <c r="B65" t="s">
        <v>26</v>
      </c>
      <c r="D65">
        <v>7.32</v>
      </c>
      <c r="E65" t="s">
        <v>8</v>
      </c>
      <c r="F65" t="s">
        <v>13</v>
      </c>
      <c r="G65" t="str">
        <f t="shared" si="0"/>
        <v>Jan-2025</v>
      </c>
    </row>
    <row r="66" spans="1:7" x14ac:dyDescent="0.3">
      <c r="A66" s="2">
        <v>45676</v>
      </c>
      <c r="B66" t="s">
        <v>14</v>
      </c>
      <c r="D66">
        <v>5</v>
      </c>
      <c r="E66" t="s">
        <v>8</v>
      </c>
      <c r="F66" t="s">
        <v>15</v>
      </c>
      <c r="G66" t="str">
        <f t="shared" si="0"/>
        <v>Jan-2025</v>
      </c>
    </row>
    <row r="67" spans="1:7" x14ac:dyDescent="0.3">
      <c r="A67" s="2">
        <v>45680</v>
      </c>
      <c r="B67" t="s">
        <v>37</v>
      </c>
      <c r="D67">
        <v>1.53</v>
      </c>
      <c r="E67" t="s">
        <v>8</v>
      </c>
      <c r="F67" t="s">
        <v>15</v>
      </c>
      <c r="G67" t="str">
        <f t="shared" ref="G67:G122" si="2">TEXT(A67,"mmm-yyyy")</f>
        <v>Jan-2025</v>
      </c>
    </row>
    <row r="68" spans="1:7" x14ac:dyDescent="0.3">
      <c r="A68" s="2">
        <v>45680</v>
      </c>
      <c r="B68" t="s">
        <v>37</v>
      </c>
      <c r="D68">
        <v>0.12</v>
      </c>
      <c r="E68" t="s">
        <v>8</v>
      </c>
      <c r="F68" t="s">
        <v>15</v>
      </c>
      <c r="G68" t="str">
        <f t="shared" si="2"/>
        <v>Jan-2025</v>
      </c>
    </row>
    <row r="69" spans="1:7" x14ac:dyDescent="0.3">
      <c r="A69" s="2">
        <v>45690</v>
      </c>
      <c r="B69" t="s">
        <v>29</v>
      </c>
      <c r="D69">
        <v>18.920000000000002</v>
      </c>
      <c r="E69" t="s">
        <v>8</v>
      </c>
      <c r="F69" t="s">
        <v>30</v>
      </c>
      <c r="G69" t="str">
        <f>TEXT(A69,"MMM-YYYY")</f>
        <v>Feb-2025</v>
      </c>
    </row>
    <row r="70" spans="1:7" x14ac:dyDescent="0.3">
      <c r="A70" s="2">
        <v>45703</v>
      </c>
      <c r="B70" t="s">
        <v>7</v>
      </c>
      <c r="D70">
        <v>27.12</v>
      </c>
      <c r="E70" t="s">
        <v>8</v>
      </c>
      <c r="F70" t="s">
        <v>9</v>
      </c>
      <c r="G70" t="str">
        <f t="shared" si="2"/>
        <v>Feb-2025</v>
      </c>
    </row>
    <row r="71" spans="1:7" x14ac:dyDescent="0.3">
      <c r="A71" s="2">
        <v>45703</v>
      </c>
      <c r="B71" t="s">
        <v>26</v>
      </c>
      <c r="D71">
        <v>15</v>
      </c>
      <c r="E71" t="s">
        <v>8</v>
      </c>
      <c r="F71" t="s">
        <v>13</v>
      </c>
      <c r="G71" t="str">
        <f t="shared" si="2"/>
        <v>Feb-2025</v>
      </c>
    </row>
    <row r="72" spans="1:7" x14ac:dyDescent="0.3">
      <c r="A72" s="2">
        <v>45704</v>
      </c>
      <c r="B72" t="s">
        <v>44</v>
      </c>
      <c r="D72">
        <v>5.09</v>
      </c>
      <c r="E72" t="s">
        <v>8</v>
      </c>
      <c r="F72" t="s">
        <v>15</v>
      </c>
      <c r="G72" t="str">
        <f t="shared" si="2"/>
        <v>Feb-2025</v>
      </c>
    </row>
    <row r="73" spans="1:7" x14ac:dyDescent="0.3">
      <c r="A73" s="2">
        <v>45704</v>
      </c>
      <c r="B73" t="s">
        <v>45</v>
      </c>
      <c r="D73">
        <v>8.57</v>
      </c>
      <c r="E73" t="s">
        <v>8</v>
      </c>
      <c r="F73" t="s">
        <v>15</v>
      </c>
      <c r="G73" t="str">
        <f t="shared" si="2"/>
        <v>Feb-2025</v>
      </c>
    </row>
    <row r="74" spans="1:7" x14ac:dyDescent="0.3">
      <c r="A74" s="2">
        <v>45705</v>
      </c>
      <c r="B74" t="s">
        <v>24</v>
      </c>
      <c r="D74">
        <v>16.95</v>
      </c>
      <c r="E74" t="s">
        <v>8</v>
      </c>
      <c r="F74" t="s">
        <v>13</v>
      </c>
      <c r="G74" t="str">
        <f t="shared" si="2"/>
        <v>Feb-2025</v>
      </c>
    </row>
    <row r="75" spans="1:7" x14ac:dyDescent="0.3">
      <c r="A75" s="2">
        <v>45705</v>
      </c>
      <c r="B75" t="s">
        <v>14</v>
      </c>
      <c r="D75">
        <v>3.5</v>
      </c>
      <c r="E75" t="s">
        <v>8</v>
      </c>
      <c r="F75" t="s">
        <v>15</v>
      </c>
      <c r="G75" t="str">
        <f t="shared" si="2"/>
        <v>Feb-2025</v>
      </c>
    </row>
    <row r="76" spans="1:7" x14ac:dyDescent="0.3">
      <c r="A76" s="2">
        <v>45706</v>
      </c>
      <c r="B76" t="s">
        <v>16</v>
      </c>
      <c r="C76">
        <v>40</v>
      </c>
      <c r="E76" t="s">
        <v>17</v>
      </c>
      <c r="F76" t="s">
        <v>18</v>
      </c>
      <c r="G76" t="str">
        <f t="shared" si="2"/>
        <v>Feb-2025</v>
      </c>
    </row>
    <row r="77" spans="1:7" x14ac:dyDescent="0.3">
      <c r="A77" s="2">
        <v>45706</v>
      </c>
      <c r="B77" t="s">
        <v>31</v>
      </c>
      <c r="D77">
        <v>63</v>
      </c>
      <c r="E77" t="s">
        <v>8</v>
      </c>
      <c r="F77" t="s">
        <v>21</v>
      </c>
      <c r="G77" t="str">
        <f t="shared" si="2"/>
        <v>Feb-2025</v>
      </c>
    </row>
    <row r="78" spans="1:7" x14ac:dyDescent="0.3">
      <c r="A78" s="2">
        <v>45711</v>
      </c>
      <c r="B78" t="s">
        <v>37</v>
      </c>
      <c r="D78">
        <v>2.64</v>
      </c>
      <c r="E78" t="s">
        <v>8</v>
      </c>
      <c r="F78" t="s">
        <v>15</v>
      </c>
      <c r="G78" t="str">
        <f t="shared" si="2"/>
        <v>Feb-2025</v>
      </c>
    </row>
    <row r="79" spans="1:7" x14ac:dyDescent="0.3">
      <c r="A79" s="2">
        <v>45711</v>
      </c>
      <c r="B79" t="s">
        <v>37</v>
      </c>
      <c r="D79">
        <v>0.21</v>
      </c>
      <c r="E79" t="s">
        <v>8</v>
      </c>
      <c r="F79" t="s">
        <v>15</v>
      </c>
      <c r="G79" t="str">
        <f t="shared" si="2"/>
        <v>Feb-2025</v>
      </c>
    </row>
    <row r="80" spans="1:7" x14ac:dyDescent="0.3">
      <c r="A80" s="2">
        <v>45568</v>
      </c>
      <c r="B80" t="s">
        <v>32</v>
      </c>
      <c r="D80">
        <v>37.79</v>
      </c>
      <c r="E80" t="s">
        <v>8</v>
      </c>
      <c r="F80" t="s">
        <v>33</v>
      </c>
      <c r="G80" t="str">
        <f t="shared" si="2"/>
        <v>Oct-2024</v>
      </c>
    </row>
    <row r="81" spans="1:7" x14ac:dyDescent="0.3">
      <c r="A81" s="2">
        <v>45574</v>
      </c>
      <c r="B81" t="s">
        <v>46</v>
      </c>
      <c r="D81">
        <v>5.93</v>
      </c>
      <c r="E81" t="s">
        <v>8</v>
      </c>
      <c r="F81" t="s">
        <v>28</v>
      </c>
      <c r="G81" t="str">
        <f t="shared" si="2"/>
        <v>Oct-2024</v>
      </c>
    </row>
    <row r="82" spans="1:7" x14ac:dyDescent="0.3">
      <c r="A82" s="2">
        <v>45574</v>
      </c>
      <c r="B82" t="s">
        <v>47</v>
      </c>
      <c r="D82">
        <v>10.16</v>
      </c>
      <c r="E82" t="s">
        <v>8</v>
      </c>
      <c r="F82" t="s">
        <v>28</v>
      </c>
      <c r="G82" t="str">
        <f t="shared" si="2"/>
        <v>Oct-2024</v>
      </c>
    </row>
    <row r="83" spans="1:7" x14ac:dyDescent="0.3">
      <c r="A83" s="2">
        <v>45585</v>
      </c>
      <c r="B83" t="s">
        <v>16</v>
      </c>
      <c r="C83">
        <v>171.07</v>
      </c>
      <c r="E83" t="s">
        <v>17</v>
      </c>
      <c r="F83" t="s">
        <v>18</v>
      </c>
      <c r="G83" t="str">
        <f t="shared" si="2"/>
        <v>Oct-2024</v>
      </c>
    </row>
    <row r="84" spans="1:7" x14ac:dyDescent="0.3">
      <c r="A84" s="2">
        <v>45594</v>
      </c>
      <c r="B84" t="s">
        <v>32</v>
      </c>
      <c r="D84">
        <v>76.819999999999993</v>
      </c>
      <c r="E84" t="s">
        <v>8</v>
      </c>
      <c r="F84" t="s">
        <v>33</v>
      </c>
      <c r="G84" t="str">
        <f t="shared" si="2"/>
        <v>Oct-2024</v>
      </c>
    </row>
    <row r="85" spans="1:7" x14ac:dyDescent="0.3">
      <c r="A85" s="2">
        <v>45598</v>
      </c>
      <c r="B85" t="s">
        <v>48</v>
      </c>
      <c r="D85">
        <v>60.3</v>
      </c>
      <c r="E85" t="s">
        <v>8</v>
      </c>
      <c r="F85" t="s">
        <v>28</v>
      </c>
      <c r="G85" t="str">
        <f t="shared" si="2"/>
        <v>Nov-2024</v>
      </c>
    </row>
    <row r="86" spans="1:7" x14ac:dyDescent="0.3">
      <c r="A86" s="2">
        <v>45620</v>
      </c>
      <c r="B86" t="s">
        <v>47</v>
      </c>
      <c r="D86">
        <v>18</v>
      </c>
      <c r="E86" t="s">
        <v>8</v>
      </c>
      <c r="F86" t="s">
        <v>28</v>
      </c>
      <c r="G86" t="str">
        <f t="shared" si="2"/>
        <v>Nov-2024</v>
      </c>
    </row>
    <row r="87" spans="1:7" x14ac:dyDescent="0.3">
      <c r="A87" s="2">
        <v>45599</v>
      </c>
      <c r="B87" t="s">
        <v>36</v>
      </c>
      <c r="D87">
        <v>42</v>
      </c>
      <c r="E87" t="s">
        <v>8</v>
      </c>
      <c r="F87" t="s">
        <v>15</v>
      </c>
      <c r="G87" t="str">
        <f t="shared" si="2"/>
        <v>Nov-2024</v>
      </c>
    </row>
    <row r="88" spans="1:7" x14ac:dyDescent="0.3">
      <c r="A88" s="2">
        <v>45605</v>
      </c>
      <c r="B88" t="s">
        <v>16</v>
      </c>
      <c r="C88">
        <v>500</v>
      </c>
      <c r="E88" t="s">
        <v>17</v>
      </c>
      <c r="F88" t="s">
        <v>18</v>
      </c>
      <c r="G88" t="str">
        <f t="shared" si="2"/>
        <v>Nov-2024</v>
      </c>
    </row>
    <row r="89" spans="1:7" x14ac:dyDescent="0.3">
      <c r="A89" s="2">
        <v>45611</v>
      </c>
      <c r="B89" t="s">
        <v>49</v>
      </c>
      <c r="D89">
        <v>168.37</v>
      </c>
      <c r="E89" t="s">
        <v>8</v>
      </c>
      <c r="F89" t="s">
        <v>33</v>
      </c>
      <c r="G89" t="str">
        <f t="shared" si="2"/>
        <v>Nov-2024</v>
      </c>
    </row>
    <row r="90" spans="1:7" x14ac:dyDescent="0.3">
      <c r="A90" s="2">
        <v>45612</v>
      </c>
      <c r="B90" t="s">
        <v>16</v>
      </c>
      <c r="C90">
        <v>459.9</v>
      </c>
      <c r="E90" t="s">
        <v>17</v>
      </c>
      <c r="F90" t="s">
        <v>18</v>
      </c>
      <c r="G90" t="str">
        <f t="shared" si="2"/>
        <v>Nov-2024</v>
      </c>
    </row>
    <row r="91" spans="1:7" x14ac:dyDescent="0.3">
      <c r="A91" s="2">
        <v>45621</v>
      </c>
      <c r="B91" t="s">
        <v>32</v>
      </c>
      <c r="D91">
        <v>5.64</v>
      </c>
      <c r="E91" t="s">
        <v>8</v>
      </c>
      <c r="F91" t="s">
        <v>13</v>
      </c>
      <c r="G91" t="str">
        <f t="shared" si="2"/>
        <v>Nov-2024</v>
      </c>
    </row>
    <row r="92" spans="1:7" x14ac:dyDescent="0.3">
      <c r="A92" s="2">
        <v>45623</v>
      </c>
      <c r="B92" t="s">
        <v>16</v>
      </c>
      <c r="C92">
        <v>278.72000000000003</v>
      </c>
      <c r="E92" t="s">
        <v>17</v>
      </c>
      <c r="F92" t="s">
        <v>18</v>
      </c>
      <c r="G92" t="str">
        <f t="shared" si="2"/>
        <v>Nov-2024</v>
      </c>
    </row>
    <row r="93" spans="1:7" x14ac:dyDescent="0.3">
      <c r="A93" s="2">
        <v>45629</v>
      </c>
      <c r="B93" t="s">
        <v>36</v>
      </c>
      <c r="D93">
        <v>10</v>
      </c>
      <c r="E93" t="s">
        <v>8</v>
      </c>
      <c r="F93" t="s">
        <v>15</v>
      </c>
      <c r="G93" t="str">
        <f t="shared" si="2"/>
        <v>Dec-2024</v>
      </c>
    </row>
    <row r="94" spans="1:7" x14ac:dyDescent="0.3">
      <c r="A94" s="2">
        <v>45633</v>
      </c>
      <c r="B94" t="s">
        <v>50</v>
      </c>
      <c r="D94">
        <v>12.3</v>
      </c>
      <c r="E94" t="s">
        <v>8</v>
      </c>
      <c r="F94" t="s">
        <v>15</v>
      </c>
      <c r="G94" t="str">
        <f t="shared" si="2"/>
        <v>Dec-2024</v>
      </c>
    </row>
    <row r="95" spans="1:7" x14ac:dyDescent="0.3">
      <c r="A95" s="2">
        <v>45633</v>
      </c>
      <c r="B95" t="s">
        <v>51</v>
      </c>
      <c r="D95">
        <v>30</v>
      </c>
      <c r="E95" t="s">
        <v>8</v>
      </c>
      <c r="F95" t="s">
        <v>9</v>
      </c>
      <c r="G95" t="str">
        <f t="shared" si="2"/>
        <v>Dec-2024</v>
      </c>
    </row>
    <row r="96" spans="1:7" x14ac:dyDescent="0.3">
      <c r="A96" s="2">
        <v>45640</v>
      </c>
      <c r="B96" t="s">
        <v>52</v>
      </c>
      <c r="D96">
        <v>72.03</v>
      </c>
      <c r="E96" t="s">
        <v>8</v>
      </c>
      <c r="F96" t="s">
        <v>33</v>
      </c>
      <c r="G96" t="str">
        <f t="shared" si="2"/>
        <v>Dec-2024</v>
      </c>
    </row>
    <row r="97" spans="1:7" x14ac:dyDescent="0.3">
      <c r="A97" s="2">
        <v>45641</v>
      </c>
      <c r="B97" t="s">
        <v>16</v>
      </c>
      <c r="C97">
        <v>100</v>
      </c>
      <c r="E97" t="s">
        <v>17</v>
      </c>
      <c r="F97" t="s">
        <v>18</v>
      </c>
      <c r="G97" t="str">
        <f t="shared" si="2"/>
        <v>Dec-2024</v>
      </c>
    </row>
    <row r="98" spans="1:7" x14ac:dyDescent="0.3">
      <c r="A98" s="2">
        <v>45646</v>
      </c>
      <c r="B98" t="s">
        <v>53</v>
      </c>
      <c r="D98">
        <v>32.32</v>
      </c>
      <c r="E98" t="s">
        <v>8</v>
      </c>
      <c r="F98" t="s">
        <v>28</v>
      </c>
      <c r="G98" t="str">
        <f t="shared" si="2"/>
        <v>Dec-2024</v>
      </c>
    </row>
    <row r="99" spans="1:7" x14ac:dyDescent="0.3">
      <c r="A99" s="2">
        <v>45647</v>
      </c>
      <c r="B99" t="s">
        <v>54</v>
      </c>
      <c r="D99">
        <v>141.93</v>
      </c>
      <c r="E99" t="s">
        <v>8</v>
      </c>
      <c r="F99" t="s">
        <v>21</v>
      </c>
      <c r="G99" t="str">
        <f t="shared" si="2"/>
        <v>Dec-2024</v>
      </c>
    </row>
    <row r="100" spans="1:7" x14ac:dyDescent="0.3">
      <c r="A100" s="2">
        <v>45650</v>
      </c>
      <c r="B100" t="s">
        <v>55</v>
      </c>
      <c r="D100">
        <v>44.96</v>
      </c>
      <c r="E100" t="s">
        <v>8</v>
      </c>
      <c r="F100" t="s">
        <v>28</v>
      </c>
      <c r="G100" t="str">
        <f t="shared" si="2"/>
        <v>Dec-2024</v>
      </c>
    </row>
    <row r="101" spans="1:7" x14ac:dyDescent="0.3">
      <c r="A101" s="2">
        <v>45658</v>
      </c>
      <c r="B101" t="s">
        <v>16</v>
      </c>
      <c r="C101">
        <v>450.54</v>
      </c>
      <c r="E101" t="s">
        <v>17</v>
      </c>
      <c r="F101" t="s">
        <v>18</v>
      </c>
      <c r="G101" t="str">
        <f t="shared" si="2"/>
        <v>Jan-2025</v>
      </c>
    </row>
    <row r="102" spans="1:7" x14ac:dyDescent="0.3">
      <c r="A102" s="2">
        <v>45660</v>
      </c>
      <c r="B102" t="s">
        <v>36</v>
      </c>
      <c r="D102">
        <v>16</v>
      </c>
      <c r="E102" t="s">
        <v>8</v>
      </c>
      <c r="F102" t="s">
        <v>15</v>
      </c>
      <c r="G102" t="str">
        <f t="shared" si="2"/>
        <v>Jan-2025</v>
      </c>
    </row>
    <row r="103" spans="1:7" x14ac:dyDescent="0.3">
      <c r="A103" s="2">
        <v>45660</v>
      </c>
      <c r="B103" t="s">
        <v>54</v>
      </c>
      <c r="D103">
        <v>109.86</v>
      </c>
      <c r="E103" t="s">
        <v>8</v>
      </c>
      <c r="F103" t="s">
        <v>21</v>
      </c>
      <c r="G103" t="str">
        <f t="shared" si="2"/>
        <v>Jan-2025</v>
      </c>
    </row>
    <row r="104" spans="1:7" x14ac:dyDescent="0.3">
      <c r="A104" s="2">
        <v>45665</v>
      </c>
      <c r="B104" t="s">
        <v>16</v>
      </c>
      <c r="C104">
        <v>48.79</v>
      </c>
      <c r="E104" t="s">
        <v>17</v>
      </c>
      <c r="F104" t="s">
        <v>18</v>
      </c>
      <c r="G104" t="str">
        <f t="shared" si="2"/>
        <v>Jan-2025</v>
      </c>
    </row>
    <row r="105" spans="1:7" x14ac:dyDescent="0.3">
      <c r="A105" s="2">
        <v>45668</v>
      </c>
      <c r="B105" t="s">
        <v>56</v>
      </c>
      <c r="D105">
        <v>26.98</v>
      </c>
      <c r="E105" t="s">
        <v>8</v>
      </c>
      <c r="F105" t="s">
        <v>28</v>
      </c>
      <c r="G105" t="str">
        <f t="shared" si="2"/>
        <v>Jan-2025</v>
      </c>
    </row>
    <row r="106" spans="1:7" x14ac:dyDescent="0.3">
      <c r="A106" s="2">
        <v>45668</v>
      </c>
      <c r="B106" t="s">
        <v>32</v>
      </c>
      <c r="D106">
        <v>54.92</v>
      </c>
      <c r="E106" t="s">
        <v>8</v>
      </c>
      <c r="F106" t="s">
        <v>33</v>
      </c>
      <c r="G106" t="str">
        <f t="shared" si="2"/>
        <v>Jan-2025</v>
      </c>
    </row>
    <row r="107" spans="1:7" x14ac:dyDescent="0.3">
      <c r="A107" s="2">
        <v>45670</v>
      </c>
      <c r="B107" t="s">
        <v>15</v>
      </c>
      <c r="D107">
        <v>3</v>
      </c>
      <c r="E107" t="s">
        <v>8</v>
      </c>
      <c r="F107" t="s">
        <v>15</v>
      </c>
      <c r="G107" t="str">
        <f t="shared" si="2"/>
        <v>Jan-2025</v>
      </c>
    </row>
    <row r="108" spans="1:7" x14ac:dyDescent="0.3">
      <c r="A108" s="2">
        <v>45681</v>
      </c>
      <c r="B108" t="s">
        <v>57</v>
      </c>
      <c r="D108">
        <v>146.05000000000001</v>
      </c>
      <c r="E108" t="s">
        <v>8</v>
      </c>
      <c r="F108" t="s">
        <v>33</v>
      </c>
      <c r="G108" t="str">
        <f t="shared" si="2"/>
        <v>Jan-2025</v>
      </c>
    </row>
    <row r="109" spans="1:7" x14ac:dyDescent="0.3">
      <c r="A109" s="2">
        <v>45684</v>
      </c>
      <c r="B109" t="s">
        <v>58</v>
      </c>
      <c r="D109">
        <v>33.36</v>
      </c>
      <c r="E109" t="s">
        <v>8</v>
      </c>
      <c r="F109" t="s">
        <v>13</v>
      </c>
      <c r="G109" t="str">
        <f t="shared" si="2"/>
        <v>Jan-2025</v>
      </c>
    </row>
    <row r="110" spans="1:7" x14ac:dyDescent="0.3">
      <c r="A110" s="2">
        <v>45688</v>
      </c>
      <c r="B110" t="s">
        <v>59</v>
      </c>
      <c r="D110">
        <v>48.94</v>
      </c>
      <c r="E110" t="s">
        <v>8</v>
      </c>
      <c r="F110" t="s">
        <v>28</v>
      </c>
      <c r="G110" t="str">
        <f t="shared" si="2"/>
        <v>Jan-2025</v>
      </c>
    </row>
    <row r="111" spans="1:7" x14ac:dyDescent="0.3">
      <c r="A111" s="2">
        <v>45689</v>
      </c>
      <c r="B111" t="s">
        <v>60</v>
      </c>
      <c r="D111">
        <v>21.59</v>
      </c>
      <c r="E111" t="s">
        <v>8</v>
      </c>
      <c r="F111" t="s">
        <v>21</v>
      </c>
      <c r="G111" t="str">
        <f t="shared" si="2"/>
        <v>Feb-2025</v>
      </c>
    </row>
    <row r="112" spans="1:7" x14ac:dyDescent="0.3">
      <c r="A112" s="2">
        <v>45691</v>
      </c>
      <c r="B112" t="s">
        <v>36</v>
      </c>
      <c r="D112">
        <v>5</v>
      </c>
      <c r="E112" t="s">
        <v>8</v>
      </c>
      <c r="F112" t="s">
        <v>15</v>
      </c>
      <c r="G112" t="str">
        <f t="shared" si="2"/>
        <v>Feb-2025</v>
      </c>
    </row>
    <row r="113" spans="1:7" x14ac:dyDescent="0.3">
      <c r="A113" s="2">
        <v>45695</v>
      </c>
      <c r="B113" t="s">
        <v>16</v>
      </c>
      <c r="C113">
        <v>150</v>
      </c>
      <c r="E113" t="s">
        <v>17</v>
      </c>
      <c r="F113" t="s">
        <v>18</v>
      </c>
      <c r="G113" t="str">
        <f t="shared" si="2"/>
        <v>Feb-2025</v>
      </c>
    </row>
    <row r="114" spans="1:7" x14ac:dyDescent="0.3">
      <c r="A114" s="2">
        <v>45695</v>
      </c>
      <c r="B114" t="s">
        <v>61</v>
      </c>
      <c r="D114">
        <v>53</v>
      </c>
      <c r="E114" t="s">
        <v>8</v>
      </c>
      <c r="F114" t="s">
        <v>21</v>
      </c>
      <c r="G114" t="str">
        <f t="shared" si="2"/>
        <v>Feb-2025</v>
      </c>
    </row>
    <row r="115" spans="1:7" x14ac:dyDescent="0.3">
      <c r="A115" s="2">
        <v>45695</v>
      </c>
      <c r="B115" t="s">
        <v>62</v>
      </c>
      <c r="D115">
        <v>125</v>
      </c>
      <c r="E115" t="s">
        <v>8</v>
      </c>
      <c r="F115" t="s">
        <v>33</v>
      </c>
      <c r="G115" t="str">
        <f t="shared" si="2"/>
        <v>Feb-2025</v>
      </c>
    </row>
    <row r="116" spans="1:7" x14ac:dyDescent="0.3">
      <c r="A116" s="2">
        <v>45703</v>
      </c>
      <c r="B116" t="s">
        <v>56</v>
      </c>
      <c r="D116">
        <v>16.84</v>
      </c>
      <c r="E116" t="s">
        <v>8</v>
      </c>
      <c r="F116" t="s">
        <v>28</v>
      </c>
      <c r="G116" t="str">
        <f t="shared" si="2"/>
        <v>Feb-2025</v>
      </c>
    </row>
    <row r="117" spans="1:7" x14ac:dyDescent="0.3">
      <c r="A117" s="2">
        <v>45705</v>
      </c>
      <c r="B117" t="s">
        <v>63</v>
      </c>
      <c r="D117">
        <v>18.059999999999999</v>
      </c>
      <c r="E117" t="s">
        <v>8</v>
      </c>
      <c r="F117" t="s">
        <v>28</v>
      </c>
      <c r="G117" t="str">
        <f t="shared" si="2"/>
        <v>Feb-2025</v>
      </c>
    </row>
    <row r="118" spans="1:7" x14ac:dyDescent="0.3">
      <c r="A118" s="2">
        <v>45706</v>
      </c>
      <c r="B118" t="s">
        <v>32</v>
      </c>
      <c r="D118">
        <v>60</v>
      </c>
      <c r="E118" t="s">
        <v>8</v>
      </c>
      <c r="F118" t="s">
        <v>33</v>
      </c>
      <c r="G118" t="str">
        <f t="shared" si="2"/>
        <v>Feb-2025</v>
      </c>
    </row>
    <row r="119" spans="1:7" x14ac:dyDescent="0.3">
      <c r="A119" s="2">
        <v>45710</v>
      </c>
      <c r="B119" t="s">
        <v>64</v>
      </c>
      <c r="D119">
        <v>36.229999999999997</v>
      </c>
      <c r="E119" t="s">
        <v>8</v>
      </c>
      <c r="F119" t="s">
        <v>28</v>
      </c>
      <c r="G119" t="str">
        <f t="shared" si="2"/>
        <v>Feb-2025</v>
      </c>
    </row>
    <row r="120" spans="1:7" x14ac:dyDescent="0.3">
      <c r="A120" s="2">
        <v>45711</v>
      </c>
      <c r="B120" t="s">
        <v>16</v>
      </c>
      <c r="C120">
        <v>300</v>
      </c>
      <c r="E120" t="s">
        <v>17</v>
      </c>
      <c r="F120" t="s">
        <v>18</v>
      </c>
      <c r="G120" t="str">
        <f t="shared" si="2"/>
        <v>Feb-2025</v>
      </c>
    </row>
    <row r="121" spans="1:7" x14ac:dyDescent="0.3">
      <c r="A121" s="2">
        <v>45715</v>
      </c>
      <c r="B121" t="s">
        <v>65</v>
      </c>
      <c r="D121">
        <v>3.35</v>
      </c>
      <c r="E121" t="s">
        <v>8</v>
      </c>
      <c r="F121" t="s">
        <v>28</v>
      </c>
      <c r="G121" t="str">
        <f t="shared" si="2"/>
        <v>Feb-2025</v>
      </c>
    </row>
    <row r="122" spans="1:7" x14ac:dyDescent="0.3">
      <c r="A122" s="2">
        <v>45715</v>
      </c>
      <c r="B122" t="s">
        <v>58</v>
      </c>
      <c r="D122">
        <v>33.44</v>
      </c>
      <c r="E122" t="s">
        <v>8</v>
      </c>
      <c r="F122" t="s">
        <v>13</v>
      </c>
      <c r="G122" t="str">
        <f t="shared" si="2"/>
        <v>Feb-2025</v>
      </c>
    </row>
  </sheetData>
  <autoFilter ref="E1:E123" xr:uid="{A07C7C44-CBF8-4353-AA3A-7E770BFDEC18}"/>
  <phoneticPr fontId="2" type="noConversion"/>
  <conditionalFormatting sqref="S2:S7">
    <cfRule type="cellIs" dxfId="1" priority="1" operator="greaterThan">
      <formula>500</formula>
    </cfRule>
  </conditionalFormatting>
  <dataValidations count="3">
    <dataValidation type="list" allowBlank="1" showInputMessage="1" showErrorMessage="1" sqref="F1" xr:uid="{D4D8A037-B475-4945-A79A-747642DF24BE}">
      <formula1>"Category,Food,Grocery,Transportation,Entertainment,Shopping,Rent,Insurance,Payment,Income,Other,Utilities,Memberships,Tution Fees,Skincare/Beauty,Credit card Payments"</formula1>
    </dataValidation>
    <dataValidation type="list" allowBlank="1" showInputMessage="1" showErrorMessage="1" sqref="F2:F122" xr:uid="{EC036D7B-FF88-4A90-AF2C-CF76E7D75EC2}">
      <formula1>"Food,Grocery,Transportation,Entertainment,Shopping,Rent,Insurance,Payment,Income,Other,Utilities,Memberships,Tution Fees,Skincare/Beauty,Credit card Payments"</formula1>
    </dataValidation>
    <dataValidation type="list" allowBlank="1" showInputMessage="1" showErrorMessage="1" sqref="E1:E1048576" xr:uid="{66333697-83D1-48DB-B58B-F6847BC9D190}">
      <formula1>"Expense,Income,Payment,Transfer,Deposit,Fee"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4B13-0B4A-4231-8A2F-BB4063408AB7}">
  <dimension ref="A1:AA98"/>
  <sheetViews>
    <sheetView topLeftCell="L1" zoomScaleNormal="100" workbookViewId="0">
      <selection activeCell="Z3" sqref="Z3"/>
    </sheetView>
  </sheetViews>
  <sheetFormatPr defaultRowHeight="14.4" x14ac:dyDescent="0.3"/>
  <cols>
    <col min="1" max="1" width="10.33203125" bestFit="1" customWidth="1"/>
    <col min="2" max="2" width="21.44140625" bestFit="1" customWidth="1"/>
    <col min="3" max="3" width="14.5546875" bestFit="1" customWidth="1"/>
    <col min="4" max="4" width="12.6640625" bestFit="1" customWidth="1"/>
    <col min="5" max="5" width="14.5546875" bestFit="1" customWidth="1"/>
    <col min="6" max="6" width="18.33203125" bestFit="1" customWidth="1"/>
    <col min="7" max="7" width="10.33203125" bestFit="1" customWidth="1"/>
    <col min="9" max="9" width="12.6640625" customWidth="1"/>
    <col min="13" max="13" width="11.33203125" customWidth="1"/>
    <col min="16" max="16" width="14.21875" customWidth="1"/>
    <col min="18" max="18" width="14.109375" customWidth="1"/>
    <col min="19" max="19" width="17" bestFit="1" customWidth="1"/>
    <col min="21" max="21" width="21.5546875" bestFit="1" customWidth="1"/>
    <col min="22" max="22" width="11.6640625" customWidth="1"/>
    <col min="23" max="23" width="10.88671875" customWidth="1"/>
    <col min="24" max="24" width="16.109375" customWidth="1"/>
    <col min="25" max="25" width="11.6640625" customWidth="1"/>
    <col min="26" max="26" width="16.88671875" customWidth="1"/>
  </cols>
  <sheetData>
    <row r="1" spans="1:27" x14ac:dyDescent="0.3">
      <c r="A1" s="4" t="s">
        <v>0</v>
      </c>
      <c r="B1" s="4" t="s">
        <v>1</v>
      </c>
      <c r="C1" s="4" t="s">
        <v>76</v>
      </c>
      <c r="D1" s="4" t="s">
        <v>3</v>
      </c>
      <c r="E1" s="4" t="s">
        <v>4</v>
      </c>
      <c r="F1" s="4" t="s">
        <v>5</v>
      </c>
      <c r="G1" s="4" t="s">
        <v>77</v>
      </c>
      <c r="I1" s="4" t="s">
        <v>66</v>
      </c>
      <c r="J1" s="4" t="s">
        <v>80</v>
      </c>
      <c r="K1" s="4" t="s">
        <v>21</v>
      </c>
      <c r="L1" s="4" t="s">
        <v>28</v>
      </c>
      <c r="M1" s="4" t="s">
        <v>85</v>
      </c>
      <c r="N1" s="4" t="s">
        <v>33</v>
      </c>
      <c r="O1" s="4" t="s">
        <v>9</v>
      </c>
      <c r="P1" s="4" t="s">
        <v>118</v>
      </c>
      <c r="Q1" s="4" t="s">
        <v>15</v>
      </c>
      <c r="R1" s="4" t="s">
        <v>117</v>
      </c>
      <c r="S1" s="4" t="s">
        <v>120</v>
      </c>
      <c r="T1" s="4" t="s">
        <v>82</v>
      </c>
      <c r="U1" s="4" t="s">
        <v>208</v>
      </c>
      <c r="V1" s="4" t="s">
        <v>75</v>
      </c>
      <c r="W1" s="4" t="s">
        <v>74</v>
      </c>
      <c r="X1" s="4" t="s">
        <v>121</v>
      </c>
      <c r="Y1" s="4" t="s">
        <v>119</v>
      </c>
      <c r="Z1" s="4" t="s">
        <v>94</v>
      </c>
      <c r="AA1" s="4" t="s">
        <v>123</v>
      </c>
    </row>
    <row r="2" spans="1:27" x14ac:dyDescent="0.3">
      <c r="A2" s="2">
        <v>45538</v>
      </c>
      <c r="B2" t="s">
        <v>78</v>
      </c>
      <c r="D2">
        <v>1230.2</v>
      </c>
      <c r="E2" t="s">
        <v>79</v>
      </c>
      <c r="F2" t="s">
        <v>80</v>
      </c>
      <c r="G2" s="3" t="str">
        <f>TEXT(A2,"MMM-YYYY")</f>
        <v>Sep-2024</v>
      </c>
      <c r="I2" t="s">
        <v>67</v>
      </c>
      <c r="J2">
        <f>SUMIFS($D:$D,$G:$G,"Sep-2024",$F:$F,"Rent")</f>
        <v>1230.2</v>
      </c>
      <c r="K2">
        <f>SUMIFS($D:$D,$G:$G,"Sep-2024",$F:$F,"Grocery")</f>
        <v>0</v>
      </c>
      <c r="L2">
        <f>SUMIFS($D:$D,$G:$G,"Sep-2024",$F:$F,"Food")</f>
        <v>8.69</v>
      </c>
      <c r="M2">
        <f>SUMIFS($D:$D,$G:$G,"Sep-2024",$F:$F,"Tution Fees")</f>
        <v>53</v>
      </c>
      <c r="N2">
        <f>SUMIFS($D:$D,$G:$G,"Sep-2024",$F:$F,"Shopping")</f>
        <v>0</v>
      </c>
      <c r="O2">
        <f>SUMIFS($D:$D,$G:$G,"Sep-2024",$F:$F,"Utilities")</f>
        <v>0</v>
      </c>
      <c r="P2">
        <f>SUMIFS($D:$D,$G:$G,"Sep-2024",$F:$F,"Splitwise balance")</f>
        <v>262.27</v>
      </c>
      <c r="Q2">
        <f>SUMIFS($D:$D,$G:$G,"Sep-2024",$F:$F,"Other")</f>
        <v>0</v>
      </c>
      <c r="R2">
        <f>SUMIFS($D:$D,$G:$G,"Sep-2024",$F:$F,"Credit card Payments")</f>
        <v>572.93999999999994</v>
      </c>
      <c r="S2">
        <f>SUMIFS($C:$C,$G:$G,"Sep-2024",$F:$F,"Government rebate")</f>
        <v>72.83</v>
      </c>
      <c r="T2">
        <f>SUMIFS($C:$C,$G:$G,"Sep-2024",$F:$F,"Salary")</f>
        <v>2451.75</v>
      </c>
      <c r="U2">
        <v>500.76</v>
      </c>
      <c r="V2">
        <f>SUM(S2:U2)</f>
        <v>3025.34</v>
      </c>
      <c r="W2">
        <f>SUM(J2:Q2)</f>
        <v>1554.16</v>
      </c>
      <c r="X2">
        <v>1700</v>
      </c>
      <c r="Y2">
        <f>SUMIFS($D:$D,$G:$G,"Sep-2024",$F:$F,"Investment")</f>
        <v>0</v>
      </c>
      <c r="Z2">
        <f>SUMIFS($D:$D,$G:$G,"Sep-2024",$E:$E,"Transfer",$F:$F,"Savings")</f>
        <v>420</v>
      </c>
      <c r="AA2" s="6">
        <f>IF(V2=0, 0, Z2/V2)</f>
        <v>0.13882737146899191</v>
      </c>
    </row>
    <row r="3" spans="1:27" x14ac:dyDescent="0.3">
      <c r="A3" s="2">
        <v>45541</v>
      </c>
      <c r="B3" t="s">
        <v>81</v>
      </c>
      <c r="C3">
        <v>1230.82</v>
      </c>
      <c r="E3" t="s">
        <v>18</v>
      </c>
      <c r="F3" t="s">
        <v>82</v>
      </c>
      <c r="G3" s="3" t="str">
        <f t="shared" ref="G3:G64" si="0">TEXT(A3,"MMM-YYYY")</f>
        <v>Sep-2024</v>
      </c>
      <c r="I3" t="s">
        <v>68</v>
      </c>
      <c r="J3">
        <f>SUMIFS($D:$D,$G:$G,"Oct-2024",$F:$F,"Rent")</f>
        <v>1230.2</v>
      </c>
      <c r="K3">
        <f>SUMIFS($D:$D,$G:$G,"Oct-2024",$F:$F,"Grocery")</f>
        <v>14.17</v>
      </c>
      <c r="L3">
        <f>SUMIFS($D:$D,$G:$G,"Oct-2024",$F:$F,"Food")</f>
        <v>61.89</v>
      </c>
      <c r="M3">
        <f>SUMIFS($D:$D,$G:$G,"Oct-2024",$F:$F,"Tution Fees")</f>
        <v>500</v>
      </c>
      <c r="N3">
        <f>SUMIFS($D:$D,$G:$G,"Oct-2024",$F:$F,"Shopping")</f>
        <v>50.85</v>
      </c>
      <c r="O3">
        <f>SUMIFS($D:$D,$G:$G,"Oct-2024",$F:$F,"Utilities")</f>
        <v>0</v>
      </c>
      <c r="P3">
        <f>SUMIFS($D:$D,$G:$G,"Oct-2024",$F:$F,"Splitwise balance")</f>
        <v>107.2</v>
      </c>
      <c r="Q3">
        <f>SUMIFS($D:$D,$G:$G,"Oct-2024",$F:$F,"Other")</f>
        <v>0</v>
      </c>
      <c r="R3">
        <f>SUMIFS($D:$D,$G:$G,"Oct-2024",$F:$F,"Credit card Payments")</f>
        <v>776.07</v>
      </c>
      <c r="S3">
        <f>SUMIFS($C:$C,$G:$G,"Oct-2024",$F:$F,"Government rebate")</f>
        <v>308.65999999999997</v>
      </c>
      <c r="T3">
        <f>SUMIFS($C:$C,$G:$G,"Oct-2024",$F:$F,"Salary")</f>
        <v>2425.9</v>
      </c>
      <c r="U3">
        <v>380.78</v>
      </c>
      <c r="V3">
        <f t="shared" ref="V3:V7" si="1">SUM(S3:U3)</f>
        <v>3115.34</v>
      </c>
      <c r="W3">
        <f t="shared" ref="W3:W7" si="2">SUM(J3:Q3)</f>
        <v>1964.3100000000002</v>
      </c>
      <c r="X3">
        <v>1700</v>
      </c>
      <c r="Y3">
        <f>SUMIFS($D:$D,$G:$G,"Oct-2024",$F:$F,"Investment")</f>
        <v>0</v>
      </c>
      <c r="Z3">
        <f>SUMIFS($D:$D,$G:$G,"Oct-2024",$E:$E,"Transfer",$F:$F,"Savings")</f>
        <v>320</v>
      </c>
      <c r="AA3" s="6">
        <f t="shared" ref="AA3:AA7" si="3">IF(V3=0, 0, Z3/V3)</f>
        <v>0.10271752039905756</v>
      </c>
    </row>
    <row r="4" spans="1:27" x14ac:dyDescent="0.3">
      <c r="A4" s="2">
        <v>45541</v>
      </c>
      <c r="B4" t="s">
        <v>83</v>
      </c>
      <c r="D4">
        <v>8.69</v>
      </c>
      <c r="E4" t="s">
        <v>8</v>
      </c>
      <c r="F4" t="s">
        <v>28</v>
      </c>
      <c r="G4" s="3" t="str">
        <f t="shared" si="0"/>
        <v>Sep-2024</v>
      </c>
      <c r="I4" t="s">
        <v>69</v>
      </c>
      <c r="J4">
        <f>SUMIFS($D:$D,$G:$G,"Nov-2024",$F:$F,"Rent")</f>
        <v>1230.02</v>
      </c>
      <c r="K4">
        <f>SUMIFS($D:$D,$G:$G,"Nov-2024",$F:$F,"Grocery")</f>
        <v>95.43</v>
      </c>
      <c r="L4">
        <f>SUMIFS($D:$D,$G:$G,"Nov-2024",$F:$F,"Food")</f>
        <v>20.420000000000002</v>
      </c>
      <c r="M4">
        <f>SUMIFS($D:$D,$G:$G,"Nov-2024",$F:$F,"Tution Fees")</f>
        <v>0</v>
      </c>
      <c r="N4">
        <f>SUMIFS($D:$D,$G:$G,"Nov-2024",$F:$F,"Shopping")</f>
        <v>49.25</v>
      </c>
      <c r="O4">
        <f>SUMIFS($D:$D,$G:$G,"Nov-2024",$F:$F,"Utilities")</f>
        <v>0</v>
      </c>
      <c r="P4">
        <f>SUMIFS($D:$D,$G:$G,"Nov-2024",$F:$F,"Splitwise balance")</f>
        <v>256.95999999999998</v>
      </c>
      <c r="Q4">
        <f>SUMIFS($D:$D,$G:$G,"Nov-2024",$F:$F,"Other")</f>
        <v>0</v>
      </c>
      <c r="R4">
        <f>SUMIFS($D:$D,$G:$G,"Nov-2024",$F:$F,"Credit card Payments")</f>
        <v>1471.51</v>
      </c>
      <c r="S4">
        <f>SUMIFS($C:$C,$G:$G,"Nov-2024",$F:$F,"Government rebate")</f>
        <v>72.83</v>
      </c>
      <c r="T4">
        <f>SUMIFS($C:$C,$G:$G,"Nov-2024",$F:$F,"Salary")</f>
        <v>3728.5400000000004</v>
      </c>
      <c r="U4">
        <v>445.21</v>
      </c>
      <c r="V4">
        <f t="shared" si="1"/>
        <v>4246.58</v>
      </c>
      <c r="W4">
        <f t="shared" si="2"/>
        <v>1652.0800000000002</v>
      </c>
      <c r="X4">
        <v>1700</v>
      </c>
      <c r="Y4">
        <f>SUMIFS($D:$D,$G:$G,"Nov-2024",$F:$F,"Investment")</f>
        <v>200</v>
      </c>
      <c r="Z4">
        <f>SUMIFS($D:$D,$G:$G,"Nov-2024",$E:$E,"Transfer",$F:$F,"Savings")</f>
        <v>550</v>
      </c>
      <c r="AA4" s="6">
        <f t="shared" si="3"/>
        <v>0.12951598698246589</v>
      </c>
    </row>
    <row r="5" spans="1:27" x14ac:dyDescent="0.3">
      <c r="A5" s="2">
        <v>45544</v>
      </c>
      <c r="B5" t="s">
        <v>84</v>
      </c>
      <c r="D5">
        <v>53</v>
      </c>
      <c r="E5" t="s">
        <v>18</v>
      </c>
      <c r="F5" t="s">
        <v>85</v>
      </c>
      <c r="G5" s="3" t="str">
        <f t="shared" si="0"/>
        <v>Sep-2024</v>
      </c>
      <c r="I5" t="s">
        <v>70</v>
      </c>
      <c r="J5">
        <f>SUMIFS($D:$D,$G:$G,"Dec-2024",$F:$F,"Rent")</f>
        <v>1230.02</v>
      </c>
      <c r="K5">
        <f>SUMIFS($D:$D,$G:$G,"Dec-2024",$F:$F,"Grocery")</f>
        <v>0</v>
      </c>
      <c r="L5">
        <f>SUMIFS($D:$D,$G:$G,"Dec-2024",$F:$F,"Food")</f>
        <v>15.65</v>
      </c>
      <c r="M5">
        <f>SUMIFS($D:$D,$G:$G,"Dec-2024",$F:$F,"Tution Fees")</f>
        <v>0</v>
      </c>
      <c r="N5">
        <f>SUMIFS($D:$D,$G:$G,"Dec-2024",$F:$F,"Shopping")</f>
        <v>44.28</v>
      </c>
      <c r="O5">
        <f>SUMIFS($D:$D,$G:$G,"Dec-2024",$F:$F,"Utilities")</f>
        <v>166.27</v>
      </c>
      <c r="P5">
        <f>SUMIFS($D:$D,$G:$G,"Dec-2024",$F:$F,"Splitwise balance")</f>
        <v>107.38</v>
      </c>
      <c r="Q5">
        <f>SUMIFS($D:$D,$G:$G,"Dec-2024",$F:$F,"Other")</f>
        <v>16.95</v>
      </c>
      <c r="R5">
        <f>SUMIFS($D:$D,$G:$G,"Dec-2024",$F:$F,"Credit card Payments")</f>
        <v>424</v>
      </c>
      <c r="S5">
        <f>SUMIFS($C:$C,$G:$G,"Dec-2024",$F:$F,"Government rebate")</f>
        <v>72.83</v>
      </c>
      <c r="T5">
        <f>SUMIFS($C:$C,$G:$G,"Dec-2024",$F:$F,"Salary")</f>
        <v>2430.3599999999997</v>
      </c>
      <c r="U5">
        <v>375.23</v>
      </c>
      <c r="V5">
        <f t="shared" si="1"/>
        <v>2878.4199999999996</v>
      </c>
      <c r="W5">
        <f t="shared" si="2"/>
        <v>1580.55</v>
      </c>
      <c r="X5">
        <v>1700</v>
      </c>
      <c r="Y5">
        <f>SUMIFS($D:$D,$G:$G,"Dec-2024",$F:$F,"Investment")</f>
        <v>2000</v>
      </c>
      <c r="Z5">
        <f>SUMIFS($D:$D,$G:$G,"Dec-2024",$E:$E,"Transfer",$F:$F,"Savings")</f>
        <v>445</v>
      </c>
      <c r="AA5" s="6">
        <f t="shared" si="3"/>
        <v>0.15459870345536789</v>
      </c>
    </row>
    <row r="6" spans="1:27" x14ac:dyDescent="0.3">
      <c r="A6" s="2">
        <v>45544</v>
      </c>
      <c r="B6" t="s">
        <v>86</v>
      </c>
      <c r="D6">
        <v>222.27</v>
      </c>
      <c r="E6" t="s">
        <v>8</v>
      </c>
      <c r="F6" t="s">
        <v>87</v>
      </c>
      <c r="G6" s="3" t="str">
        <f t="shared" si="0"/>
        <v>Sep-2024</v>
      </c>
      <c r="I6" t="s">
        <v>71</v>
      </c>
      <c r="J6">
        <f>SUMIFS($D:$D,$G:$G,"Jan-2025",$F:$F,"Rent")</f>
        <v>1230</v>
      </c>
      <c r="K6">
        <f>SUMIFS($D:$D,$G:$G,"Jan-2025",$F:$F,"Grocery")</f>
        <v>0</v>
      </c>
      <c r="L6">
        <f>SUMIFS($D:$D,$G:$G,"Jan-2025",$F:$F,"Food")</f>
        <v>92.29</v>
      </c>
      <c r="M6">
        <f>SUMIFS($D:$D,$G:$G,"Jan-2025",$F:$F,"Tution Fees")</f>
        <v>650</v>
      </c>
      <c r="N6">
        <f>SUMIFS($D:$D,$G:$G,"Jan-2025",$F:$F,"Shopping")</f>
        <v>0</v>
      </c>
      <c r="O6">
        <f>SUMIFS($D:$D,$G:$G,"Jan-2025",$F:$F,"Utilities")</f>
        <v>19.399999999999999</v>
      </c>
      <c r="P6">
        <f>SUMIFS($D:$D,$G:$G,"Jan-2025",$F:$F,"Splitwise balance")</f>
        <v>79.260000000000005</v>
      </c>
      <c r="Q6">
        <f>SUMIFS($D:$D,$G:$G,"Jan-2025",$F:$F,"Other")</f>
        <v>16.95</v>
      </c>
      <c r="R6">
        <f>SUMIFS($D:$D,$G:$G,"Jan-2025",$F:$F,"Credit card Payments")</f>
        <v>578.5</v>
      </c>
      <c r="S6">
        <f>SUMIFS($C:$C,$G:$G,"Jan-2025",$F:$F,"Government rebate")</f>
        <v>308.65999999999997</v>
      </c>
      <c r="T6">
        <f>SUMIFS($C:$C,$G:$G,"Jan-2025",$F:$F,"Salary")</f>
        <v>2602.67</v>
      </c>
      <c r="U6">
        <v>392.45</v>
      </c>
      <c r="V6">
        <f t="shared" si="1"/>
        <v>3303.7799999999997</v>
      </c>
      <c r="W6">
        <f t="shared" si="2"/>
        <v>2087.9</v>
      </c>
      <c r="X6">
        <v>1700</v>
      </c>
      <c r="Y6">
        <f>SUMIFS($D:$D,$G:$G,"Jan-2025",$F:$F,"Investment")</f>
        <v>0</v>
      </c>
      <c r="Z6">
        <f>SUMIFS($D:$D,$G:$G,"Jan-2025",$E:$E,"Transfer",$F:$F,"Savings")</f>
        <v>649</v>
      </c>
      <c r="AA6" s="6">
        <f t="shared" si="3"/>
        <v>0.19644165168382885</v>
      </c>
    </row>
    <row r="7" spans="1:27" x14ac:dyDescent="0.3">
      <c r="A7" s="2">
        <v>45544</v>
      </c>
      <c r="B7" t="s">
        <v>88</v>
      </c>
      <c r="D7">
        <v>339.34</v>
      </c>
      <c r="E7" t="s">
        <v>79</v>
      </c>
      <c r="F7" t="s">
        <v>89</v>
      </c>
      <c r="G7" s="3" t="str">
        <f t="shared" si="0"/>
        <v>Sep-2024</v>
      </c>
      <c r="I7" t="s">
        <v>72</v>
      </c>
      <c r="J7">
        <f>SUMIFS($D:$D,$G:$G,"Feb-2025",$F:$F,"Rent")</f>
        <v>1230</v>
      </c>
      <c r="K7">
        <f>SUMIFS($D:$D,$G:$G,"Feb-2025",$F:$F,"Grocery")</f>
        <v>0</v>
      </c>
      <c r="L7">
        <f>SUMIFS($D:$D,$G:$G,"Feb-2025",$F:$F,"Food")</f>
        <v>0</v>
      </c>
      <c r="M7">
        <f>SUMIFS($D:$D,$G:$G,"Feb-2025",$F:$F,"Tution Fees")</f>
        <v>0</v>
      </c>
      <c r="N7">
        <f>SUMIFS($D:$D,$G:$G,"Feb-2025",$F:$F,"Shopping")</f>
        <v>81.63</v>
      </c>
      <c r="O7">
        <f>SUMIFS($D:$D,$G:$G,"Feb-2025",$F:$F,"Utilities")</f>
        <v>19.399999999999999</v>
      </c>
      <c r="P7">
        <f>SUMIFS($D:$D,$G:$G,"Feb-2025",$F:$F,"Splitwise balance")</f>
        <v>0</v>
      </c>
      <c r="Q7">
        <f>SUMIFS($D:$D,$G:$G,"Feb-2025",$F:$F,"Other")</f>
        <v>159.65999999999997</v>
      </c>
      <c r="R7">
        <f>SUMIFS($D:$D,$G:$G,"Feb-2025",$F:$F,"Credit card Payments")</f>
        <v>1015</v>
      </c>
      <c r="S7">
        <f>SUMIFS($C:$C,$G:$G,"Feb-2025",$F:$F,"Government rebate")</f>
        <v>72.83</v>
      </c>
      <c r="T7">
        <f>SUMIFS($C:$C,$G:$G,"Feb-2025",$F:$F,"Salary")</f>
        <v>2517.9899999999998</v>
      </c>
      <c r="U7">
        <v>398.29</v>
      </c>
      <c r="V7">
        <f t="shared" si="1"/>
        <v>2989.1099999999997</v>
      </c>
      <c r="W7">
        <f t="shared" si="2"/>
        <v>1490.69</v>
      </c>
      <c r="X7">
        <v>1700</v>
      </c>
      <c r="Y7">
        <f>SUMIFS($D:$D,$G:$G,"Feb-2025",$F:$F,"Investment")</f>
        <v>0</v>
      </c>
      <c r="Z7">
        <f>SUMIFS($D:$D,$G:$G,"Feb-2025",$E:$E,"Transfer",$F:$F,"Savings")</f>
        <v>750</v>
      </c>
      <c r="AA7" s="6">
        <f t="shared" si="3"/>
        <v>0.25091080622660261</v>
      </c>
    </row>
    <row r="8" spans="1:27" x14ac:dyDescent="0.3">
      <c r="A8" s="2">
        <v>45545</v>
      </c>
      <c r="B8" t="s">
        <v>90</v>
      </c>
      <c r="C8">
        <v>72.83</v>
      </c>
      <c r="E8" t="s">
        <v>18</v>
      </c>
      <c r="F8" t="s">
        <v>91</v>
      </c>
      <c r="G8" s="3" t="str">
        <f t="shared" si="0"/>
        <v>Sep-2024</v>
      </c>
    </row>
    <row r="9" spans="1:27" x14ac:dyDescent="0.3">
      <c r="A9" s="2">
        <v>45548</v>
      </c>
      <c r="B9" t="s">
        <v>86</v>
      </c>
      <c r="D9">
        <v>40</v>
      </c>
      <c r="E9" t="s">
        <v>79</v>
      </c>
      <c r="F9" t="s">
        <v>87</v>
      </c>
      <c r="G9" s="3" t="str">
        <f t="shared" si="0"/>
        <v>Sep-2024</v>
      </c>
    </row>
    <row r="10" spans="1:27" x14ac:dyDescent="0.3">
      <c r="A10" s="2">
        <v>45551</v>
      </c>
      <c r="B10" t="s">
        <v>88</v>
      </c>
      <c r="D10">
        <v>132.83000000000001</v>
      </c>
      <c r="E10" t="s">
        <v>79</v>
      </c>
      <c r="F10" t="s">
        <v>89</v>
      </c>
      <c r="G10" s="3" t="str">
        <f t="shared" si="0"/>
        <v>Sep-2024</v>
      </c>
    </row>
    <row r="11" spans="1:27" x14ac:dyDescent="0.3">
      <c r="A11" s="2">
        <v>45555</v>
      </c>
      <c r="B11" t="s">
        <v>81</v>
      </c>
      <c r="C11">
        <v>1220.93</v>
      </c>
      <c r="E11" t="s">
        <v>18</v>
      </c>
      <c r="F11" t="s">
        <v>82</v>
      </c>
      <c r="G11" s="3" t="str">
        <f t="shared" si="0"/>
        <v>Sep-2024</v>
      </c>
    </row>
    <row r="12" spans="1:27" x14ac:dyDescent="0.3">
      <c r="A12" s="2">
        <v>45558</v>
      </c>
      <c r="B12" t="s">
        <v>92</v>
      </c>
      <c r="D12">
        <v>420</v>
      </c>
      <c r="E12" t="s">
        <v>93</v>
      </c>
      <c r="F12" t="s">
        <v>94</v>
      </c>
      <c r="G12" s="3" t="str">
        <f t="shared" si="0"/>
        <v>Sep-2024</v>
      </c>
    </row>
    <row r="13" spans="1:27" x14ac:dyDescent="0.3">
      <c r="A13" s="2">
        <v>45558</v>
      </c>
      <c r="B13" t="s">
        <v>88</v>
      </c>
      <c r="D13">
        <v>100.77</v>
      </c>
      <c r="E13" t="s">
        <v>79</v>
      </c>
      <c r="F13" t="s">
        <v>89</v>
      </c>
      <c r="G13" s="3" t="str">
        <f t="shared" si="0"/>
        <v>Sep-2024</v>
      </c>
    </row>
    <row r="14" spans="1:27" x14ac:dyDescent="0.3">
      <c r="A14" s="2">
        <v>45566</v>
      </c>
      <c r="B14" t="s">
        <v>78</v>
      </c>
      <c r="D14">
        <v>1230.2</v>
      </c>
      <c r="E14" t="s">
        <v>79</v>
      </c>
      <c r="F14" t="s">
        <v>80</v>
      </c>
      <c r="G14" s="3" t="str">
        <f t="shared" si="0"/>
        <v>Oct-2024</v>
      </c>
    </row>
    <row r="15" spans="1:27" x14ac:dyDescent="0.3">
      <c r="A15" s="2">
        <v>45569</v>
      </c>
      <c r="B15" t="s">
        <v>95</v>
      </c>
      <c r="C15">
        <v>95.83</v>
      </c>
      <c r="E15" t="s">
        <v>18</v>
      </c>
      <c r="F15" t="s">
        <v>91</v>
      </c>
      <c r="G15" s="3" t="str">
        <f t="shared" si="0"/>
        <v>Oct-2024</v>
      </c>
    </row>
    <row r="16" spans="1:27" x14ac:dyDescent="0.3">
      <c r="A16" s="2">
        <v>45569</v>
      </c>
      <c r="B16" t="s">
        <v>81</v>
      </c>
      <c r="C16">
        <v>1154.18</v>
      </c>
      <c r="E16" t="s">
        <v>18</v>
      </c>
      <c r="F16" t="s">
        <v>82</v>
      </c>
      <c r="G16" s="3" t="str">
        <f t="shared" si="0"/>
        <v>Oct-2024</v>
      </c>
    </row>
    <row r="17" spans="1:7" x14ac:dyDescent="0.3">
      <c r="A17" s="2">
        <v>45569</v>
      </c>
      <c r="B17" t="s">
        <v>96</v>
      </c>
      <c r="D17">
        <v>6.63</v>
      </c>
      <c r="E17" t="s">
        <v>8</v>
      </c>
      <c r="F17" t="s">
        <v>21</v>
      </c>
      <c r="G17" s="3" t="str">
        <f t="shared" si="0"/>
        <v>Oct-2024</v>
      </c>
    </row>
    <row r="18" spans="1:7" x14ac:dyDescent="0.3">
      <c r="A18" s="2">
        <v>45570</v>
      </c>
      <c r="B18" t="s">
        <v>92</v>
      </c>
      <c r="D18">
        <v>320</v>
      </c>
      <c r="E18" t="s">
        <v>93</v>
      </c>
      <c r="F18" t="s">
        <v>94</v>
      </c>
      <c r="G18" s="3" t="str">
        <f t="shared" si="0"/>
        <v>Oct-2024</v>
      </c>
    </row>
    <row r="19" spans="1:7" x14ac:dyDescent="0.3">
      <c r="A19" s="2">
        <v>45574</v>
      </c>
      <c r="B19" t="s">
        <v>97</v>
      </c>
      <c r="D19">
        <v>50.85</v>
      </c>
      <c r="E19" t="s">
        <v>8</v>
      </c>
      <c r="F19" t="s">
        <v>33</v>
      </c>
      <c r="G19" s="3" t="str">
        <f t="shared" si="0"/>
        <v>Oct-2024</v>
      </c>
    </row>
    <row r="20" spans="1:7" x14ac:dyDescent="0.3">
      <c r="A20" s="2">
        <v>45575</v>
      </c>
      <c r="B20" t="s">
        <v>90</v>
      </c>
      <c r="C20">
        <v>72.83</v>
      </c>
      <c r="E20" t="s">
        <v>18</v>
      </c>
      <c r="F20" t="s">
        <v>91</v>
      </c>
      <c r="G20" s="3" t="str">
        <f t="shared" si="0"/>
        <v>Oct-2024</v>
      </c>
    </row>
    <row r="21" spans="1:7" x14ac:dyDescent="0.3">
      <c r="A21" s="2">
        <v>45597</v>
      </c>
      <c r="B21" t="s">
        <v>92</v>
      </c>
      <c r="D21">
        <v>300</v>
      </c>
      <c r="E21" t="s">
        <v>93</v>
      </c>
      <c r="F21" t="s">
        <v>94</v>
      </c>
      <c r="G21" s="3" t="str">
        <f t="shared" si="0"/>
        <v>Nov-2024</v>
      </c>
    </row>
    <row r="22" spans="1:7" x14ac:dyDescent="0.3">
      <c r="A22" s="2">
        <v>45575</v>
      </c>
      <c r="B22" t="s">
        <v>88</v>
      </c>
      <c r="D22">
        <v>324</v>
      </c>
      <c r="E22" t="s">
        <v>79</v>
      </c>
      <c r="F22" t="s">
        <v>89</v>
      </c>
      <c r="G22" s="3" t="str">
        <f t="shared" si="0"/>
        <v>Oct-2024</v>
      </c>
    </row>
    <row r="23" spans="1:7" x14ac:dyDescent="0.3">
      <c r="A23" s="2">
        <v>45576</v>
      </c>
      <c r="B23" t="s">
        <v>98</v>
      </c>
      <c r="D23">
        <v>33</v>
      </c>
      <c r="E23" t="s">
        <v>8</v>
      </c>
      <c r="F23" t="s">
        <v>28</v>
      </c>
      <c r="G23" s="3" t="str">
        <f t="shared" si="0"/>
        <v>Oct-2024</v>
      </c>
    </row>
    <row r="24" spans="1:7" x14ac:dyDescent="0.3">
      <c r="A24" s="2">
        <v>45577</v>
      </c>
      <c r="B24" t="s">
        <v>99</v>
      </c>
      <c r="D24">
        <v>7.54</v>
      </c>
      <c r="E24" t="s">
        <v>8</v>
      </c>
      <c r="F24" t="s">
        <v>21</v>
      </c>
      <c r="G24" s="3" t="str">
        <f t="shared" si="0"/>
        <v>Oct-2024</v>
      </c>
    </row>
    <row r="25" spans="1:7" x14ac:dyDescent="0.3">
      <c r="A25" s="2">
        <v>45580</v>
      </c>
      <c r="B25" t="s">
        <v>100</v>
      </c>
      <c r="D25">
        <v>14.22</v>
      </c>
      <c r="E25" t="s">
        <v>8</v>
      </c>
      <c r="F25" t="s">
        <v>28</v>
      </c>
      <c r="G25" s="3" t="str">
        <f t="shared" si="0"/>
        <v>Oct-2024</v>
      </c>
    </row>
    <row r="26" spans="1:7" x14ac:dyDescent="0.3">
      <c r="A26" s="2">
        <v>45580</v>
      </c>
      <c r="B26" t="s">
        <v>101</v>
      </c>
      <c r="C26">
        <v>140</v>
      </c>
      <c r="E26" t="s">
        <v>18</v>
      </c>
      <c r="F26" t="s">
        <v>91</v>
      </c>
      <c r="G26" s="3" t="str">
        <f t="shared" si="0"/>
        <v>Oct-2024</v>
      </c>
    </row>
    <row r="27" spans="1:7" x14ac:dyDescent="0.3">
      <c r="A27" s="2">
        <v>45580</v>
      </c>
      <c r="B27" t="s">
        <v>88</v>
      </c>
      <c r="D27">
        <v>161</v>
      </c>
      <c r="E27" t="s">
        <v>79</v>
      </c>
      <c r="F27" t="s">
        <v>89</v>
      </c>
      <c r="G27" s="3" t="str">
        <f t="shared" si="0"/>
        <v>Oct-2024</v>
      </c>
    </row>
    <row r="28" spans="1:7" x14ac:dyDescent="0.3">
      <c r="A28" s="2">
        <v>45580</v>
      </c>
      <c r="B28" t="s">
        <v>88</v>
      </c>
      <c r="D28">
        <v>55.07</v>
      </c>
      <c r="E28" t="s">
        <v>79</v>
      </c>
      <c r="F28" t="s">
        <v>89</v>
      </c>
      <c r="G28" s="3" t="str">
        <f t="shared" si="0"/>
        <v>Oct-2024</v>
      </c>
    </row>
    <row r="29" spans="1:7" x14ac:dyDescent="0.3">
      <c r="A29" s="2">
        <v>45580</v>
      </c>
      <c r="B29" t="s">
        <v>102</v>
      </c>
      <c r="D29">
        <v>14.67</v>
      </c>
      <c r="E29" t="s">
        <v>8</v>
      </c>
      <c r="F29" t="s">
        <v>28</v>
      </c>
      <c r="G29" s="3" t="str">
        <f t="shared" si="0"/>
        <v>Oct-2024</v>
      </c>
    </row>
    <row r="30" spans="1:7" x14ac:dyDescent="0.3">
      <c r="A30" s="2">
        <v>45583</v>
      </c>
      <c r="B30" t="s">
        <v>81</v>
      </c>
      <c r="C30">
        <v>1271.72</v>
      </c>
      <c r="E30" t="s">
        <v>18</v>
      </c>
      <c r="F30" t="s">
        <v>82</v>
      </c>
      <c r="G30" s="3" t="str">
        <f t="shared" si="0"/>
        <v>Oct-2024</v>
      </c>
    </row>
    <row r="31" spans="1:7" x14ac:dyDescent="0.3">
      <c r="A31" s="2">
        <v>45586</v>
      </c>
      <c r="B31" t="s">
        <v>86</v>
      </c>
      <c r="D31">
        <v>107.2</v>
      </c>
      <c r="E31" t="s">
        <v>79</v>
      </c>
      <c r="F31" t="s">
        <v>87</v>
      </c>
      <c r="G31" s="3" t="str">
        <f t="shared" si="0"/>
        <v>Oct-2024</v>
      </c>
    </row>
    <row r="32" spans="1:7" x14ac:dyDescent="0.3">
      <c r="A32" s="2">
        <v>45586</v>
      </c>
      <c r="B32" t="s">
        <v>88</v>
      </c>
      <c r="D32">
        <v>116</v>
      </c>
      <c r="E32" t="s">
        <v>79</v>
      </c>
      <c r="F32" t="s">
        <v>89</v>
      </c>
      <c r="G32" s="3" t="str">
        <f t="shared" si="0"/>
        <v>Oct-2024</v>
      </c>
    </row>
    <row r="33" spans="1:7" x14ac:dyDescent="0.3">
      <c r="A33" s="2">
        <v>45588</v>
      </c>
      <c r="B33" t="s">
        <v>17</v>
      </c>
      <c r="C33">
        <v>1300</v>
      </c>
      <c r="E33" t="s">
        <v>17</v>
      </c>
      <c r="F33" t="s">
        <v>15</v>
      </c>
      <c r="G33" s="3" t="str">
        <f t="shared" si="0"/>
        <v>Oct-2024</v>
      </c>
    </row>
    <row r="34" spans="1:7" x14ac:dyDescent="0.3">
      <c r="A34" s="2">
        <v>45595</v>
      </c>
      <c r="B34" t="s">
        <v>88</v>
      </c>
      <c r="D34">
        <v>120</v>
      </c>
      <c r="E34" t="s">
        <v>79</v>
      </c>
      <c r="F34" t="s">
        <v>89</v>
      </c>
      <c r="G34" s="3" t="str">
        <f t="shared" si="0"/>
        <v>Oct-2024</v>
      </c>
    </row>
    <row r="35" spans="1:7" x14ac:dyDescent="0.3">
      <c r="A35" s="2">
        <v>45595</v>
      </c>
      <c r="B35" t="s">
        <v>103</v>
      </c>
      <c r="D35">
        <v>500</v>
      </c>
      <c r="E35" t="s">
        <v>79</v>
      </c>
      <c r="F35" t="s">
        <v>85</v>
      </c>
      <c r="G35" s="3" t="str">
        <f t="shared" si="0"/>
        <v>Oct-2024</v>
      </c>
    </row>
    <row r="36" spans="1:7" x14ac:dyDescent="0.3">
      <c r="A36" s="2">
        <v>45597</v>
      </c>
      <c r="B36" t="s">
        <v>81</v>
      </c>
      <c r="C36">
        <v>1235.1500000000001</v>
      </c>
      <c r="E36" t="s">
        <v>18</v>
      </c>
      <c r="F36" t="s">
        <v>82</v>
      </c>
      <c r="G36" s="3" t="str">
        <f t="shared" si="0"/>
        <v>Nov-2024</v>
      </c>
    </row>
    <row r="37" spans="1:7" x14ac:dyDescent="0.3">
      <c r="A37" s="2">
        <v>45597</v>
      </c>
      <c r="B37" t="s">
        <v>78</v>
      </c>
      <c r="D37">
        <v>1230.02</v>
      </c>
      <c r="E37" t="s">
        <v>79</v>
      </c>
      <c r="F37" t="s">
        <v>80</v>
      </c>
      <c r="G37" s="3" t="str">
        <f t="shared" si="0"/>
        <v>Nov-2024</v>
      </c>
    </row>
    <row r="38" spans="1:7" x14ac:dyDescent="0.3">
      <c r="A38" s="2">
        <v>45598</v>
      </c>
      <c r="B38" t="s">
        <v>104</v>
      </c>
      <c r="D38">
        <v>50.3</v>
      </c>
      <c r="E38" t="s">
        <v>8</v>
      </c>
      <c r="F38" t="s">
        <v>21</v>
      </c>
      <c r="G38" s="3" t="str">
        <f t="shared" si="0"/>
        <v>Nov-2024</v>
      </c>
    </row>
    <row r="39" spans="1:7" x14ac:dyDescent="0.3">
      <c r="A39" s="2">
        <v>45598</v>
      </c>
      <c r="B39" t="s">
        <v>92</v>
      </c>
      <c r="D39">
        <v>250</v>
      </c>
      <c r="E39" t="s">
        <v>93</v>
      </c>
      <c r="F39" t="s">
        <v>94</v>
      </c>
      <c r="G39" s="3" t="str">
        <f t="shared" si="0"/>
        <v>Nov-2024</v>
      </c>
    </row>
    <row r="40" spans="1:7" x14ac:dyDescent="0.3">
      <c r="A40" s="2">
        <v>45603</v>
      </c>
      <c r="B40" t="s">
        <v>88</v>
      </c>
      <c r="D40">
        <v>382.89</v>
      </c>
      <c r="E40" t="s">
        <v>79</v>
      </c>
      <c r="F40" t="s">
        <v>89</v>
      </c>
      <c r="G40" s="3" t="str">
        <f t="shared" si="0"/>
        <v>Nov-2024</v>
      </c>
    </row>
    <row r="41" spans="1:7" x14ac:dyDescent="0.3">
      <c r="A41" s="2">
        <v>45604</v>
      </c>
      <c r="B41" t="s">
        <v>90</v>
      </c>
      <c r="C41">
        <v>72.83</v>
      </c>
      <c r="E41" t="s">
        <v>18</v>
      </c>
      <c r="F41" t="s">
        <v>91</v>
      </c>
      <c r="G41" s="3" t="str">
        <f t="shared" si="0"/>
        <v>Nov-2024</v>
      </c>
    </row>
    <row r="42" spans="1:7" x14ac:dyDescent="0.3">
      <c r="A42" s="2">
        <v>45649</v>
      </c>
      <c r="B42" t="s">
        <v>92</v>
      </c>
      <c r="D42">
        <v>445</v>
      </c>
      <c r="E42" t="s">
        <v>93</v>
      </c>
      <c r="F42" t="s">
        <v>94</v>
      </c>
      <c r="G42" s="3" t="str">
        <f>TEXT(A42,"MMM-YYYY")</f>
        <v>Dec-2024</v>
      </c>
    </row>
    <row r="43" spans="1:7" x14ac:dyDescent="0.3">
      <c r="A43" s="2">
        <v>45608</v>
      </c>
      <c r="B43" t="s">
        <v>86</v>
      </c>
      <c r="D43">
        <v>165.47</v>
      </c>
      <c r="E43" t="s">
        <v>79</v>
      </c>
      <c r="F43" t="s">
        <v>87</v>
      </c>
      <c r="G43" s="3" t="str">
        <f t="shared" si="0"/>
        <v>Nov-2024</v>
      </c>
    </row>
    <row r="44" spans="1:7" x14ac:dyDescent="0.3">
      <c r="A44" s="2">
        <v>45608</v>
      </c>
      <c r="B44" t="s">
        <v>88</v>
      </c>
      <c r="D44">
        <v>500</v>
      </c>
      <c r="E44" t="s">
        <v>79</v>
      </c>
      <c r="F44" t="s">
        <v>89</v>
      </c>
      <c r="G44" s="3" t="str">
        <f t="shared" si="0"/>
        <v>Nov-2024</v>
      </c>
    </row>
    <row r="45" spans="1:7" x14ac:dyDescent="0.3">
      <c r="A45" s="2">
        <v>45609</v>
      </c>
      <c r="B45" t="s">
        <v>105</v>
      </c>
      <c r="D45">
        <v>49.25</v>
      </c>
      <c r="E45" t="s">
        <v>8</v>
      </c>
      <c r="F45" t="s">
        <v>33</v>
      </c>
      <c r="G45" s="3" t="str">
        <f t="shared" si="0"/>
        <v>Nov-2024</v>
      </c>
    </row>
    <row r="46" spans="1:7" x14ac:dyDescent="0.3">
      <c r="A46" s="2">
        <v>45611</v>
      </c>
      <c r="B46" t="s">
        <v>81</v>
      </c>
      <c r="C46">
        <v>1258.24</v>
      </c>
      <c r="E46" t="s">
        <v>18</v>
      </c>
      <c r="F46" t="s">
        <v>82</v>
      </c>
      <c r="G46" s="3" t="str">
        <f t="shared" si="0"/>
        <v>Nov-2024</v>
      </c>
    </row>
    <row r="47" spans="1:7" x14ac:dyDescent="0.3">
      <c r="A47" s="2">
        <v>45611</v>
      </c>
      <c r="B47" t="s">
        <v>106</v>
      </c>
      <c r="D47">
        <v>200</v>
      </c>
      <c r="E47" t="s">
        <v>93</v>
      </c>
      <c r="F47" t="s">
        <v>107</v>
      </c>
      <c r="G47" s="3" t="str">
        <f t="shared" si="0"/>
        <v>Nov-2024</v>
      </c>
    </row>
    <row r="48" spans="1:7" x14ac:dyDescent="0.3">
      <c r="A48" s="2">
        <v>45614</v>
      </c>
      <c r="B48" t="s">
        <v>86</v>
      </c>
      <c r="D48">
        <v>91.49</v>
      </c>
      <c r="E48" t="s">
        <v>79</v>
      </c>
      <c r="F48" t="s">
        <v>87</v>
      </c>
      <c r="G48" s="3" t="str">
        <f t="shared" si="0"/>
        <v>Nov-2024</v>
      </c>
    </row>
    <row r="49" spans="1:7" x14ac:dyDescent="0.3">
      <c r="A49" s="2">
        <v>45614</v>
      </c>
      <c r="B49" t="s">
        <v>88</v>
      </c>
      <c r="D49">
        <v>175.9</v>
      </c>
      <c r="E49" t="s">
        <v>79</v>
      </c>
      <c r="F49" t="s">
        <v>89</v>
      </c>
      <c r="G49" s="3" t="str">
        <f t="shared" si="0"/>
        <v>Nov-2024</v>
      </c>
    </row>
    <row r="50" spans="1:7" x14ac:dyDescent="0.3">
      <c r="A50" s="2">
        <v>45616</v>
      </c>
      <c r="B50" t="s">
        <v>100</v>
      </c>
      <c r="D50">
        <v>20.420000000000002</v>
      </c>
      <c r="E50" t="s">
        <v>8</v>
      </c>
      <c r="F50" t="s">
        <v>28</v>
      </c>
      <c r="G50" s="3" t="str">
        <f t="shared" si="0"/>
        <v>Nov-2024</v>
      </c>
    </row>
    <row r="51" spans="1:7" x14ac:dyDescent="0.3">
      <c r="A51" s="2">
        <v>45617</v>
      </c>
      <c r="B51" t="s">
        <v>88</v>
      </c>
      <c r="D51">
        <v>134</v>
      </c>
      <c r="E51" t="s">
        <v>79</v>
      </c>
      <c r="F51" t="s">
        <v>89</v>
      </c>
      <c r="G51" s="3" t="str">
        <f t="shared" si="0"/>
        <v>Nov-2024</v>
      </c>
    </row>
    <row r="52" spans="1:7" x14ac:dyDescent="0.3">
      <c r="A52" s="2">
        <v>45624</v>
      </c>
      <c r="B52" t="s">
        <v>88</v>
      </c>
      <c r="D52">
        <v>278.72000000000003</v>
      </c>
      <c r="E52" t="s">
        <v>79</v>
      </c>
      <c r="F52" t="s">
        <v>89</v>
      </c>
      <c r="G52" s="3" t="str">
        <f t="shared" si="0"/>
        <v>Nov-2024</v>
      </c>
    </row>
    <row r="53" spans="1:7" x14ac:dyDescent="0.3">
      <c r="A53" s="2">
        <v>45625</v>
      </c>
      <c r="B53" t="s">
        <v>81</v>
      </c>
      <c r="C53">
        <v>1235.1500000000001</v>
      </c>
      <c r="E53" t="s">
        <v>18</v>
      </c>
      <c r="F53" t="s">
        <v>82</v>
      </c>
      <c r="G53" s="3" t="str">
        <f t="shared" si="0"/>
        <v>Nov-2024</v>
      </c>
    </row>
    <row r="54" spans="1:7" x14ac:dyDescent="0.3">
      <c r="A54" s="2">
        <v>45626</v>
      </c>
      <c r="B54" t="s">
        <v>108</v>
      </c>
      <c r="D54">
        <v>45.13</v>
      </c>
      <c r="E54" t="s">
        <v>8</v>
      </c>
      <c r="F54" t="s">
        <v>21</v>
      </c>
      <c r="G54" s="3" t="str">
        <f t="shared" si="0"/>
        <v>Nov-2024</v>
      </c>
    </row>
    <row r="55" spans="1:7" x14ac:dyDescent="0.3">
      <c r="A55" s="2">
        <v>45627</v>
      </c>
      <c r="B55" t="s">
        <v>78</v>
      </c>
      <c r="D55">
        <v>1230.02</v>
      </c>
      <c r="E55" t="s">
        <v>79</v>
      </c>
      <c r="F55" t="s">
        <v>80</v>
      </c>
      <c r="G55" s="3" t="str">
        <f t="shared" si="0"/>
        <v>Dec-2024</v>
      </c>
    </row>
    <row r="56" spans="1:7" x14ac:dyDescent="0.3">
      <c r="A56" s="2">
        <v>45629</v>
      </c>
      <c r="B56" t="s">
        <v>88</v>
      </c>
      <c r="D56">
        <v>142</v>
      </c>
      <c r="E56" t="s">
        <v>79</v>
      </c>
      <c r="F56" t="s">
        <v>89</v>
      </c>
      <c r="G56" s="3" t="str">
        <f t="shared" si="0"/>
        <v>Dec-2024</v>
      </c>
    </row>
    <row r="57" spans="1:7" x14ac:dyDescent="0.3">
      <c r="A57" s="2">
        <v>45636</v>
      </c>
      <c r="B57" t="s">
        <v>90</v>
      </c>
      <c r="C57">
        <v>72.83</v>
      </c>
      <c r="E57" t="s">
        <v>18</v>
      </c>
      <c r="F57" t="s">
        <v>91</v>
      </c>
      <c r="G57" s="3" t="str">
        <f t="shared" si="0"/>
        <v>Dec-2024</v>
      </c>
    </row>
    <row r="58" spans="1:7" x14ac:dyDescent="0.3">
      <c r="A58" s="2">
        <v>45639</v>
      </c>
      <c r="B58" t="s">
        <v>81</v>
      </c>
      <c r="C58">
        <v>1153.5899999999999</v>
      </c>
      <c r="E58" t="s">
        <v>18</v>
      </c>
      <c r="F58" t="s">
        <v>82</v>
      </c>
      <c r="G58" s="3" t="str">
        <f t="shared" si="0"/>
        <v>Dec-2024</v>
      </c>
    </row>
    <row r="59" spans="1:7" x14ac:dyDescent="0.3">
      <c r="A59" s="2">
        <v>45640</v>
      </c>
      <c r="B59" t="s">
        <v>109</v>
      </c>
      <c r="D59">
        <v>15.65</v>
      </c>
      <c r="E59" t="s">
        <v>8</v>
      </c>
      <c r="F59" t="s">
        <v>28</v>
      </c>
      <c r="G59" s="3" t="str">
        <f t="shared" si="0"/>
        <v>Dec-2024</v>
      </c>
    </row>
    <row r="60" spans="1:7" x14ac:dyDescent="0.3">
      <c r="A60" s="2">
        <v>45640</v>
      </c>
      <c r="B60" t="s">
        <v>88</v>
      </c>
      <c r="D60">
        <v>282</v>
      </c>
      <c r="E60" t="s">
        <v>79</v>
      </c>
      <c r="F60" t="s">
        <v>89</v>
      </c>
      <c r="G60" s="3" t="str">
        <f t="shared" si="0"/>
        <v>Dec-2024</v>
      </c>
    </row>
    <row r="61" spans="1:7" x14ac:dyDescent="0.3">
      <c r="A61" s="2">
        <v>45643</v>
      </c>
      <c r="B61" t="s">
        <v>110</v>
      </c>
      <c r="D61">
        <v>16.95</v>
      </c>
      <c r="E61" t="s">
        <v>8</v>
      </c>
      <c r="F61" t="s">
        <v>15</v>
      </c>
      <c r="G61" s="3" t="str">
        <f t="shared" si="0"/>
        <v>Dec-2024</v>
      </c>
    </row>
    <row r="62" spans="1:7" x14ac:dyDescent="0.3">
      <c r="A62" s="2">
        <v>45644</v>
      </c>
      <c r="B62" t="s">
        <v>86</v>
      </c>
      <c r="D62">
        <v>107.38</v>
      </c>
      <c r="E62" t="s">
        <v>79</v>
      </c>
      <c r="F62" t="s">
        <v>87</v>
      </c>
      <c r="G62" s="3" t="str">
        <f t="shared" si="0"/>
        <v>Dec-2024</v>
      </c>
    </row>
    <row r="63" spans="1:7" x14ac:dyDescent="0.3">
      <c r="A63" s="2">
        <v>45650</v>
      </c>
      <c r="B63" t="s">
        <v>111</v>
      </c>
      <c r="D63">
        <v>166.27</v>
      </c>
      <c r="E63" t="s">
        <v>8</v>
      </c>
      <c r="F63" t="s">
        <v>9</v>
      </c>
      <c r="G63" s="3" t="str">
        <f t="shared" si="0"/>
        <v>Dec-2024</v>
      </c>
    </row>
    <row r="64" spans="1:7" x14ac:dyDescent="0.3">
      <c r="A64" s="2">
        <v>45653</v>
      </c>
      <c r="B64" t="s">
        <v>81</v>
      </c>
      <c r="C64">
        <v>1276.77</v>
      </c>
      <c r="E64" t="s">
        <v>18</v>
      </c>
      <c r="F64" t="s">
        <v>82</v>
      </c>
      <c r="G64" s="3" t="str">
        <f t="shared" si="0"/>
        <v>Dec-2024</v>
      </c>
    </row>
    <row r="65" spans="1:7" x14ac:dyDescent="0.3">
      <c r="A65" s="2">
        <v>45653</v>
      </c>
      <c r="B65" t="s">
        <v>112</v>
      </c>
      <c r="D65">
        <v>1500</v>
      </c>
      <c r="E65" t="s">
        <v>93</v>
      </c>
      <c r="F65" t="s">
        <v>107</v>
      </c>
      <c r="G65" s="3" t="str">
        <f t="shared" ref="G65:G98" si="4">TEXT(A65,"MMM-YYYY")</f>
        <v>Dec-2024</v>
      </c>
    </row>
    <row r="66" spans="1:7" x14ac:dyDescent="0.3">
      <c r="A66" s="2">
        <v>45654</v>
      </c>
      <c r="B66" t="s">
        <v>106</v>
      </c>
      <c r="D66">
        <v>500</v>
      </c>
      <c r="E66" t="s">
        <v>93</v>
      </c>
      <c r="F66" t="s">
        <v>107</v>
      </c>
      <c r="G66" s="3" t="str">
        <f t="shared" si="4"/>
        <v>Dec-2024</v>
      </c>
    </row>
    <row r="67" spans="1:7" x14ac:dyDescent="0.3">
      <c r="A67" s="2">
        <v>45656</v>
      </c>
      <c r="B67" t="s">
        <v>105</v>
      </c>
      <c r="D67">
        <v>44.28</v>
      </c>
      <c r="E67" t="s">
        <v>8</v>
      </c>
      <c r="F67" t="s">
        <v>33</v>
      </c>
      <c r="G67" s="3" t="str">
        <f t="shared" si="4"/>
        <v>Dec-2024</v>
      </c>
    </row>
    <row r="68" spans="1:7" x14ac:dyDescent="0.3">
      <c r="A68" s="2">
        <v>45659</v>
      </c>
      <c r="B68" t="s">
        <v>109</v>
      </c>
      <c r="D68">
        <v>17.05</v>
      </c>
      <c r="E68" t="s">
        <v>8</v>
      </c>
      <c r="F68" t="s">
        <v>28</v>
      </c>
      <c r="G68" s="3" t="str">
        <f t="shared" si="4"/>
        <v>Jan-2025</v>
      </c>
    </row>
    <row r="69" spans="1:7" x14ac:dyDescent="0.3">
      <c r="A69" s="2">
        <v>45659</v>
      </c>
      <c r="B69" t="s">
        <v>88</v>
      </c>
      <c r="D69">
        <v>450.54</v>
      </c>
      <c r="E69" t="s">
        <v>79</v>
      </c>
      <c r="F69" t="s">
        <v>89</v>
      </c>
      <c r="G69" s="3" t="str">
        <f t="shared" si="4"/>
        <v>Jan-2025</v>
      </c>
    </row>
    <row r="70" spans="1:7" x14ac:dyDescent="0.3">
      <c r="A70" s="2">
        <v>45659</v>
      </c>
      <c r="B70" t="s">
        <v>78</v>
      </c>
      <c r="D70">
        <v>1230</v>
      </c>
      <c r="E70" t="s">
        <v>79</v>
      </c>
      <c r="F70" t="s">
        <v>80</v>
      </c>
      <c r="G70" s="3" t="str">
        <f t="shared" si="4"/>
        <v>Jan-2025</v>
      </c>
    </row>
    <row r="71" spans="1:7" x14ac:dyDescent="0.3">
      <c r="A71" s="2">
        <v>45660</v>
      </c>
      <c r="B71" t="s">
        <v>95</v>
      </c>
      <c r="C71">
        <v>95.83</v>
      </c>
      <c r="E71" t="s">
        <v>18</v>
      </c>
      <c r="F71" t="s">
        <v>91</v>
      </c>
      <c r="G71" s="3" t="str">
        <f t="shared" si="4"/>
        <v>Jan-2025</v>
      </c>
    </row>
    <row r="72" spans="1:7" x14ac:dyDescent="0.3">
      <c r="A72" s="2">
        <v>45666</v>
      </c>
      <c r="B72" t="s">
        <v>88</v>
      </c>
      <c r="D72">
        <v>127.96</v>
      </c>
      <c r="E72" t="s">
        <v>79</v>
      </c>
      <c r="F72" t="s">
        <v>89</v>
      </c>
      <c r="G72" s="3" t="str">
        <f t="shared" si="4"/>
        <v>Jan-2025</v>
      </c>
    </row>
    <row r="73" spans="1:7" x14ac:dyDescent="0.3">
      <c r="A73" s="2">
        <v>45667</v>
      </c>
      <c r="B73" t="s">
        <v>90</v>
      </c>
      <c r="C73">
        <v>72.83</v>
      </c>
      <c r="E73" t="s">
        <v>18</v>
      </c>
      <c r="F73" t="s">
        <v>91</v>
      </c>
      <c r="G73" s="3" t="str">
        <f t="shared" si="4"/>
        <v>Jan-2025</v>
      </c>
    </row>
    <row r="74" spans="1:7" x14ac:dyDescent="0.3">
      <c r="A74" s="2">
        <v>45667</v>
      </c>
      <c r="B74" t="s">
        <v>81</v>
      </c>
      <c r="C74">
        <v>1350.64</v>
      </c>
      <c r="E74" t="s">
        <v>18</v>
      </c>
      <c r="F74" t="s">
        <v>82</v>
      </c>
      <c r="G74" s="3" t="str">
        <f t="shared" si="4"/>
        <v>Jan-2025</v>
      </c>
    </row>
    <row r="75" spans="1:7" x14ac:dyDescent="0.3">
      <c r="A75" s="2">
        <v>45672</v>
      </c>
      <c r="B75" t="s">
        <v>101</v>
      </c>
      <c r="C75">
        <v>140</v>
      </c>
      <c r="E75" t="s">
        <v>18</v>
      </c>
      <c r="F75" t="s">
        <v>91</v>
      </c>
      <c r="G75" s="3" t="str">
        <f t="shared" si="4"/>
        <v>Jan-2025</v>
      </c>
    </row>
    <row r="76" spans="1:7" x14ac:dyDescent="0.3">
      <c r="A76" s="2">
        <v>45674</v>
      </c>
      <c r="B76" t="s">
        <v>110</v>
      </c>
      <c r="D76">
        <v>16.95</v>
      </c>
      <c r="E76" t="s">
        <v>8</v>
      </c>
      <c r="F76" t="s">
        <v>15</v>
      </c>
      <c r="G76" s="3" t="str">
        <f t="shared" si="4"/>
        <v>Jan-2025</v>
      </c>
    </row>
    <row r="77" spans="1:7" x14ac:dyDescent="0.3">
      <c r="A77" s="2">
        <v>45669</v>
      </c>
      <c r="B77" t="s">
        <v>92</v>
      </c>
      <c r="D77">
        <v>500</v>
      </c>
      <c r="E77" t="s">
        <v>93</v>
      </c>
      <c r="F77" t="s">
        <v>94</v>
      </c>
      <c r="G77" s="3" t="str">
        <f t="shared" si="4"/>
        <v>Jan-2025</v>
      </c>
    </row>
    <row r="78" spans="1:7" x14ac:dyDescent="0.3">
      <c r="A78" s="2">
        <v>45679</v>
      </c>
      <c r="B78" t="s">
        <v>86</v>
      </c>
      <c r="D78">
        <v>79.260000000000005</v>
      </c>
      <c r="E78" t="s">
        <v>79</v>
      </c>
      <c r="F78" t="s">
        <v>87</v>
      </c>
      <c r="G78" s="3" t="str">
        <f t="shared" si="4"/>
        <v>Jan-2025</v>
      </c>
    </row>
    <row r="79" spans="1:7" x14ac:dyDescent="0.3">
      <c r="A79" s="2">
        <v>45681</v>
      </c>
      <c r="B79" t="s">
        <v>81</v>
      </c>
      <c r="C79">
        <v>1252.03</v>
      </c>
      <c r="E79" t="s">
        <v>18</v>
      </c>
      <c r="F79" t="s">
        <v>82</v>
      </c>
      <c r="G79" s="3" t="str">
        <f t="shared" si="4"/>
        <v>Jan-2025</v>
      </c>
    </row>
    <row r="80" spans="1:7" x14ac:dyDescent="0.3">
      <c r="A80" s="2">
        <v>45681</v>
      </c>
      <c r="B80" t="s">
        <v>113</v>
      </c>
      <c r="D80">
        <v>48.26</v>
      </c>
      <c r="E80" t="s">
        <v>8</v>
      </c>
      <c r="F80" t="s">
        <v>28</v>
      </c>
      <c r="G80" s="3" t="str">
        <f t="shared" si="4"/>
        <v>Jan-2025</v>
      </c>
    </row>
    <row r="81" spans="1:7" x14ac:dyDescent="0.3">
      <c r="A81" s="2">
        <v>45681</v>
      </c>
      <c r="B81" t="s">
        <v>114</v>
      </c>
      <c r="D81">
        <v>26.98</v>
      </c>
      <c r="E81" t="s">
        <v>8</v>
      </c>
      <c r="F81" t="s">
        <v>28</v>
      </c>
      <c r="G81" s="3" t="str">
        <f t="shared" si="4"/>
        <v>Jan-2025</v>
      </c>
    </row>
    <row r="82" spans="1:7" x14ac:dyDescent="0.3">
      <c r="A82" s="2">
        <v>45682</v>
      </c>
      <c r="B82" t="s">
        <v>7</v>
      </c>
      <c r="D82">
        <v>19.399999999999999</v>
      </c>
      <c r="E82" t="s">
        <v>8</v>
      </c>
      <c r="F82" t="s">
        <v>9</v>
      </c>
      <c r="G82" s="3" t="str">
        <f t="shared" si="4"/>
        <v>Jan-2025</v>
      </c>
    </row>
    <row r="83" spans="1:7" x14ac:dyDescent="0.3">
      <c r="A83" s="2">
        <v>45684</v>
      </c>
      <c r="B83" t="s">
        <v>103</v>
      </c>
      <c r="D83">
        <v>650</v>
      </c>
      <c r="E83" t="s">
        <v>79</v>
      </c>
      <c r="F83" t="s">
        <v>85</v>
      </c>
      <c r="G83" s="3" t="str">
        <f t="shared" si="4"/>
        <v>Jan-2025</v>
      </c>
    </row>
    <row r="84" spans="1:7" x14ac:dyDescent="0.3">
      <c r="A84" s="2">
        <v>45684</v>
      </c>
      <c r="B84" t="s">
        <v>92</v>
      </c>
      <c r="D84">
        <v>149</v>
      </c>
      <c r="E84" t="s">
        <v>93</v>
      </c>
      <c r="F84" t="s">
        <v>94</v>
      </c>
      <c r="G84" s="3" t="str">
        <f t="shared" si="4"/>
        <v>Jan-2025</v>
      </c>
    </row>
    <row r="85" spans="1:7" x14ac:dyDescent="0.3">
      <c r="A85" s="2">
        <v>45691</v>
      </c>
      <c r="B85" t="s">
        <v>78</v>
      </c>
      <c r="D85">
        <v>1230</v>
      </c>
      <c r="E85" t="s">
        <v>79</v>
      </c>
      <c r="F85" t="s">
        <v>80</v>
      </c>
      <c r="G85" s="3" t="str">
        <f t="shared" si="4"/>
        <v>Feb-2025</v>
      </c>
    </row>
    <row r="86" spans="1:7" x14ac:dyDescent="0.3">
      <c r="A86" s="2">
        <v>45695</v>
      </c>
      <c r="B86" t="s">
        <v>81</v>
      </c>
      <c r="C86">
        <v>1250.99</v>
      </c>
      <c r="E86" t="s">
        <v>18</v>
      </c>
      <c r="F86" t="s">
        <v>82</v>
      </c>
      <c r="G86" s="3" t="str">
        <f t="shared" si="4"/>
        <v>Feb-2025</v>
      </c>
    </row>
    <row r="87" spans="1:7" x14ac:dyDescent="0.3">
      <c r="A87" s="2">
        <v>45695</v>
      </c>
      <c r="B87" t="s">
        <v>115</v>
      </c>
      <c r="D87">
        <v>115.6</v>
      </c>
      <c r="E87" t="s">
        <v>79</v>
      </c>
      <c r="F87" t="s">
        <v>15</v>
      </c>
      <c r="G87" s="3" t="str">
        <f t="shared" si="4"/>
        <v>Feb-2025</v>
      </c>
    </row>
    <row r="88" spans="1:7" x14ac:dyDescent="0.3">
      <c r="A88" s="2">
        <v>45695</v>
      </c>
      <c r="B88" t="s">
        <v>88</v>
      </c>
      <c r="D88">
        <v>100</v>
      </c>
      <c r="E88" t="s">
        <v>79</v>
      </c>
      <c r="F88" t="s">
        <v>89</v>
      </c>
      <c r="G88" s="3" t="str">
        <f t="shared" si="4"/>
        <v>Feb-2025</v>
      </c>
    </row>
    <row r="89" spans="1:7" x14ac:dyDescent="0.3">
      <c r="A89" s="2">
        <v>45698</v>
      </c>
      <c r="B89" t="s">
        <v>90</v>
      </c>
      <c r="C89">
        <v>72.83</v>
      </c>
      <c r="E89" t="s">
        <v>18</v>
      </c>
      <c r="F89" t="s">
        <v>91</v>
      </c>
      <c r="G89" s="3" t="str">
        <f t="shared" si="4"/>
        <v>Feb-2025</v>
      </c>
    </row>
    <row r="90" spans="1:7" x14ac:dyDescent="0.3">
      <c r="A90" s="2">
        <v>45698</v>
      </c>
      <c r="B90" t="s">
        <v>88</v>
      </c>
      <c r="D90">
        <v>375</v>
      </c>
      <c r="E90" t="s">
        <v>79</v>
      </c>
      <c r="F90" t="s">
        <v>89</v>
      </c>
      <c r="G90" s="3" t="str">
        <f t="shared" si="4"/>
        <v>Feb-2025</v>
      </c>
    </row>
    <row r="91" spans="1:7" x14ac:dyDescent="0.3">
      <c r="A91" s="2">
        <v>45705</v>
      </c>
      <c r="B91" t="s">
        <v>110</v>
      </c>
      <c r="D91">
        <v>16.95</v>
      </c>
      <c r="E91" t="s">
        <v>8</v>
      </c>
      <c r="F91" t="s">
        <v>15</v>
      </c>
      <c r="G91" s="3" t="str">
        <f t="shared" si="4"/>
        <v>Feb-2025</v>
      </c>
    </row>
    <row r="92" spans="1:7" x14ac:dyDescent="0.3">
      <c r="A92" s="2">
        <v>45706</v>
      </c>
      <c r="B92" t="s">
        <v>88</v>
      </c>
      <c r="D92">
        <v>40</v>
      </c>
      <c r="E92" t="s">
        <v>79</v>
      </c>
      <c r="F92" t="s">
        <v>89</v>
      </c>
      <c r="G92" s="3" t="str">
        <f t="shared" si="4"/>
        <v>Feb-2025</v>
      </c>
    </row>
    <row r="93" spans="1:7" x14ac:dyDescent="0.3">
      <c r="A93" s="2">
        <v>45707</v>
      </c>
      <c r="B93" t="s">
        <v>92</v>
      </c>
      <c r="D93">
        <v>750</v>
      </c>
      <c r="E93" t="s">
        <v>93</v>
      </c>
      <c r="F93" t="s">
        <v>94</v>
      </c>
      <c r="G93" s="3" t="str">
        <f t="shared" si="4"/>
        <v>Feb-2025</v>
      </c>
    </row>
    <row r="94" spans="1:7" x14ac:dyDescent="0.3">
      <c r="A94" s="2">
        <v>45708</v>
      </c>
      <c r="B94" t="s">
        <v>105</v>
      </c>
      <c r="D94">
        <v>81.63</v>
      </c>
      <c r="E94" t="s">
        <v>8</v>
      </c>
      <c r="F94" t="s">
        <v>33</v>
      </c>
      <c r="G94" s="3" t="str">
        <f t="shared" si="4"/>
        <v>Feb-2025</v>
      </c>
    </row>
    <row r="95" spans="1:7" x14ac:dyDescent="0.3">
      <c r="A95" s="2">
        <v>45709</v>
      </c>
      <c r="B95" t="s">
        <v>81</v>
      </c>
      <c r="C95">
        <v>1267</v>
      </c>
      <c r="E95" t="s">
        <v>18</v>
      </c>
      <c r="F95" t="s">
        <v>82</v>
      </c>
      <c r="G95" s="3" t="str">
        <f t="shared" si="4"/>
        <v>Feb-2025</v>
      </c>
    </row>
    <row r="96" spans="1:7" x14ac:dyDescent="0.3">
      <c r="A96" s="2">
        <v>45709</v>
      </c>
      <c r="B96" t="s">
        <v>116</v>
      </c>
      <c r="D96">
        <v>27.11</v>
      </c>
      <c r="E96" t="s">
        <v>8</v>
      </c>
      <c r="F96" t="s">
        <v>15</v>
      </c>
      <c r="G96" s="3" t="str">
        <f t="shared" si="4"/>
        <v>Feb-2025</v>
      </c>
    </row>
    <row r="97" spans="1:7" x14ac:dyDescent="0.3">
      <c r="A97" s="2">
        <v>45712</v>
      </c>
      <c r="B97" t="s">
        <v>88</v>
      </c>
      <c r="D97">
        <v>500</v>
      </c>
      <c r="E97" t="s">
        <v>8</v>
      </c>
      <c r="F97" t="s">
        <v>89</v>
      </c>
      <c r="G97" s="3" t="str">
        <f t="shared" si="4"/>
        <v>Feb-2025</v>
      </c>
    </row>
    <row r="98" spans="1:7" x14ac:dyDescent="0.3">
      <c r="A98" s="2">
        <v>45713</v>
      </c>
      <c r="B98" t="s">
        <v>7</v>
      </c>
      <c r="D98">
        <v>19.399999999999999</v>
      </c>
      <c r="E98" t="s">
        <v>8</v>
      </c>
      <c r="F98" t="s">
        <v>9</v>
      </c>
      <c r="G98" s="3" t="str">
        <f t="shared" si="4"/>
        <v>Feb-2025</v>
      </c>
    </row>
  </sheetData>
  <autoFilter ref="A1:G98" xr:uid="{B7034B13-0B4A-4231-8A2F-BB4063408AB7}"/>
  <phoneticPr fontId="2" type="noConversion"/>
  <conditionalFormatting sqref="W2:W8">
    <cfRule type="cellIs" dxfId="0" priority="2" operator="greaterThan">
      <formula>1700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FAE2-5815-429E-9C02-D0B31E097ED1}">
  <dimension ref="A1:J141"/>
  <sheetViews>
    <sheetView workbookViewId="0">
      <selection activeCell="J3" sqref="J3:J7"/>
    </sheetView>
  </sheetViews>
  <sheetFormatPr defaultRowHeight="14.4" x14ac:dyDescent="0.3"/>
  <cols>
    <col min="1" max="1" width="10.33203125" bestFit="1" customWidth="1"/>
    <col min="5" max="5" width="12.88671875" bestFit="1" customWidth="1"/>
    <col min="6" max="6" width="14.5546875" bestFit="1" customWidth="1"/>
    <col min="9" max="9" width="18.109375" customWidth="1"/>
    <col min="10" max="10" width="17.44140625" bestFit="1" customWidth="1"/>
  </cols>
  <sheetData>
    <row r="1" spans="1:10" x14ac:dyDescent="0.3">
      <c r="A1" t="s">
        <v>0</v>
      </c>
      <c r="B1" t="s">
        <v>124</v>
      </c>
      <c r="C1" t="s">
        <v>5</v>
      </c>
      <c r="D1" t="s">
        <v>125</v>
      </c>
      <c r="E1" t="s">
        <v>126</v>
      </c>
      <c r="F1" t="s">
        <v>4</v>
      </c>
      <c r="G1" t="s">
        <v>77</v>
      </c>
      <c r="I1" s="4" t="s">
        <v>66</v>
      </c>
      <c r="J1" s="4" t="s">
        <v>209</v>
      </c>
    </row>
    <row r="2" spans="1:10" x14ac:dyDescent="0.3">
      <c r="A2" s="2">
        <v>45536</v>
      </c>
      <c r="B2" t="s">
        <v>127</v>
      </c>
      <c r="C2" t="s">
        <v>128</v>
      </c>
      <c r="D2">
        <v>23.48</v>
      </c>
      <c r="E2">
        <v>-7.82</v>
      </c>
      <c r="F2" t="s">
        <v>129</v>
      </c>
      <c r="G2" s="5">
        <v>45536</v>
      </c>
      <c r="I2" t="s">
        <v>67</v>
      </c>
      <c r="J2">
        <f>SUMIFS($E:$E,$G:$G,"Sep-2024",$F:$F,"Reimbursement")</f>
        <v>-500.76</v>
      </c>
    </row>
    <row r="3" spans="1:10" x14ac:dyDescent="0.3">
      <c r="A3" s="2">
        <v>45536</v>
      </c>
      <c r="B3" t="s">
        <v>130</v>
      </c>
      <c r="C3" t="s">
        <v>128</v>
      </c>
      <c r="D3">
        <v>103.29</v>
      </c>
      <c r="E3">
        <v>103.29</v>
      </c>
      <c r="F3" t="s">
        <v>8</v>
      </c>
      <c r="G3" s="5">
        <v>45536</v>
      </c>
      <c r="I3" t="s">
        <v>68</v>
      </c>
      <c r="J3">
        <f>SUMIFS($E:$E,$G:$G,"Oct-2024",$F:$F,"Reimbursement")</f>
        <v>-380.78000000000003</v>
      </c>
    </row>
    <row r="4" spans="1:10" x14ac:dyDescent="0.3">
      <c r="A4" s="2">
        <v>45536</v>
      </c>
      <c r="B4" t="s">
        <v>130</v>
      </c>
      <c r="C4" t="s">
        <v>128</v>
      </c>
      <c r="D4">
        <v>103.29</v>
      </c>
      <c r="E4">
        <v>-103.29</v>
      </c>
      <c r="F4" t="s">
        <v>129</v>
      </c>
      <c r="G4" s="5">
        <v>45536</v>
      </c>
      <c r="I4" t="s">
        <v>69</v>
      </c>
      <c r="J4">
        <f>SUMIFS($E:$E,$G:$G,"Nov-2024",$F:$F,"Reimbursement")</f>
        <v>-445.20999999999992</v>
      </c>
    </row>
    <row r="5" spans="1:10" x14ac:dyDescent="0.3">
      <c r="A5" s="2">
        <v>45536</v>
      </c>
      <c r="B5" t="s">
        <v>131</v>
      </c>
      <c r="C5" t="s">
        <v>21</v>
      </c>
      <c r="D5">
        <v>11.11</v>
      </c>
      <c r="E5">
        <v>-3.7</v>
      </c>
      <c r="F5" t="s">
        <v>129</v>
      </c>
      <c r="G5" s="5">
        <v>45536</v>
      </c>
      <c r="I5" t="s">
        <v>70</v>
      </c>
      <c r="J5">
        <f>SUMIFS($E:$E,$G:$G,"Dec-2024",$F:$F,"Reimbursement")</f>
        <v>-375.22999999999996</v>
      </c>
    </row>
    <row r="6" spans="1:10" x14ac:dyDescent="0.3">
      <c r="A6" s="2">
        <v>45536</v>
      </c>
      <c r="B6" t="s">
        <v>21</v>
      </c>
      <c r="C6" t="s">
        <v>21</v>
      </c>
      <c r="D6">
        <v>20</v>
      </c>
      <c r="E6">
        <v>-6.67</v>
      </c>
      <c r="F6" t="s">
        <v>129</v>
      </c>
      <c r="G6" s="5">
        <v>45536</v>
      </c>
      <c r="I6" t="s">
        <v>71</v>
      </c>
      <c r="J6">
        <f>SUMIFS($E:$E,$G:$G,"Jan-2025",$F:$F,"Reimbursement")</f>
        <v>-392.45000000000005</v>
      </c>
    </row>
    <row r="7" spans="1:10" x14ac:dyDescent="0.3">
      <c r="A7" s="2">
        <v>45536</v>
      </c>
      <c r="B7" t="s">
        <v>132</v>
      </c>
      <c r="C7" t="s">
        <v>128</v>
      </c>
      <c r="D7">
        <v>18.78</v>
      </c>
      <c r="E7">
        <v>-9.39</v>
      </c>
      <c r="F7" t="s">
        <v>129</v>
      </c>
      <c r="G7" s="5">
        <v>45536</v>
      </c>
      <c r="I7" t="s">
        <v>72</v>
      </c>
      <c r="J7">
        <f>SUMIFS($E:$E,$G:$G,"Feb-2025",$F:$F,"Reimbursement")</f>
        <v>-398.28999999999996</v>
      </c>
    </row>
    <row r="8" spans="1:10" x14ac:dyDescent="0.3">
      <c r="A8" s="2">
        <v>45536</v>
      </c>
      <c r="B8" t="s">
        <v>133</v>
      </c>
      <c r="C8" t="s">
        <v>134</v>
      </c>
      <c r="D8">
        <v>90.42</v>
      </c>
      <c r="E8">
        <v>90.42</v>
      </c>
      <c r="F8" t="s">
        <v>8</v>
      </c>
      <c r="G8" s="5">
        <v>45536</v>
      </c>
    </row>
    <row r="9" spans="1:10" x14ac:dyDescent="0.3">
      <c r="A9" s="2">
        <v>45538</v>
      </c>
      <c r="B9" t="s">
        <v>135</v>
      </c>
      <c r="C9" t="s">
        <v>28</v>
      </c>
      <c r="D9">
        <v>42.31</v>
      </c>
      <c r="E9">
        <v>28.2</v>
      </c>
      <c r="F9" t="s">
        <v>8</v>
      </c>
      <c r="G9" s="5">
        <v>45536</v>
      </c>
    </row>
    <row r="10" spans="1:10" x14ac:dyDescent="0.3">
      <c r="A10" s="2">
        <v>45543</v>
      </c>
      <c r="B10" t="s">
        <v>136</v>
      </c>
      <c r="C10" t="s">
        <v>21</v>
      </c>
      <c r="D10">
        <v>91.93</v>
      </c>
      <c r="E10">
        <v>-30.64</v>
      </c>
      <c r="F10" t="s">
        <v>129</v>
      </c>
      <c r="G10" s="5">
        <v>45536</v>
      </c>
    </row>
    <row r="11" spans="1:10" x14ac:dyDescent="0.3">
      <c r="A11" s="2">
        <v>45543</v>
      </c>
      <c r="B11" t="s">
        <v>137</v>
      </c>
      <c r="C11" t="s">
        <v>128</v>
      </c>
      <c r="D11">
        <v>4.5599999999999996</v>
      </c>
      <c r="E11">
        <v>-1.52</v>
      </c>
      <c r="F11" t="s">
        <v>129</v>
      </c>
      <c r="G11" s="5">
        <v>45536</v>
      </c>
    </row>
    <row r="12" spans="1:10" x14ac:dyDescent="0.3">
      <c r="A12" s="2">
        <v>45544</v>
      </c>
      <c r="B12" t="s">
        <v>130</v>
      </c>
      <c r="C12" t="s">
        <v>134</v>
      </c>
      <c r="D12">
        <v>215.46</v>
      </c>
      <c r="E12">
        <v>215.46</v>
      </c>
      <c r="F12" t="s">
        <v>8</v>
      </c>
      <c r="G12" s="5">
        <v>45536</v>
      </c>
    </row>
    <row r="13" spans="1:10" x14ac:dyDescent="0.3">
      <c r="A13" s="2">
        <v>45544</v>
      </c>
      <c r="B13" t="s">
        <v>130</v>
      </c>
      <c r="C13" t="s">
        <v>134</v>
      </c>
      <c r="D13">
        <v>215.46</v>
      </c>
      <c r="E13">
        <v>-215.46</v>
      </c>
      <c r="F13" t="s">
        <v>129</v>
      </c>
      <c r="G13" s="5">
        <v>45536</v>
      </c>
    </row>
    <row r="14" spans="1:10" x14ac:dyDescent="0.3">
      <c r="A14" s="2">
        <v>45544</v>
      </c>
      <c r="B14" t="s">
        <v>138</v>
      </c>
      <c r="C14" t="s">
        <v>134</v>
      </c>
      <c r="D14">
        <v>222.27</v>
      </c>
      <c r="E14">
        <v>222.27</v>
      </c>
      <c r="F14" t="s">
        <v>8</v>
      </c>
      <c r="G14" s="5">
        <v>45536</v>
      </c>
    </row>
    <row r="15" spans="1:10" x14ac:dyDescent="0.3">
      <c r="A15" s="2">
        <v>45546</v>
      </c>
      <c r="B15" t="s">
        <v>21</v>
      </c>
      <c r="C15" t="s">
        <v>21</v>
      </c>
      <c r="D15">
        <v>41.75</v>
      </c>
      <c r="E15">
        <v>-13.92</v>
      </c>
      <c r="F15" t="s">
        <v>129</v>
      </c>
      <c r="G15" s="5">
        <v>45536</v>
      </c>
    </row>
    <row r="16" spans="1:10" x14ac:dyDescent="0.3">
      <c r="A16" s="2">
        <v>45552</v>
      </c>
      <c r="B16" t="s">
        <v>139</v>
      </c>
      <c r="C16" t="s">
        <v>21</v>
      </c>
      <c r="D16">
        <v>15.07</v>
      </c>
      <c r="E16">
        <v>15.07</v>
      </c>
      <c r="F16" t="s">
        <v>8</v>
      </c>
      <c r="G16" s="5">
        <v>45536</v>
      </c>
    </row>
    <row r="17" spans="1:7" x14ac:dyDescent="0.3">
      <c r="A17" s="2">
        <v>45554</v>
      </c>
      <c r="B17" t="s">
        <v>51</v>
      </c>
      <c r="C17" t="s">
        <v>9</v>
      </c>
      <c r="D17">
        <v>30</v>
      </c>
      <c r="E17">
        <v>20</v>
      </c>
      <c r="F17" t="s">
        <v>8</v>
      </c>
      <c r="G17" s="5">
        <v>45536</v>
      </c>
    </row>
    <row r="18" spans="1:7" x14ac:dyDescent="0.3">
      <c r="A18" s="2">
        <v>45554</v>
      </c>
      <c r="B18" t="s">
        <v>140</v>
      </c>
      <c r="C18" t="s">
        <v>9</v>
      </c>
      <c r="D18">
        <v>61.01</v>
      </c>
      <c r="E18">
        <v>-20.34</v>
      </c>
      <c r="F18" t="s">
        <v>129</v>
      </c>
      <c r="G18" s="5">
        <v>45536</v>
      </c>
    </row>
    <row r="19" spans="1:7" x14ac:dyDescent="0.3">
      <c r="A19" s="2">
        <v>45557</v>
      </c>
      <c r="B19" t="s">
        <v>141</v>
      </c>
      <c r="C19" t="s">
        <v>28</v>
      </c>
      <c r="D19">
        <v>71.599999999999994</v>
      </c>
      <c r="E19">
        <v>-17.899999999999999</v>
      </c>
      <c r="F19" t="s">
        <v>129</v>
      </c>
      <c r="G19" s="5">
        <v>45536</v>
      </c>
    </row>
    <row r="20" spans="1:7" x14ac:dyDescent="0.3">
      <c r="A20" s="2">
        <v>45557</v>
      </c>
      <c r="B20" t="s">
        <v>21</v>
      </c>
      <c r="C20" t="s">
        <v>21</v>
      </c>
      <c r="D20">
        <v>62.06</v>
      </c>
      <c r="E20">
        <v>-15.52</v>
      </c>
      <c r="F20" t="s">
        <v>129</v>
      </c>
      <c r="G20" s="5">
        <v>45536</v>
      </c>
    </row>
    <row r="21" spans="1:7" x14ac:dyDescent="0.3">
      <c r="A21" s="2">
        <v>45563</v>
      </c>
      <c r="B21" t="s">
        <v>127</v>
      </c>
      <c r="C21" t="s">
        <v>128</v>
      </c>
      <c r="D21">
        <v>55.65</v>
      </c>
      <c r="E21">
        <v>-18.55</v>
      </c>
      <c r="F21" t="s">
        <v>129</v>
      </c>
      <c r="G21" s="5">
        <v>45536</v>
      </c>
    </row>
    <row r="22" spans="1:7" x14ac:dyDescent="0.3">
      <c r="A22" s="2">
        <v>45563</v>
      </c>
      <c r="B22" t="s">
        <v>21</v>
      </c>
      <c r="C22" t="s">
        <v>21</v>
      </c>
      <c r="D22">
        <v>144.13999999999999</v>
      </c>
      <c r="E22">
        <v>-36.04</v>
      </c>
      <c r="F22" t="s">
        <v>129</v>
      </c>
      <c r="G22" s="5">
        <v>45536</v>
      </c>
    </row>
    <row r="23" spans="1:7" x14ac:dyDescent="0.3">
      <c r="A23" s="2">
        <v>45563</v>
      </c>
      <c r="B23" t="s">
        <v>142</v>
      </c>
      <c r="C23" t="s">
        <v>28</v>
      </c>
      <c r="D23">
        <v>27.09</v>
      </c>
      <c r="E23">
        <v>13.54</v>
      </c>
      <c r="F23" t="s">
        <v>8</v>
      </c>
      <c r="G23" s="5">
        <v>45536</v>
      </c>
    </row>
    <row r="24" spans="1:7" x14ac:dyDescent="0.3">
      <c r="A24" s="2">
        <v>45567</v>
      </c>
      <c r="B24" t="s">
        <v>143</v>
      </c>
      <c r="C24" t="s">
        <v>9</v>
      </c>
      <c r="D24">
        <v>241.48</v>
      </c>
      <c r="E24">
        <v>-80.489999999999995</v>
      </c>
      <c r="F24" t="s">
        <v>129</v>
      </c>
      <c r="G24" s="5">
        <v>45566</v>
      </c>
    </row>
    <row r="25" spans="1:7" x14ac:dyDescent="0.3">
      <c r="A25" s="2">
        <v>45570</v>
      </c>
      <c r="B25" t="s">
        <v>144</v>
      </c>
      <c r="C25" t="s">
        <v>21</v>
      </c>
      <c r="D25">
        <v>78.31</v>
      </c>
      <c r="E25">
        <v>52.21</v>
      </c>
      <c r="F25" t="s">
        <v>8</v>
      </c>
      <c r="G25" s="5">
        <v>45566</v>
      </c>
    </row>
    <row r="26" spans="1:7" x14ac:dyDescent="0.3">
      <c r="A26" s="2">
        <v>45570</v>
      </c>
      <c r="B26" t="s">
        <v>145</v>
      </c>
      <c r="C26" t="s">
        <v>21</v>
      </c>
      <c r="D26">
        <v>6.49</v>
      </c>
      <c r="E26">
        <v>6.49</v>
      </c>
      <c r="F26" t="s">
        <v>8</v>
      </c>
      <c r="G26" s="5">
        <v>45566</v>
      </c>
    </row>
    <row r="27" spans="1:7" x14ac:dyDescent="0.3">
      <c r="A27" s="2">
        <v>45574</v>
      </c>
      <c r="B27" t="s">
        <v>146</v>
      </c>
      <c r="C27" t="s">
        <v>11</v>
      </c>
      <c r="D27">
        <v>10.99</v>
      </c>
      <c r="E27">
        <v>-3.66</v>
      </c>
      <c r="F27" t="s">
        <v>129</v>
      </c>
      <c r="G27" s="5">
        <v>45566</v>
      </c>
    </row>
    <row r="28" spans="1:7" x14ac:dyDescent="0.3">
      <c r="A28" s="2">
        <v>45575</v>
      </c>
      <c r="B28" t="s">
        <v>146</v>
      </c>
      <c r="C28" t="s">
        <v>11</v>
      </c>
      <c r="D28">
        <v>7.65</v>
      </c>
      <c r="E28">
        <v>5.0999999999999996</v>
      </c>
      <c r="F28" t="s">
        <v>8</v>
      </c>
      <c r="G28" s="5">
        <v>45566</v>
      </c>
    </row>
    <row r="29" spans="1:7" x14ac:dyDescent="0.3">
      <c r="A29" s="2">
        <v>45578</v>
      </c>
      <c r="B29" t="s">
        <v>147</v>
      </c>
      <c r="C29" t="s">
        <v>21</v>
      </c>
      <c r="D29">
        <v>26</v>
      </c>
      <c r="E29">
        <v>17.329999999999998</v>
      </c>
      <c r="F29" t="s">
        <v>8</v>
      </c>
      <c r="G29" s="5">
        <v>45566</v>
      </c>
    </row>
    <row r="30" spans="1:7" x14ac:dyDescent="0.3">
      <c r="A30" s="2">
        <v>45578</v>
      </c>
      <c r="B30" t="s">
        <v>148</v>
      </c>
      <c r="C30" t="s">
        <v>28</v>
      </c>
      <c r="D30">
        <v>14.22</v>
      </c>
      <c r="E30">
        <v>14.22</v>
      </c>
      <c r="F30" t="s">
        <v>8</v>
      </c>
      <c r="G30" s="5">
        <v>45566</v>
      </c>
    </row>
    <row r="31" spans="1:7" x14ac:dyDescent="0.3">
      <c r="A31" s="2">
        <v>45578</v>
      </c>
      <c r="B31" t="s">
        <v>21</v>
      </c>
      <c r="C31" t="s">
        <v>21</v>
      </c>
      <c r="D31">
        <v>15.38</v>
      </c>
      <c r="E31">
        <v>-5.13</v>
      </c>
      <c r="F31" t="s">
        <v>129</v>
      </c>
      <c r="G31" s="5">
        <v>45566</v>
      </c>
    </row>
    <row r="32" spans="1:7" x14ac:dyDescent="0.3">
      <c r="A32" s="2">
        <v>45579</v>
      </c>
      <c r="B32" t="s">
        <v>21</v>
      </c>
      <c r="C32" t="s">
        <v>21</v>
      </c>
      <c r="D32">
        <v>23.35</v>
      </c>
      <c r="E32">
        <v>-7.78</v>
      </c>
      <c r="F32" t="s">
        <v>129</v>
      </c>
      <c r="G32" s="5">
        <v>45566</v>
      </c>
    </row>
    <row r="33" spans="1:7" x14ac:dyDescent="0.3">
      <c r="A33" s="2">
        <v>45579</v>
      </c>
      <c r="B33" t="s">
        <v>149</v>
      </c>
      <c r="C33" t="s">
        <v>21</v>
      </c>
      <c r="D33">
        <v>49.86</v>
      </c>
      <c r="E33">
        <v>-16.62</v>
      </c>
      <c r="F33" t="s">
        <v>129</v>
      </c>
      <c r="G33" s="5">
        <v>45566</v>
      </c>
    </row>
    <row r="34" spans="1:7" x14ac:dyDescent="0.3">
      <c r="A34" s="2">
        <v>45579</v>
      </c>
      <c r="B34" t="s">
        <v>146</v>
      </c>
      <c r="C34" t="s">
        <v>11</v>
      </c>
      <c r="D34">
        <v>26.67</v>
      </c>
      <c r="E34">
        <v>-8.89</v>
      </c>
      <c r="F34" t="s">
        <v>129</v>
      </c>
      <c r="G34" s="5">
        <v>45566</v>
      </c>
    </row>
    <row r="35" spans="1:7" x14ac:dyDescent="0.3">
      <c r="A35" s="2">
        <v>45579</v>
      </c>
      <c r="B35" t="s">
        <v>150</v>
      </c>
      <c r="C35" t="s">
        <v>11</v>
      </c>
      <c r="D35">
        <v>14.02</v>
      </c>
      <c r="E35">
        <v>-4.67</v>
      </c>
      <c r="F35" t="s">
        <v>129</v>
      </c>
      <c r="G35" s="5">
        <v>45566</v>
      </c>
    </row>
    <row r="36" spans="1:7" x14ac:dyDescent="0.3">
      <c r="A36" s="2">
        <v>45585</v>
      </c>
      <c r="B36" t="s">
        <v>130</v>
      </c>
      <c r="C36" t="s">
        <v>134</v>
      </c>
      <c r="D36">
        <v>135.81</v>
      </c>
      <c r="E36">
        <v>135.81</v>
      </c>
      <c r="F36" t="s">
        <v>8</v>
      </c>
      <c r="G36" s="5">
        <v>45566</v>
      </c>
    </row>
    <row r="37" spans="1:7" x14ac:dyDescent="0.3">
      <c r="A37" s="2">
        <v>45585</v>
      </c>
      <c r="B37" t="s">
        <v>130</v>
      </c>
      <c r="C37" t="s">
        <v>134</v>
      </c>
      <c r="D37">
        <v>135.81</v>
      </c>
      <c r="E37">
        <v>-135.81</v>
      </c>
      <c r="F37" t="s">
        <v>129</v>
      </c>
      <c r="G37" s="5">
        <v>45566</v>
      </c>
    </row>
    <row r="38" spans="1:7" x14ac:dyDescent="0.3">
      <c r="A38" s="2">
        <v>45585</v>
      </c>
      <c r="B38" t="s">
        <v>151</v>
      </c>
      <c r="C38" t="s">
        <v>21</v>
      </c>
      <c r="D38">
        <v>14.68</v>
      </c>
      <c r="E38">
        <v>-14.68</v>
      </c>
      <c r="F38" t="s">
        <v>129</v>
      </c>
      <c r="G38" s="5">
        <v>45566</v>
      </c>
    </row>
    <row r="39" spans="1:7" x14ac:dyDescent="0.3">
      <c r="A39" s="2">
        <v>45585</v>
      </c>
      <c r="B39" t="s">
        <v>133</v>
      </c>
      <c r="C39" t="s">
        <v>134</v>
      </c>
      <c r="D39">
        <v>107.2</v>
      </c>
      <c r="E39">
        <v>107.2</v>
      </c>
      <c r="F39" t="s">
        <v>8</v>
      </c>
      <c r="G39" s="5">
        <v>45566</v>
      </c>
    </row>
    <row r="40" spans="1:7" x14ac:dyDescent="0.3">
      <c r="A40" s="2">
        <v>45585</v>
      </c>
      <c r="B40" t="s">
        <v>51</v>
      </c>
      <c r="C40" t="s">
        <v>9</v>
      </c>
      <c r="D40">
        <v>30</v>
      </c>
      <c r="E40">
        <v>-10</v>
      </c>
      <c r="F40" t="s">
        <v>129</v>
      </c>
      <c r="G40" s="5">
        <v>45566</v>
      </c>
    </row>
    <row r="41" spans="1:7" x14ac:dyDescent="0.3">
      <c r="A41" s="2">
        <v>45585</v>
      </c>
      <c r="B41" t="s">
        <v>140</v>
      </c>
      <c r="C41" t="s">
        <v>9</v>
      </c>
      <c r="D41">
        <v>61.01</v>
      </c>
      <c r="E41">
        <v>-20.34</v>
      </c>
      <c r="F41" t="s">
        <v>129</v>
      </c>
      <c r="G41" s="5">
        <v>45566</v>
      </c>
    </row>
    <row r="42" spans="1:7" x14ac:dyDescent="0.3">
      <c r="A42" s="2">
        <v>45590</v>
      </c>
      <c r="B42" t="s">
        <v>152</v>
      </c>
      <c r="C42" t="s">
        <v>28</v>
      </c>
      <c r="D42">
        <v>13.97</v>
      </c>
      <c r="E42">
        <v>-4.66</v>
      </c>
      <c r="F42" t="s">
        <v>129</v>
      </c>
      <c r="G42" s="5">
        <v>45566</v>
      </c>
    </row>
    <row r="43" spans="1:7" x14ac:dyDescent="0.3">
      <c r="A43" s="2">
        <v>45590</v>
      </c>
      <c r="B43" t="s">
        <v>153</v>
      </c>
      <c r="C43" t="s">
        <v>28</v>
      </c>
      <c r="D43">
        <v>40.729999999999997</v>
      </c>
      <c r="E43">
        <v>27.16</v>
      </c>
      <c r="F43" t="s">
        <v>8</v>
      </c>
      <c r="G43" s="5">
        <v>45566</v>
      </c>
    </row>
    <row r="44" spans="1:7" x14ac:dyDescent="0.3">
      <c r="A44" s="2">
        <v>45593</v>
      </c>
      <c r="B44" t="s">
        <v>143</v>
      </c>
      <c r="C44" t="s">
        <v>9</v>
      </c>
      <c r="D44">
        <v>204.14</v>
      </c>
      <c r="E44">
        <v>-68.05</v>
      </c>
      <c r="F44" t="s">
        <v>129</v>
      </c>
      <c r="G44" s="5">
        <v>45566</v>
      </c>
    </row>
    <row r="45" spans="1:7" x14ac:dyDescent="0.3">
      <c r="A45" s="2">
        <v>45601</v>
      </c>
      <c r="B45" t="s">
        <v>21</v>
      </c>
      <c r="C45" t="s">
        <v>21</v>
      </c>
      <c r="D45">
        <v>123.54</v>
      </c>
      <c r="E45">
        <v>-41.18</v>
      </c>
      <c r="F45" t="s">
        <v>129</v>
      </c>
      <c r="G45" s="5">
        <v>45597</v>
      </c>
    </row>
    <row r="46" spans="1:7" x14ac:dyDescent="0.3">
      <c r="A46" s="2">
        <v>45601</v>
      </c>
      <c r="B46" t="s">
        <v>154</v>
      </c>
      <c r="C46" t="s">
        <v>21</v>
      </c>
      <c r="D46">
        <v>13.06</v>
      </c>
      <c r="E46">
        <v>-13.06</v>
      </c>
      <c r="F46" t="s">
        <v>129</v>
      </c>
      <c r="G46" s="5">
        <v>45597</v>
      </c>
    </row>
    <row r="47" spans="1:7" x14ac:dyDescent="0.3">
      <c r="A47" s="2">
        <v>45603</v>
      </c>
      <c r="B47" t="s">
        <v>21</v>
      </c>
      <c r="C47" t="s">
        <v>21</v>
      </c>
      <c r="D47">
        <v>15.37</v>
      </c>
      <c r="E47">
        <v>-5.12</v>
      </c>
      <c r="F47" t="s">
        <v>129</v>
      </c>
      <c r="G47" s="5">
        <v>45597</v>
      </c>
    </row>
    <row r="48" spans="1:7" x14ac:dyDescent="0.3">
      <c r="A48" s="2">
        <v>45605</v>
      </c>
      <c r="B48" t="s">
        <v>155</v>
      </c>
      <c r="C48" t="s">
        <v>128</v>
      </c>
      <c r="D48">
        <v>46.29</v>
      </c>
      <c r="E48">
        <v>46.29</v>
      </c>
      <c r="F48" t="s">
        <v>8</v>
      </c>
      <c r="G48" s="5">
        <v>45597</v>
      </c>
    </row>
    <row r="49" spans="1:7" x14ac:dyDescent="0.3">
      <c r="A49" s="2">
        <v>45606</v>
      </c>
      <c r="B49" t="s">
        <v>156</v>
      </c>
      <c r="C49" t="s">
        <v>21</v>
      </c>
      <c r="D49">
        <v>26.5</v>
      </c>
      <c r="E49">
        <v>-26.5</v>
      </c>
      <c r="F49" t="s">
        <v>129</v>
      </c>
      <c r="G49" s="5">
        <v>45597</v>
      </c>
    </row>
    <row r="50" spans="1:7" x14ac:dyDescent="0.3">
      <c r="A50" s="2">
        <v>45606</v>
      </c>
      <c r="B50" t="s">
        <v>157</v>
      </c>
      <c r="C50" t="s">
        <v>28</v>
      </c>
      <c r="D50">
        <v>15.75</v>
      </c>
      <c r="E50">
        <v>-5.25</v>
      </c>
      <c r="F50" t="s">
        <v>129</v>
      </c>
      <c r="G50" s="5">
        <v>45597</v>
      </c>
    </row>
    <row r="51" spans="1:7" x14ac:dyDescent="0.3">
      <c r="A51" s="2">
        <v>45606</v>
      </c>
      <c r="B51" t="s">
        <v>130</v>
      </c>
      <c r="C51" t="s">
        <v>134</v>
      </c>
      <c r="D51">
        <v>185.39</v>
      </c>
      <c r="E51">
        <v>0</v>
      </c>
      <c r="F51" t="s">
        <v>129</v>
      </c>
      <c r="G51" s="5">
        <v>45597</v>
      </c>
    </row>
    <row r="52" spans="1:7" x14ac:dyDescent="0.3">
      <c r="A52" s="2">
        <v>45606</v>
      </c>
      <c r="B52" t="s">
        <v>158</v>
      </c>
      <c r="C52" t="s">
        <v>28</v>
      </c>
      <c r="D52">
        <v>21.15</v>
      </c>
      <c r="E52">
        <v>21.15</v>
      </c>
      <c r="F52" t="s">
        <v>8</v>
      </c>
      <c r="G52" s="5">
        <v>45597</v>
      </c>
    </row>
    <row r="53" spans="1:7" x14ac:dyDescent="0.3">
      <c r="A53" s="2">
        <v>45606</v>
      </c>
      <c r="B53" t="s">
        <v>159</v>
      </c>
      <c r="C53" t="s">
        <v>28</v>
      </c>
      <c r="D53">
        <v>31.75</v>
      </c>
      <c r="E53">
        <v>31.75</v>
      </c>
      <c r="F53" t="s">
        <v>8</v>
      </c>
      <c r="G53" s="5">
        <v>45597</v>
      </c>
    </row>
    <row r="54" spans="1:7" x14ac:dyDescent="0.3">
      <c r="A54" s="2">
        <v>45607</v>
      </c>
      <c r="B54" t="s">
        <v>160</v>
      </c>
      <c r="C54" t="s">
        <v>21</v>
      </c>
      <c r="D54">
        <v>17.78</v>
      </c>
      <c r="E54">
        <v>-5.92</v>
      </c>
      <c r="F54" t="s">
        <v>129</v>
      </c>
      <c r="G54" s="5">
        <v>45597</v>
      </c>
    </row>
    <row r="55" spans="1:7" x14ac:dyDescent="0.3">
      <c r="A55" s="2">
        <v>45607</v>
      </c>
      <c r="B55" t="s">
        <v>130</v>
      </c>
      <c r="C55" t="s">
        <v>134</v>
      </c>
      <c r="D55">
        <v>91.84</v>
      </c>
      <c r="E55">
        <v>91.84</v>
      </c>
      <c r="F55" t="s">
        <v>8</v>
      </c>
      <c r="G55" s="5">
        <v>45597</v>
      </c>
    </row>
    <row r="56" spans="1:7" x14ac:dyDescent="0.3">
      <c r="A56" s="2">
        <v>45607</v>
      </c>
      <c r="B56" t="s">
        <v>130</v>
      </c>
      <c r="C56" t="s">
        <v>134</v>
      </c>
      <c r="D56">
        <v>78.430000000000007</v>
      </c>
      <c r="E56">
        <v>-78.430000000000007</v>
      </c>
      <c r="F56" t="s">
        <v>129</v>
      </c>
      <c r="G56" s="5">
        <v>45597</v>
      </c>
    </row>
    <row r="57" spans="1:7" x14ac:dyDescent="0.3">
      <c r="A57" s="2">
        <v>45607</v>
      </c>
      <c r="B57" t="s">
        <v>138</v>
      </c>
      <c r="C57" t="s">
        <v>134</v>
      </c>
      <c r="D57">
        <v>65.47</v>
      </c>
      <c r="E57">
        <v>65.47</v>
      </c>
      <c r="F57" t="s">
        <v>8</v>
      </c>
      <c r="G57" s="5">
        <v>45597</v>
      </c>
    </row>
    <row r="58" spans="1:7" x14ac:dyDescent="0.3">
      <c r="A58" s="2">
        <v>45608</v>
      </c>
      <c r="B58" t="s">
        <v>161</v>
      </c>
      <c r="C58" t="s">
        <v>21</v>
      </c>
      <c r="D58">
        <v>6</v>
      </c>
      <c r="E58">
        <v>-2</v>
      </c>
      <c r="F58" t="s">
        <v>129</v>
      </c>
      <c r="G58" s="5">
        <v>45597</v>
      </c>
    </row>
    <row r="59" spans="1:7" x14ac:dyDescent="0.3">
      <c r="A59" s="2">
        <v>45608</v>
      </c>
      <c r="B59" t="s">
        <v>51</v>
      </c>
      <c r="C59" t="s">
        <v>9</v>
      </c>
      <c r="D59">
        <v>30</v>
      </c>
      <c r="E59">
        <v>-10</v>
      </c>
      <c r="F59" t="s">
        <v>129</v>
      </c>
      <c r="G59" s="5">
        <v>45597</v>
      </c>
    </row>
    <row r="60" spans="1:7" x14ac:dyDescent="0.3">
      <c r="A60" s="2">
        <v>45609</v>
      </c>
      <c r="B60" t="s">
        <v>127</v>
      </c>
      <c r="C60" t="s">
        <v>128</v>
      </c>
      <c r="D60">
        <v>21.19</v>
      </c>
      <c r="E60">
        <v>-7.06</v>
      </c>
      <c r="F60" t="s">
        <v>129</v>
      </c>
      <c r="G60" s="5">
        <v>45597</v>
      </c>
    </row>
    <row r="61" spans="1:7" x14ac:dyDescent="0.3">
      <c r="A61" s="2">
        <v>45609</v>
      </c>
      <c r="B61" t="s">
        <v>127</v>
      </c>
      <c r="C61" t="s">
        <v>128</v>
      </c>
      <c r="D61">
        <v>16.39</v>
      </c>
      <c r="E61">
        <v>-5.46</v>
      </c>
      <c r="F61" t="s">
        <v>129</v>
      </c>
      <c r="G61" s="5">
        <v>45597</v>
      </c>
    </row>
    <row r="62" spans="1:7" x14ac:dyDescent="0.3">
      <c r="A62" s="2">
        <v>45609</v>
      </c>
      <c r="B62" t="s">
        <v>162</v>
      </c>
      <c r="C62" t="s">
        <v>21</v>
      </c>
      <c r="D62">
        <v>9.98</v>
      </c>
      <c r="E62">
        <v>-9.98</v>
      </c>
      <c r="F62" t="s">
        <v>129</v>
      </c>
      <c r="G62" s="5">
        <v>45597</v>
      </c>
    </row>
    <row r="63" spans="1:7" x14ac:dyDescent="0.3">
      <c r="A63" s="2">
        <v>45610</v>
      </c>
      <c r="B63" t="s">
        <v>21</v>
      </c>
      <c r="C63" t="s">
        <v>21</v>
      </c>
      <c r="D63">
        <v>80.540000000000006</v>
      </c>
      <c r="E63">
        <v>-26.85</v>
      </c>
      <c r="F63" t="s">
        <v>129</v>
      </c>
      <c r="G63" s="5">
        <v>45597</v>
      </c>
    </row>
    <row r="64" spans="1:7" x14ac:dyDescent="0.3">
      <c r="A64" s="2">
        <v>45611</v>
      </c>
      <c r="B64" t="s">
        <v>163</v>
      </c>
      <c r="C64" t="s">
        <v>128</v>
      </c>
      <c r="D64">
        <v>79</v>
      </c>
      <c r="E64">
        <v>-26.34</v>
      </c>
      <c r="F64" t="s">
        <v>129</v>
      </c>
      <c r="G64" s="5">
        <v>45597</v>
      </c>
    </row>
    <row r="65" spans="1:7" x14ac:dyDescent="0.3">
      <c r="A65" s="2">
        <v>45611</v>
      </c>
      <c r="B65" t="s">
        <v>164</v>
      </c>
      <c r="C65" t="s">
        <v>28</v>
      </c>
      <c r="D65">
        <v>18.52</v>
      </c>
      <c r="E65">
        <v>-9.26</v>
      </c>
      <c r="F65" t="s">
        <v>129</v>
      </c>
      <c r="G65" s="5">
        <v>45597</v>
      </c>
    </row>
    <row r="66" spans="1:7" x14ac:dyDescent="0.3">
      <c r="A66" s="2">
        <v>45611</v>
      </c>
      <c r="B66" t="s">
        <v>130</v>
      </c>
      <c r="C66" t="s">
        <v>134</v>
      </c>
      <c r="D66">
        <v>51.61</v>
      </c>
      <c r="E66">
        <v>0</v>
      </c>
      <c r="F66" t="s">
        <v>129</v>
      </c>
      <c r="G66" s="5">
        <v>45597</v>
      </c>
    </row>
    <row r="67" spans="1:7" x14ac:dyDescent="0.3">
      <c r="A67" s="2">
        <v>45614</v>
      </c>
      <c r="B67" t="s">
        <v>130</v>
      </c>
      <c r="C67" t="s">
        <v>134</v>
      </c>
      <c r="D67">
        <v>72.25</v>
      </c>
      <c r="E67">
        <v>72.25</v>
      </c>
      <c r="F67" t="s">
        <v>8</v>
      </c>
      <c r="G67" s="5">
        <v>45597</v>
      </c>
    </row>
    <row r="68" spans="1:7" x14ac:dyDescent="0.3">
      <c r="A68" s="2">
        <v>45614</v>
      </c>
      <c r="B68" t="s">
        <v>130</v>
      </c>
      <c r="C68" t="s">
        <v>134</v>
      </c>
      <c r="D68">
        <v>102.25</v>
      </c>
      <c r="E68">
        <v>-102.25</v>
      </c>
      <c r="F68" t="s">
        <v>129</v>
      </c>
      <c r="G68" s="5">
        <v>45597</v>
      </c>
    </row>
    <row r="69" spans="1:7" x14ac:dyDescent="0.3">
      <c r="A69" s="2">
        <v>45614</v>
      </c>
      <c r="B69" t="s">
        <v>138</v>
      </c>
      <c r="C69" t="s">
        <v>134</v>
      </c>
      <c r="D69">
        <v>91.49</v>
      </c>
      <c r="E69">
        <v>91.49</v>
      </c>
      <c r="F69" t="s">
        <v>8</v>
      </c>
      <c r="G69" s="5">
        <v>45597</v>
      </c>
    </row>
    <row r="70" spans="1:7" x14ac:dyDescent="0.3">
      <c r="A70" s="2">
        <v>45615</v>
      </c>
      <c r="B70" t="s">
        <v>130</v>
      </c>
      <c r="C70" t="s">
        <v>134</v>
      </c>
      <c r="D70">
        <v>26.33</v>
      </c>
      <c r="E70">
        <v>0</v>
      </c>
      <c r="F70" t="s">
        <v>129</v>
      </c>
      <c r="G70" s="5">
        <v>45597</v>
      </c>
    </row>
    <row r="71" spans="1:7" x14ac:dyDescent="0.3">
      <c r="A71" s="2">
        <v>45616</v>
      </c>
      <c r="B71" t="s">
        <v>165</v>
      </c>
      <c r="C71" t="s">
        <v>128</v>
      </c>
      <c r="D71">
        <v>10</v>
      </c>
      <c r="E71">
        <v>-3.34</v>
      </c>
      <c r="F71" t="s">
        <v>129</v>
      </c>
      <c r="G71" s="5">
        <v>45597</v>
      </c>
    </row>
    <row r="72" spans="1:7" x14ac:dyDescent="0.3">
      <c r="A72" s="2">
        <v>45618</v>
      </c>
      <c r="B72" t="s">
        <v>140</v>
      </c>
      <c r="C72" t="s">
        <v>9</v>
      </c>
      <c r="D72">
        <v>61</v>
      </c>
      <c r="E72">
        <v>-20.34</v>
      </c>
      <c r="F72" t="s">
        <v>129</v>
      </c>
      <c r="G72" s="5">
        <v>45597</v>
      </c>
    </row>
    <row r="73" spans="1:7" x14ac:dyDescent="0.3">
      <c r="A73" s="2">
        <v>45620</v>
      </c>
      <c r="B73" t="s">
        <v>166</v>
      </c>
      <c r="C73" t="s">
        <v>21</v>
      </c>
      <c r="D73">
        <v>13.18</v>
      </c>
      <c r="E73">
        <v>-4.4000000000000004</v>
      </c>
      <c r="F73" t="s">
        <v>129</v>
      </c>
      <c r="G73" s="5">
        <v>45597</v>
      </c>
    </row>
    <row r="74" spans="1:7" x14ac:dyDescent="0.3">
      <c r="A74" s="2">
        <v>45620</v>
      </c>
      <c r="B74" t="s">
        <v>167</v>
      </c>
      <c r="C74" t="s">
        <v>21</v>
      </c>
      <c r="D74">
        <v>17</v>
      </c>
      <c r="E74">
        <v>-5.66</v>
      </c>
      <c r="F74" t="s">
        <v>129</v>
      </c>
      <c r="G74" s="5">
        <v>45597</v>
      </c>
    </row>
    <row r="75" spans="1:7" x14ac:dyDescent="0.3">
      <c r="A75" s="2">
        <v>45621</v>
      </c>
      <c r="B75" t="s">
        <v>168</v>
      </c>
      <c r="C75" t="s">
        <v>21</v>
      </c>
      <c r="D75">
        <v>6.97</v>
      </c>
      <c r="E75">
        <v>-3.49</v>
      </c>
      <c r="F75" t="s">
        <v>129</v>
      </c>
      <c r="G75" s="5">
        <v>45597</v>
      </c>
    </row>
    <row r="76" spans="1:7" x14ac:dyDescent="0.3">
      <c r="A76" s="2">
        <v>45623</v>
      </c>
      <c r="B76" t="s">
        <v>169</v>
      </c>
      <c r="C76" t="s">
        <v>21</v>
      </c>
      <c r="D76">
        <v>5</v>
      </c>
      <c r="E76">
        <v>-2.5</v>
      </c>
      <c r="F76" t="s">
        <v>129</v>
      </c>
      <c r="G76" s="5">
        <v>45597</v>
      </c>
    </row>
    <row r="77" spans="1:7" x14ac:dyDescent="0.3">
      <c r="A77" s="2">
        <v>45625</v>
      </c>
      <c r="B77" t="s">
        <v>170</v>
      </c>
      <c r="C77" t="s">
        <v>128</v>
      </c>
      <c r="D77">
        <v>20</v>
      </c>
      <c r="E77">
        <v>20</v>
      </c>
      <c r="F77" t="s">
        <v>8</v>
      </c>
      <c r="G77" s="5">
        <v>45597</v>
      </c>
    </row>
    <row r="78" spans="1:7" x14ac:dyDescent="0.3">
      <c r="A78" s="2">
        <v>45625</v>
      </c>
      <c r="B78" t="s">
        <v>143</v>
      </c>
      <c r="C78" t="s">
        <v>9</v>
      </c>
      <c r="D78">
        <v>92.48</v>
      </c>
      <c r="E78">
        <v>-30.82</v>
      </c>
      <c r="F78" t="s">
        <v>129</v>
      </c>
      <c r="G78" s="5">
        <v>45597</v>
      </c>
    </row>
    <row r="79" spans="1:7" x14ac:dyDescent="0.3">
      <c r="A79" s="2">
        <v>45627</v>
      </c>
      <c r="B79" t="s">
        <v>144</v>
      </c>
      <c r="C79" t="s">
        <v>21</v>
      </c>
      <c r="D79">
        <v>40.130000000000003</v>
      </c>
      <c r="E79">
        <v>20.059999999999999</v>
      </c>
      <c r="F79" t="s">
        <v>8</v>
      </c>
      <c r="G79" s="5">
        <v>45627</v>
      </c>
    </row>
    <row r="80" spans="1:7" x14ac:dyDescent="0.3">
      <c r="A80" s="2">
        <v>45634</v>
      </c>
      <c r="B80" t="s">
        <v>21</v>
      </c>
      <c r="C80" t="s">
        <v>21</v>
      </c>
      <c r="D80">
        <v>94.27</v>
      </c>
      <c r="E80">
        <v>-47.14</v>
      </c>
      <c r="F80" t="s">
        <v>129</v>
      </c>
      <c r="G80" s="5">
        <v>45627</v>
      </c>
    </row>
    <row r="81" spans="1:7" x14ac:dyDescent="0.3">
      <c r="A81" s="2">
        <v>45634</v>
      </c>
      <c r="B81" t="s">
        <v>171</v>
      </c>
      <c r="C81" t="s">
        <v>21</v>
      </c>
      <c r="D81">
        <v>13.35</v>
      </c>
      <c r="E81">
        <v>-6.68</v>
      </c>
      <c r="F81" t="s">
        <v>129</v>
      </c>
      <c r="G81" s="5">
        <v>45627</v>
      </c>
    </row>
    <row r="82" spans="1:7" x14ac:dyDescent="0.3">
      <c r="A82" s="2">
        <v>45634</v>
      </c>
      <c r="B82" t="s">
        <v>135</v>
      </c>
      <c r="C82" t="s">
        <v>28</v>
      </c>
      <c r="D82">
        <v>11.48</v>
      </c>
      <c r="E82">
        <v>-25.74</v>
      </c>
      <c r="F82" t="s">
        <v>129</v>
      </c>
      <c r="G82" s="5">
        <v>45627</v>
      </c>
    </row>
    <row r="83" spans="1:7" x14ac:dyDescent="0.3">
      <c r="A83" s="2">
        <v>45634</v>
      </c>
      <c r="B83" t="s">
        <v>172</v>
      </c>
      <c r="C83" t="s">
        <v>28</v>
      </c>
      <c r="D83">
        <v>10</v>
      </c>
      <c r="E83">
        <v>-55</v>
      </c>
      <c r="F83" t="s">
        <v>129</v>
      </c>
      <c r="G83" s="5">
        <v>45627</v>
      </c>
    </row>
    <row r="84" spans="1:7" x14ac:dyDescent="0.3">
      <c r="A84" s="2">
        <v>45643</v>
      </c>
      <c r="B84" t="s">
        <v>173</v>
      </c>
      <c r="C84" t="s">
        <v>28</v>
      </c>
      <c r="D84">
        <v>29</v>
      </c>
      <c r="E84">
        <v>-54.5</v>
      </c>
      <c r="F84" t="s">
        <v>129</v>
      </c>
      <c r="G84" s="5">
        <v>45627</v>
      </c>
    </row>
    <row r="85" spans="1:7" x14ac:dyDescent="0.3">
      <c r="A85" s="2">
        <v>45643</v>
      </c>
      <c r="B85" t="s">
        <v>174</v>
      </c>
      <c r="C85" t="s">
        <v>21</v>
      </c>
      <c r="D85">
        <v>5</v>
      </c>
      <c r="E85">
        <v>-50</v>
      </c>
      <c r="F85" t="s">
        <v>129</v>
      </c>
      <c r="G85" s="5">
        <v>45627</v>
      </c>
    </row>
    <row r="86" spans="1:7" x14ac:dyDescent="0.3">
      <c r="A86" s="2">
        <v>45644</v>
      </c>
      <c r="B86" t="s">
        <v>130</v>
      </c>
      <c r="C86" t="s">
        <v>134</v>
      </c>
      <c r="D86">
        <v>40.880000000000003</v>
      </c>
      <c r="E86">
        <v>40.880000000000003</v>
      </c>
      <c r="F86" t="s">
        <v>8</v>
      </c>
      <c r="G86" s="5">
        <v>45627</v>
      </c>
    </row>
    <row r="87" spans="1:7" x14ac:dyDescent="0.3">
      <c r="A87" s="2">
        <v>45644</v>
      </c>
      <c r="B87" t="s">
        <v>130</v>
      </c>
      <c r="C87" t="s">
        <v>134</v>
      </c>
      <c r="D87">
        <v>40.880000000000003</v>
      </c>
      <c r="E87">
        <v>-80.88</v>
      </c>
      <c r="F87" t="s">
        <v>129</v>
      </c>
      <c r="G87" s="5">
        <v>45627</v>
      </c>
    </row>
    <row r="88" spans="1:7" x14ac:dyDescent="0.3">
      <c r="A88" s="2">
        <v>45644</v>
      </c>
      <c r="B88" t="s">
        <v>138</v>
      </c>
      <c r="C88" t="s">
        <v>134</v>
      </c>
      <c r="D88">
        <v>107.38</v>
      </c>
      <c r="E88">
        <v>107.38</v>
      </c>
      <c r="F88" t="s">
        <v>8</v>
      </c>
      <c r="G88" s="5">
        <v>45627</v>
      </c>
    </row>
    <row r="89" spans="1:7" x14ac:dyDescent="0.3">
      <c r="A89" s="2">
        <v>45645</v>
      </c>
      <c r="B89" t="s">
        <v>140</v>
      </c>
      <c r="C89" t="s">
        <v>9</v>
      </c>
      <c r="D89">
        <v>61</v>
      </c>
      <c r="E89">
        <v>-20.329999999999998</v>
      </c>
      <c r="F89" t="s">
        <v>129</v>
      </c>
      <c r="G89" s="5">
        <v>45627</v>
      </c>
    </row>
    <row r="90" spans="1:7" x14ac:dyDescent="0.3">
      <c r="A90" s="2">
        <v>45646</v>
      </c>
      <c r="B90" t="s">
        <v>130</v>
      </c>
      <c r="C90" t="s">
        <v>134</v>
      </c>
      <c r="D90">
        <v>6.58</v>
      </c>
      <c r="E90">
        <v>0</v>
      </c>
      <c r="F90" t="s">
        <v>129</v>
      </c>
      <c r="G90" s="5">
        <v>45627</v>
      </c>
    </row>
    <row r="91" spans="1:7" x14ac:dyDescent="0.3">
      <c r="A91" s="2">
        <v>45650</v>
      </c>
      <c r="B91" t="s">
        <v>175</v>
      </c>
      <c r="C91" t="s">
        <v>21</v>
      </c>
      <c r="D91">
        <v>45.55</v>
      </c>
      <c r="E91">
        <v>45.55</v>
      </c>
      <c r="F91" t="s">
        <v>8</v>
      </c>
      <c r="G91" s="5">
        <v>45627</v>
      </c>
    </row>
    <row r="92" spans="1:7" x14ac:dyDescent="0.3">
      <c r="A92" s="2">
        <v>45652</v>
      </c>
      <c r="B92" t="s">
        <v>148</v>
      </c>
      <c r="C92" t="s">
        <v>28</v>
      </c>
      <c r="D92">
        <v>21.36</v>
      </c>
      <c r="E92">
        <v>10.68</v>
      </c>
      <c r="F92" t="s">
        <v>8</v>
      </c>
      <c r="G92" s="5">
        <v>45627</v>
      </c>
    </row>
    <row r="93" spans="1:7" x14ac:dyDescent="0.3">
      <c r="A93" s="2">
        <v>45656</v>
      </c>
      <c r="B93" t="s">
        <v>143</v>
      </c>
      <c r="C93" t="s">
        <v>9</v>
      </c>
      <c r="D93">
        <v>72.11</v>
      </c>
      <c r="E93">
        <v>-24.03</v>
      </c>
      <c r="F93" t="s">
        <v>129</v>
      </c>
      <c r="G93" s="5">
        <v>45627</v>
      </c>
    </row>
    <row r="94" spans="1:7" x14ac:dyDescent="0.3">
      <c r="A94" s="2">
        <v>45656</v>
      </c>
      <c r="B94" t="s">
        <v>21</v>
      </c>
      <c r="C94" t="s">
        <v>21</v>
      </c>
      <c r="D94">
        <v>21.85</v>
      </c>
      <c r="E94">
        <v>-10.93</v>
      </c>
      <c r="F94" t="s">
        <v>129</v>
      </c>
      <c r="G94" s="5">
        <v>45627</v>
      </c>
    </row>
    <row r="95" spans="1:7" x14ac:dyDescent="0.3">
      <c r="A95" s="2">
        <v>45658</v>
      </c>
      <c r="B95" t="s">
        <v>21</v>
      </c>
      <c r="C95" t="s">
        <v>21</v>
      </c>
      <c r="D95">
        <v>41.35</v>
      </c>
      <c r="E95">
        <v>-20.67</v>
      </c>
      <c r="F95" t="s">
        <v>129</v>
      </c>
      <c r="G95" s="5">
        <v>45658</v>
      </c>
    </row>
    <row r="96" spans="1:7" x14ac:dyDescent="0.3">
      <c r="A96" s="2">
        <v>45662</v>
      </c>
      <c r="B96" t="s">
        <v>144</v>
      </c>
      <c r="C96" t="s">
        <v>21</v>
      </c>
      <c r="D96">
        <v>68.53</v>
      </c>
      <c r="E96">
        <v>45.68</v>
      </c>
      <c r="F96" t="s">
        <v>8</v>
      </c>
      <c r="G96" s="5">
        <v>45658</v>
      </c>
    </row>
    <row r="97" spans="1:7" x14ac:dyDescent="0.3">
      <c r="A97" s="2">
        <v>45665</v>
      </c>
      <c r="B97" t="s">
        <v>176</v>
      </c>
      <c r="C97" t="s">
        <v>128</v>
      </c>
      <c r="D97">
        <v>34.17</v>
      </c>
      <c r="E97">
        <v>-11.39</v>
      </c>
      <c r="F97" t="s">
        <v>129</v>
      </c>
      <c r="G97" s="5">
        <v>45658</v>
      </c>
    </row>
    <row r="98" spans="1:7" x14ac:dyDescent="0.3">
      <c r="A98" s="2">
        <v>45665</v>
      </c>
      <c r="B98" t="s">
        <v>177</v>
      </c>
      <c r="C98" t="s">
        <v>128</v>
      </c>
      <c r="D98">
        <v>13.82</v>
      </c>
      <c r="E98">
        <v>-4.6100000000000003</v>
      </c>
      <c r="F98" t="s">
        <v>129</v>
      </c>
      <c r="G98" s="5">
        <v>45658</v>
      </c>
    </row>
    <row r="99" spans="1:7" x14ac:dyDescent="0.3">
      <c r="A99" s="2">
        <v>45665</v>
      </c>
      <c r="B99" t="s">
        <v>130</v>
      </c>
      <c r="C99" t="s">
        <v>134</v>
      </c>
      <c r="D99">
        <v>40.03</v>
      </c>
      <c r="E99">
        <v>0</v>
      </c>
      <c r="F99" t="s">
        <v>129</v>
      </c>
      <c r="G99" s="5">
        <v>45658</v>
      </c>
    </row>
    <row r="100" spans="1:7" x14ac:dyDescent="0.3">
      <c r="A100" s="2">
        <v>45669</v>
      </c>
      <c r="B100" t="s">
        <v>21</v>
      </c>
      <c r="C100" t="s">
        <v>21</v>
      </c>
      <c r="D100">
        <v>64.95</v>
      </c>
      <c r="E100">
        <v>-21.65</v>
      </c>
      <c r="F100" t="s">
        <v>129</v>
      </c>
      <c r="G100" s="5">
        <v>45658</v>
      </c>
    </row>
    <row r="101" spans="1:7" x14ac:dyDescent="0.3">
      <c r="A101" s="2">
        <v>45669</v>
      </c>
      <c r="B101" t="s">
        <v>178</v>
      </c>
      <c r="C101" t="s">
        <v>21</v>
      </c>
      <c r="D101">
        <v>12.16</v>
      </c>
      <c r="E101">
        <v>-6.08</v>
      </c>
      <c r="F101" t="s">
        <v>129</v>
      </c>
      <c r="G101" s="5">
        <v>45658</v>
      </c>
    </row>
    <row r="102" spans="1:7" x14ac:dyDescent="0.3">
      <c r="A102" s="2">
        <v>45672</v>
      </c>
      <c r="B102" t="s">
        <v>179</v>
      </c>
      <c r="C102" t="s">
        <v>21</v>
      </c>
      <c r="D102">
        <v>6.81</v>
      </c>
      <c r="E102">
        <v>-2.27</v>
      </c>
      <c r="F102" t="s">
        <v>129</v>
      </c>
      <c r="G102" s="5">
        <v>45658</v>
      </c>
    </row>
    <row r="103" spans="1:7" x14ac:dyDescent="0.3">
      <c r="A103" s="2">
        <v>45676</v>
      </c>
      <c r="B103" t="s">
        <v>140</v>
      </c>
      <c r="C103" t="s">
        <v>9</v>
      </c>
      <c r="D103">
        <v>61</v>
      </c>
      <c r="E103">
        <v>-20.329999999999998</v>
      </c>
      <c r="F103" t="s">
        <v>129</v>
      </c>
      <c r="G103" s="5">
        <v>45658</v>
      </c>
    </row>
    <row r="104" spans="1:7" x14ac:dyDescent="0.3">
      <c r="A104" s="2">
        <v>45677</v>
      </c>
      <c r="B104" t="s">
        <v>180</v>
      </c>
      <c r="C104" t="s">
        <v>21</v>
      </c>
      <c r="D104">
        <v>3.37</v>
      </c>
      <c r="E104">
        <v>0</v>
      </c>
      <c r="F104" t="s">
        <v>129</v>
      </c>
      <c r="G104" s="5">
        <v>45658</v>
      </c>
    </row>
    <row r="105" spans="1:7" x14ac:dyDescent="0.3">
      <c r="A105" s="2">
        <v>45677</v>
      </c>
      <c r="B105" t="s">
        <v>180</v>
      </c>
      <c r="C105" t="s">
        <v>21</v>
      </c>
      <c r="D105">
        <v>3.37</v>
      </c>
      <c r="E105">
        <v>-1.69</v>
      </c>
      <c r="F105" t="s">
        <v>129</v>
      </c>
      <c r="G105" s="5">
        <v>45658</v>
      </c>
    </row>
    <row r="106" spans="1:7" x14ac:dyDescent="0.3">
      <c r="A106" s="2">
        <v>45677</v>
      </c>
      <c r="B106" t="s">
        <v>21</v>
      </c>
      <c r="C106" t="s">
        <v>21</v>
      </c>
      <c r="D106">
        <v>41.61</v>
      </c>
      <c r="E106">
        <v>-13.87</v>
      </c>
      <c r="F106" t="s">
        <v>129</v>
      </c>
      <c r="G106" s="5">
        <v>45658</v>
      </c>
    </row>
    <row r="107" spans="1:7" x14ac:dyDescent="0.3">
      <c r="A107" s="2">
        <v>45677</v>
      </c>
      <c r="B107" t="s">
        <v>181</v>
      </c>
      <c r="C107" t="s">
        <v>21</v>
      </c>
      <c r="D107">
        <v>52.47</v>
      </c>
      <c r="E107">
        <v>-52.47</v>
      </c>
      <c r="F107" t="s">
        <v>129</v>
      </c>
      <c r="G107" s="5">
        <v>45658</v>
      </c>
    </row>
    <row r="108" spans="1:7" x14ac:dyDescent="0.3">
      <c r="A108" s="2">
        <v>45678</v>
      </c>
      <c r="B108" t="s">
        <v>51</v>
      </c>
      <c r="C108" t="s">
        <v>9</v>
      </c>
      <c r="D108">
        <v>30</v>
      </c>
      <c r="E108">
        <v>-10</v>
      </c>
      <c r="F108" t="s">
        <v>129</v>
      </c>
      <c r="G108" s="5">
        <v>45658</v>
      </c>
    </row>
    <row r="109" spans="1:7" x14ac:dyDescent="0.3">
      <c r="A109" s="2">
        <v>45679</v>
      </c>
      <c r="B109" t="s">
        <v>130</v>
      </c>
      <c r="C109" t="s">
        <v>134</v>
      </c>
      <c r="D109">
        <v>122.35</v>
      </c>
      <c r="E109">
        <v>122.35</v>
      </c>
      <c r="F109" t="s">
        <v>8</v>
      </c>
      <c r="G109" s="5">
        <v>45658</v>
      </c>
    </row>
    <row r="110" spans="1:7" x14ac:dyDescent="0.3">
      <c r="A110" s="2">
        <v>45679</v>
      </c>
      <c r="B110" t="s">
        <v>130</v>
      </c>
      <c r="C110" t="s">
        <v>134</v>
      </c>
      <c r="D110">
        <v>42.18</v>
      </c>
      <c r="E110">
        <v>42.18</v>
      </c>
      <c r="F110" t="s">
        <v>8</v>
      </c>
      <c r="G110" s="5">
        <v>45658</v>
      </c>
    </row>
    <row r="111" spans="1:7" x14ac:dyDescent="0.3">
      <c r="A111" s="2">
        <v>45679</v>
      </c>
      <c r="B111" t="s">
        <v>130</v>
      </c>
      <c r="C111" t="s">
        <v>134</v>
      </c>
      <c r="D111">
        <v>119.11</v>
      </c>
      <c r="E111">
        <v>-119.11</v>
      </c>
      <c r="F111" t="s">
        <v>129</v>
      </c>
      <c r="G111" s="5">
        <v>45658</v>
      </c>
    </row>
    <row r="112" spans="1:7" x14ac:dyDescent="0.3">
      <c r="A112" s="2">
        <v>45679</v>
      </c>
      <c r="B112" t="s">
        <v>130</v>
      </c>
      <c r="C112" t="s">
        <v>134</v>
      </c>
      <c r="D112">
        <v>42.18</v>
      </c>
      <c r="E112">
        <v>-42.18</v>
      </c>
      <c r="F112" t="s">
        <v>129</v>
      </c>
      <c r="G112" s="5">
        <v>45658</v>
      </c>
    </row>
    <row r="113" spans="1:7" x14ac:dyDescent="0.3">
      <c r="A113" s="2">
        <v>45679</v>
      </c>
      <c r="B113" t="s">
        <v>182</v>
      </c>
      <c r="C113" t="s">
        <v>21</v>
      </c>
      <c r="D113">
        <v>3.45</v>
      </c>
      <c r="E113">
        <v>2.2999999999999998</v>
      </c>
      <c r="F113" t="s">
        <v>8</v>
      </c>
      <c r="G113" s="5">
        <v>45658</v>
      </c>
    </row>
    <row r="114" spans="1:7" x14ac:dyDescent="0.3">
      <c r="A114" s="2">
        <v>45679</v>
      </c>
      <c r="B114" t="s">
        <v>133</v>
      </c>
      <c r="C114" t="s">
        <v>134</v>
      </c>
      <c r="D114">
        <v>47.57</v>
      </c>
      <c r="E114">
        <v>47.57</v>
      </c>
      <c r="F114" t="s">
        <v>8</v>
      </c>
      <c r="G114" s="5">
        <v>45658</v>
      </c>
    </row>
    <row r="115" spans="1:7" x14ac:dyDescent="0.3">
      <c r="A115" s="2">
        <v>45679</v>
      </c>
      <c r="B115" t="s">
        <v>138</v>
      </c>
      <c r="C115" t="s">
        <v>134</v>
      </c>
      <c r="D115">
        <v>31.69</v>
      </c>
      <c r="E115">
        <v>31.69</v>
      </c>
      <c r="F115" t="s">
        <v>8</v>
      </c>
      <c r="G115" s="5">
        <v>45658</v>
      </c>
    </row>
    <row r="116" spans="1:7" x14ac:dyDescent="0.3">
      <c r="A116" s="2">
        <v>45684</v>
      </c>
      <c r="B116" t="s">
        <v>183</v>
      </c>
      <c r="C116" t="s">
        <v>128</v>
      </c>
      <c r="D116">
        <v>24.56</v>
      </c>
      <c r="E116">
        <v>-24.56</v>
      </c>
      <c r="F116" t="s">
        <v>129</v>
      </c>
      <c r="G116" s="5">
        <v>45658</v>
      </c>
    </row>
    <row r="117" spans="1:7" x14ac:dyDescent="0.3">
      <c r="A117" s="2">
        <v>45686</v>
      </c>
      <c r="B117" t="s">
        <v>21</v>
      </c>
      <c r="C117" t="s">
        <v>21</v>
      </c>
      <c r="D117">
        <v>46.61</v>
      </c>
      <c r="E117">
        <v>-15.54</v>
      </c>
      <c r="F117" t="s">
        <v>129</v>
      </c>
      <c r="G117" s="5">
        <v>45658</v>
      </c>
    </row>
    <row r="118" spans="1:7" x14ac:dyDescent="0.3">
      <c r="A118" s="2">
        <v>45687</v>
      </c>
      <c r="B118" t="s">
        <v>143</v>
      </c>
      <c r="C118" t="s">
        <v>9</v>
      </c>
      <c r="D118">
        <v>78.09</v>
      </c>
      <c r="E118">
        <v>-26.03</v>
      </c>
      <c r="F118" t="s">
        <v>129</v>
      </c>
      <c r="G118" s="5">
        <v>45658</v>
      </c>
    </row>
    <row r="119" spans="1:7" x14ac:dyDescent="0.3">
      <c r="A119" s="2">
        <v>45691</v>
      </c>
      <c r="B119" t="s">
        <v>130</v>
      </c>
      <c r="C119" t="s">
        <v>134</v>
      </c>
      <c r="D119">
        <v>19.63</v>
      </c>
      <c r="E119">
        <v>0</v>
      </c>
      <c r="F119" t="s">
        <v>129</v>
      </c>
      <c r="G119" s="5">
        <v>45689</v>
      </c>
    </row>
    <row r="120" spans="1:7" x14ac:dyDescent="0.3">
      <c r="A120" s="2">
        <v>45692</v>
      </c>
      <c r="B120" t="s">
        <v>184</v>
      </c>
      <c r="C120" t="s">
        <v>21</v>
      </c>
      <c r="D120">
        <v>14.01</v>
      </c>
      <c r="E120">
        <v>7</v>
      </c>
      <c r="F120" t="s">
        <v>8</v>
      </c>
      <c r="G120" s="5">
        <v>45689</v>
      </c>
    </row>
    <row r="121" spans="1:7" x14ac:dyDescent="0.3">
      <c r="A121" s="2">
        <v>45692</v>
      </c>
      <c r="B121" t="s">
        <v>21</v>
      </c>
      <c r="C121" t="s">
        <v>21</v>
      </c>
      <c r="D121">
        <v>23.9</v>
      </c>
      <c r="E121">
        <v>15.93</v>
      </c>
      <c r="F121" t="s">
        <v>8</v>
      </c>
      <c r="G121" s="5">
        <v>45689</v>
      </c>
    </row>
    <row r="122" spans="1:7" x14ac:dyDescent="0.3">
      <c r="A122" s="2">
        <v>45692</v>
      </c>
      <c r="B122" t="s">
        <v>145</v>
      </c>
      <c r="C122" t="s">
        <v>21</v>
      </c>
      <c r="D122">
        <v>6.49</v>
      </c>
      <c r="E122">
        <v>3.24</v>
      </c>
      <c r="F122" t="s">
        <v>8</v>
      </c>
      <c r="G122" s="5">
        <v>45689</v>
      </c>
    </row>
    <row r="123" spans="1:7" x14ac:dyDescent="0.3">
      <c r="A123" s="2">
        <v>45695</v>
      </c>
      <c r="B123" t="s">
        <v>21</v>
      </c>
      <c r="C123" t="s">
        <v>21</v>
      </c>
      <c r="D123">
        <v>91.35</v>
      </c>
      <c r="E123">
        <v>-91.35</v>
      </c>
      <c r="F123" t="s">
        <v>129</v>
      </c>
      <c r="G123" s="5">
        <v>45689</v>
      </c>
    </row>
    <row r="124" spans="1:7" x14ac:dyDescent="0.3">
      <c r="A124" s="2">
        <v>45695</v>
      </c>
      <c r="B124" t="s">
        <v>185</v>
      </c>
      <c r="C124" t="s">
        <v>28</v>
      </c>
      <c r="D124">
        <v>12.94</v>
      </c>
      <c r="E124">
        <v>-12.94</v>
      </c>
      <c r="F124" t="s">
        <v>129</v>
      </c>
      <c r="G124" s="5">
        <v>45689</v>
      </c>
    </row>
    <row r="125" spans="1:7" x14ac:dyDescent="0.3">
      <c r="A125" s="2">
        <v>45696</v>
      </c>
      <c r="B125" t="s">
        <v>130</v>
      </c>
      <c r="C125" t="s">
        <v>134</v>
      </c>
      <c r="D125">
        <v>27.75</v>
      </c>
      <c r="E125">
        <v>0</v>
      </c>
      <c r="F125" t="s">
        <v>129</v>
      </c>
      <c r="G125" s="5">
        <v>45689</v>
      </c>
    </row>
    <row r="126" spans="1:7" x14ac:dyDescent="0.3">
      <c r="A126" s="2">
        <v>45696</v>
      </c>
      <c r="B126" t="s">
        <v>21</v>
      </c>
      <c r="C126" t="s">
        <v>21</v>
      </c>
      <c r="D126">
        <v>93.91</v>
      </c>
      <c r="E126">
        <v>-93.91</v>
      </c>
      <c r="F126" t="s">
        <v>129</v>
      </c>
      <c r="G126" s="5">
        <v>45689</v>
      </c>
    </row>
    <row r="127" spans="1:7" x14ac:dyDescent="0.3">
      <c r="A127" s="2">
        <v>45702</v>
      </c>
      <c r="B127" t="s">
        <v>186</v>
      </c>
      <c r="C127" t="s">
        <v>21</v>
      </c>
      <c r="D127">
        <v>18.52</v>
      </c>
      <c r="E127">
        <v>-18.52</v>
      </c>
      <c r="F127" t="s">
        <v>129</v>
      </c>
      <c r="G127" s="5">
        <v>45689</v>
      </c>
    </row>
    <row r="128" spans="1:7" x14ac:dyDescent="0.3">
      <c r="A128" s="2">
        <v>45705</v>
      </c>
      <c r="B128" t="s">
        <v>187</v>
      </c>
      <c r="C128" t="s">
        <v>21</v>
      </c>
      <c r="D128">
        <v>3</v>
      </c>
      <c r="E128">
        <v>-3</v>
      </c>
      <c r="F128" t="s">
        <v>129</v>
      </c>
      <c r="G128" s="5">
        <v>45689</v>
      </c>
    </row>
    <row r="129" spans="1:7" x14ac:dyDescent="0.3">
      <c r="A129" s="2">
        <v>45705</v>
      </c>
      <c r="B129" t="s">
        <v>130</v>
      </c>
      <c r="C129" t="s">
        <v>134</v>
      </c>
      <c r="D129">
        <v>17.149999999999999</v>
      </c>
      <c r="E129">
        <v>17.149999999999999</v>
      </c>
      <c r="F129" t="s">
        <v>8</v>
      </c>
      <c r="G129" s="5">
        <v>45689</v>
      </c>
    </row>
    <row r="130" spans="1:7" x14ac:dyDescent="0.3">
      <c r="A130" s="2">
        <v>45705</v>
      </c>
      <c r="B130" t="s">
        <v>130</v>
      </c>
      <c r="C130" t="s">
        <v>134</v>
      </c>
      <c r="D130">
        <v>17.149999999999999</v>
      </c>
      <c r="E130">
        <v>-17.149999999999999</v>
      </c>
      <c r="F130" t="s">
        <v>129</v>
      </c>
      <c r="G130" s="5">
        <v>45689</v>
      </c>
    </row>
    <row r="131" spans="1:7" x14ac:dyDescent="0.3">
      <c r="A131" s="2">
        <v>45705</v>
      </c>
      <c r="B131" t="s">
        <v>144</v>
      </c>
      <c r="C131" t="s">
        <v>21</v>
      </c>
      <c r="D131">
        <v>29.24</v>
      </c>
      <c r="E131">
        <v>29.24</v>
      </c>
      <c r="F131" t="s">
        <v>8</v>
      </c>
      <c r="G131" s="5">
        <v>45689</v>
      </c>
    </row>
    <row r="132" spans="1:7" x14ac:dyDescent="0.3">
      <c r="A132" s="2">
        <v>45705</v>
      </c>
      <c r="B132" t="s">
        <v>188</v>
      </c>
      <c r="C132" t="s">
        <v>21</v>
      </c>
      <c r="D132">
        <v>34.26</v>
      </c>
      <c r="E132">
        <v>34.26</v>
      </c>
      <c r="F132" t="s">
        <v>8</v>
      </c>
      <c r="G132" s="5">
        <v>45689</v>
      </c>
    </row>
    <row r="133" spans="1:7" x14ac:dyDescent="0.3">
      <c r="A133" s="2">
        <v>45705</v>
      </c>
      <c r="B133" t="s">
        <v>189</v>
      </c>
      <c r="C133" t="s">
        <v>134</v>
      </c>
      <c r="D133">
        <v>40.450000000000003</v>
      </c>
      <c r="E133">
        <v>-40.450000000000003</v>
      </c>
      <c r="F133" t="s">
        <v>129</v>
      </c>
      <c r="G133" s="5">
        <v>45689</v>
      </c>
    </row>
    <row r="134" spans="1:7" x14ac:dyDescent="0.3">
      <c r="A134" s="2">
        <v>45707</v>
      </c>
      <c r="B134" t="s">
        <v>190</v>
      </c>
      <c r="C134" t="s">
        <v>9</v>
      </c>
      <c r="D134">
        <v>61</v>
      </c>
      <c r="E134">
        <v>-20.329999999999998</v>
      </c>
      <c r="F134" t="s">
        <v>129</v>
      </c>
      <c r="G134" s="5">
        <v>45689</v>
      </c>
    </row>
    <row r="135" spans="1:7" x14ac:dyDescent="0.3">
      <c r="A135" s="2">
        <v>45709</v>
      </c>
      <c r="B135" t="s">
        <v>51</v>
      </c>
      <c r="C135" t="s">
        <v>9</v>
      </c>
      <c r="D135">
        <v>30</v>
      </c>
      <c r="E135">
        <v>-10</v>
      </c>
      <c r="F135" t="s">
        <v>129</v>
      </c>
      <c r="G135" s="5">
        <v>45689</v>
      </c>
    </row>
    <row r="136" spans="1:7" x14ac:dyDescent="0.3">
      <c r="A136" s="2">
        <v>45710</v>
      </c>
      <c r="B136" t="s">
        <v>127</v>
      </c>
      <c r="C136" t="s">
        <v>128</v>
      </c>
      <c r="D136">
        <v>30.16</v>
      </c>
      <c r="E136">
        <v>-30.06</v>
      </c>
      <c r="F136" t="s">
        <v>129</v>
      </c>
      <c r="G136" s="5">
        <v>45689</v>
      </c>
    </row>
    <row r="137" spans="1:7" x14ac:dyDescent="0.3">
      <c r="A137" s="2">
        <v>45710</v>
      </c>
      <c r="B137" t="s">
        <v>191</v>
      </c>
      <c r="C137" t="s">
        <v>128</v>
      </c>
      <c r="D137">
        <v>24.86</v>
      </c>
      <c r="E137">
        <v>16.579999999999998</v>
      </c>
      <c r="F137" t="s">
        <v>8</v>
      </c>
      <c r="G137" s="5">
        <v>45689</v>
      </c>
    </row>
    <row r="138" spans="1:7" x14ac:dyDescent="0.3">
      <c r="A138" s="2">
        <v>45711</v>
      </c>
      <c r="B138" t="s">
        <v>189</v>
      </c>
      <c r="C138" t="s">
        <v>134</v>
      </c>
      <c r="D138">
        <v>60.58</v>
      </c>
      <c r="E138">
        <v>-60.58</v>
      </c>
      <c r="F138" t="s">
        <v>129</v>
      </c>
      <c r="G138" s="5">
        <v>45689</v>
      </c>
    </row>
    <row r="139" spans="1:7" x14ac:dyDescent="0.3">
      <c r="A139" s="2">
        <v>45712</v>
      </c>
      <c r="B139" t="s">
        <v>130</v>
      </c>
      <c r="C139" t="s">
        <v>134</v>
      </c>
      <c r="D139">
        <v>60.58</v>
      </c>
      <c r="E139">
        <v>0</v>
      </c>
      <c r="F139" t="s">
        <v>129</v>
      </c>
      <c r="G139" s="5">
        <v>45689</v>
      </c>
    </row>
    <row r="140" spans="1:7" x14ac:dyDescent="0.3">
      <c r="A140" s="2">
        <v>45716</v>
      </c>
      <c r="B140" t="s">
        <v>161</v>
      </c>
      <c r="C140" t="s">
        <v>21</v>
      </c>
      <c r="D140">
        <v>3.93</v>
      </c>
      <c r="E140">
        <v>3.93</v>
      </c>
      <c r="F140" t="s">
        <v>8</v>
      </c>
      <c r="G140" s="5">
        <v>45689</v>
      </c>
    </row>
    <row r="141" spans="1:7" x14ac:dyDescent="0.3">
      <c r="A141" s="2">
        <v>45716</v>
      </c>
      <c r="B141" t="s">
        <v>144</v>
      </c>
      <c r="C141" t="s">
        <v>21</v>
      </c>
      <c r="D141">
        <v>32.29</v>
      </c>
      <c r="E141">
        <v>32.29</v>
      </c>
      <c r="F141" t="s">
        <v>8</v>
      </c>
      <c r="G141" s="5">
        <v>45689</v>
      </c>
    </row>
  </sheetData>
  <autoFilter ref="F1:F141" xr:uid="{DC83FAE2-5815-429E-9C02-D0B31E097ED1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928-8FD1-4887-833A-7D3E568A5AD3}">
  <dimension ref="A1:N63"/>
  <sheetViews>
    <sheetView tabSelected="1" topLeftCell="C1" zoomScale="110" zoomScaleNormal="110" workbookViewId="0">
      <selection activeCell="P2" sqref="P2"/>
    </sheetView>
  </sheetViews>
  <sheetFormatPr defaultRowHeight="14.4" x14ac:dyDescent="0.3"/>
  <cols>
    <col min="1" max="1" width="29.33203125" customWidth="1"/>
    <col min="2" max="2" width="17" customWidth="1"/>
    <col min="3" max="3" width="14.88671875" customWidth="1"/>
    <col min="4" max="4" width="12.77734375" customWidth="1"/>
    <col min="5" max="5" width="16.44140625" customWidth="1"/>
    <col min="6" max="7" width="16.77734375" bestFit="1" customWidth="1"/>
    <col min="8" max="8" width="12.77734375" bestFit="1" customWidth="1"/>
    <col min="10" max="10" width="12.44140625" customWidth="1"/>
    <col min="11" max="11" width="18.88671875" bestFit="1" customWidth="1"/>
    <col min="12" max="12" width="17.88671875" bestFit="1" customWidth="1"/>
    <col min="13" max="13" width="12.109375" customWidth="1"/>
    <col min="14" max="14" width="13.88671875" customWidth="1"/>
  </cols>
  <sheetData>
    <row r="1" spans="1:14" x14ac:dyDescent="0.3">
      <c r="A1" s="4" t="s">
        <v>66</v>
      </c>
      <c r="B1" s="4" t="s">
        <v>192</v>
      </c>
      <c r="C1" s="4" t="s">
        <v>193</v>
      </c>
      <c r="D1" s="4" t="s">
        <v>194</v>
      </c>
      <c r="E1" s="4" t="s">
        <v>195</v>
      </c>
      <c r="F1" s="4" t="s">
        <v>196</v>
      </c>
      <c r="G1" s="4" t="s">
        <v>197</v>
      </c>
      <c r="H1" s="4" t="s">
        <v>198</v>
      </c>
      <c r="J1" s="4" t="s">
        <v>66</v>
      </c>
      <c r="K1" s="4" t="s">
        <v>199</v>
      </c>
      <c r="L1" s="4" t="s">
        <v>200</v>
      </c>
      <c r="M1" s="4" t="s">
        <v>205</v>
      </c>
      <c r="N1" s="4" t="s">
        <v>201</v>
      </c>
    </row>
    <row r="2" spans="1:14" x14ac:dyDescent="0.3">
      <c r="A2" t="s">
        <v>67</v>
      </c>
      <c r="B2">
        <f>SUM('Credit card'!S2,'Debit Card'!W2)</f>
        <v>1922.64</v>
      </c>
      <c r="C2">
        <f>SUM('Debit Card'!V2)</f>
        <v>3025.34</v>
      </c>
      <c r="D2">
        <f>SUM('Debit Card'!Z2)</f>
        <v>420</v>
      </c>
      <c r="E2">
        <f>ROUND(AVERAGE(B2:B7),2)</f>
        <v>2213.65</v>
      </c>
      <c r="F2">
        <f>ROUND(AVERAGE(C2:C7),2)</f>
        <v>3259.76</v>
      </c>
      <c r="G2">
        <f>ROUND(AVERAGE(D2:D7),2)</f>
        <v>522.33000000000004</v>
      </c>
      <c r="H2" s="7">
        <f>AVERAGE('Debit Card'!AA2:AA7)</f>
        <v>0.16216867336938579</v>
      </c>
      <c r="J2" t="s">
        <v>67</v>
      </c>
      <c r="K2">
        <v>120</v>
      </c>
      <c r="L2">
        <f>SUM('Credit card'!J2+'Debit Card'!K2)</f>
        <v>30.86</v>
      </c>
      <c r="M2">
        <f>K2-L2</f>
        <v>89.14</v>
      </c>
      <c r="N2" t="str">
        <f>IF(L2&gt;K2,"Yes","No")</f>
        <v>No</v>
      </c>
    </row>
    <row r="3" spans="1:14" x14ac:dyDescent="0.3">
      <c r="A3" t="s">
        <v>68</v>
      </c>
      <c r="B3">
        <f>SUM('Credit card'!S3,'Debit Card'!W3)</f>
        <v>2395.6200000000003</v>
      </c>
      <c r="C3">
        <f>SUM('Debit Card'!V3)</f>
        <v>3115.34</v>
      </c>
      <c r="D3">
        <f>SUM('Debit Card'!Z3)</f>
        <v>320</v>
      </c>
      <c r="J3" t="s">
        <v>68</v>
      </c>
      <c r="K3">
        <v>120</v>
      </c>
      <c r="L3">
        <f>SUM('Credit card'!J3+'Debit Card'!K3)</f>
        <v>44.49</v>
      </c>
      <c r="M3">
        <f t="shared" ref="M3:M7" si="0">K3-L3</f>
        <v>75.509999999999991</v>
      </c>
      <c r="N3" t="str">
        <f t="shared" ref="N3:N7" si="1">IF(L3&gt;K3,"Yes","No")</f>
        <v>No</v>
      </c>
    </row>
    <row r="4" spans="1:14" x14ac:dyDescent="0.3">
      <c r="A4" t="s">
        <v>69</v>
      </c>
      <c r="B4">
        <f>SUM('Credit card'!S4,'Debit Card'!W4)</f>
        <v>2145.0700000000002</v>
      </c>
      <c r="C4">
        <f>SUM('Debit Card'!V4)</f>
        <v>4246.58</v>
      </c>
      <c r="D4">
        <f>SUM('Debit Card'!Z4)</f>
        <v>550</v>
      </c>
      <c r="J4" t="s">
        <v>69</v>
      </c>
      <c r="K4">
        <v>120</v>
      </c>
      <c r="L4">
        <f>SUM('Credit card'!J4+'Debit Card'!K4)</f>
        <v>111.17</v>
      </c>
      <c r="M4">
        <f t="shared" si="0"/>
        <v>8.8299999999999983</v>
      </c>
      <c r="N4" t="str">
        <f t="shared" si="1"/>
        <v>No</v>
      </c>
    </row>
    <row r="5" spans="1:14" x14ac:dyDescent="0.3">
      <c r="A5" t="s">
        <v>70</v>
      </c>
      <c r="B5">
        <f>SUM('Credit card'!S5,'Debit Card'!W5)</f>
        <v>2156.5299999999997</v>
      </c>
      <c r="C5">
        <f>SUM('Debit Card'!V5)</f>
        <v>2878.4199999999996</v>
      </c>
      <c r="D5">
        <f>SUM('Debit Card'!Z5)</f>
        <v>445</v>
      </c>
      <c r="J5" t="s">
        <v>70</v>
      </c>
      <c r="K5">
        <v>120</v>
      </c>
      <c r="L5">
        <f>SUM('Credit card'!J5+'Debit Card'!K5)</f>
        <v>141.93</v>
      </c>
      <c r="M5">
        <f t="shared" si="0"/>
        <v>-21.930000000000007</v>
      </c>
      <c r="N5" t="str">
        <f t="shared" si="1"/>
        <v>Yes</v>
      </c>
    </row>
    <row r="6" spans="1:14" x14ac:dyDescent="0.3">
      <c r="A6" t="s">
        <v>71</v>
      </c>
      <c r="B6">
        <f>SUM('Credit card'!S6,'Debit Card'!W6)</f>
        <v>2637.86</v>
      </c>
      <c r="C6">
        <f>SUM('Debit Card'!V6)</f>
        <v>3303.7799999999997</v>
      </c>
      <c r="D6">
        <f>SUM('Debit Card'!Z6)</f>
        <v>649</v>
      </c>
      <c r="J6" t="s">
        <v>71</v>
      </c>
      <c r="K6">
        <v>120</v>
      </c>
      <c r="L6">
        <f>SUM('Credit card'!J6+'Debit Card'!K6)</f>
        <v>109.86</v>
      </c>
      <c r="M6">
        <f t="shared" si="0"/>
        <v>10.14</v>
      </c>
      <c r="N6" t="str">
        <f t="shared" si="1"/>
        <v>No</v>
      </c>
    </row>
    <row r="7" spans="1:14" x14ac:dyDescent="0.3">
      <c r="A7" t="s">
        <v>72</v>
      </c>
      <c r="B7">
        <f>SUM('Credit card'!S7,'Debit Card'!W7)</f>
        <v>2024.2000000000003</v>
      </c>
      <c r="C7">
        <f>SUM('Debit Card'!V7)</f>
        <v>2989.1099999999997</v>
      </c>
      <c r="D7">
        <f>SUM('Debit Card'!Z7)</f>
        <v>750</v>
      </c>
      <c r="J7" t="s">
        <v>72</v>
      </c>
      <c r="K7">
        <v>120</v>
      </c>
      <c r="L7">
        <f>SUM('Credit card'!J7+'Debit Card'!K7)</f>
        <v>137.59</v>
      </c>
      <c r="M7">
        <f t="shared" si="0"/>
        <v>-17.590000000000003</v>
      </c>
      <c r="N7" t="str">
        <f t="shared" si="1"/>
        <v>Yes</v>
      </c>
    </row>
    <row r="9" spans="1:14" x14ac:dyDescent="0.3">
      <c r="J9" s="4" t="s">
        <v>66</v>
      </c>
      <c r="K9" s="4" t="s">
        <v>202</v>
      </c>
      <c r="L9" s="4" t="s">
        <v>203</v>
      </c>
      <c r="M9" s="4" t="s">
        <v>204</v>
      </c>
      <c r="N9" s="4" t="s">
        <v>201</v>
      </c>
    </row>
    <row r="10" spans="1:14" x14ac:dyDescent="0.3">
      <c r="J10" t="s">
        <v>67</v>
      </c>
      <c r="K10">
        <v>20</v>
      </c>
      <c r="L10">
        <f>SUM('Credit card'!$L$2)</f>
        <v>19.2</v>
      </c>
      <c r="M10">
        <f>K10-L10</f>
        <v>0.80000000000000071</v>
      </c>
      <c r="N10" t="str">
        <f>IF(L10&gt;K10,"Yes","No")</f>
        <v>No</v>
      </c>
    </row>
    <row r="11" spans="1:14" x14ac:dyDescent="0.3">
      <c r="J11" t="s">
        <v>68</v>
      </c>
      <c r="K11">
        <v>20</v>
      </c>
      <c r="L11">
        <f>SUM('Credit card'!$L$3)</f>
        <v>40.849999999999994</v>
      </c>
      <c r="M11">
        <f t="shared" ref="M11:M15" si="2">K11-L11</f>
        <v>-20.849999999999994</v>
      </c>
      <c r="N11" t="str">
        <f t="shared" ref="N11:N15" si="3">IF(L11&gt;K11,"Yes","No")</f>
        <v>Yes</v>
      </c>
    </row>
    <row r="12" spans="1:14" x14ac:dyDescent="0.3">
      <c r="J12" t="s">
        <v>69</v>
      </c>
      <c r="K12">
        <v>20</v>
      </c>
      <c r="L12">
        <f>SUM('Credit card'!$L$4)</f>
        <v>17.619999999999997</v>
      </c>
      <c r="M12">
        <f t="shared" si="2"/>
        <v>2.3800000000000026</v>
      </c>
      <c r="N12" t="str">
        <f t="shared" si="3"/>
        <v>No</v>
      </c>
    </row>
    <row r="13" spans="1:14" x14ac:dyDescent="0.3">
      <c r="J13" t="s">
        <v>70</v>
      </c>
      <c r="K13">
        <v>20</v>
      </c>
      <c r="L13">
        <f>SUM('Credit card'!L5)</f>
        <v>9.5</v>
      </c>
      <c r="M13">
        <f t="shared" si="2"/>
        <v>10.5</v>
      </c>
      <c r="N13" t="str">
        <f t="shared" si="3"/>
        <v>No</v>
      </c>
    </row>
    <row r="14" spans="1:14" x14ac:dyDescent="0.3">
      <c r="J14" t="s">
        <v>71</v>
      </c>
      <c r="K14">
        <v>20</v>
      </c>
      <c r="L14">
        <f>SUM('Credit card'!L6)</f>
        <v>0</v>
      </c>
      <c r="M14">
        <f t="shared" si="2"/>
        <v>20</v>
      </c>
      <c r="N14" t="str">
        <f t="shared" si="3"/>
        <v>No</v>
      </c>
    </row>
    <row r="15" spans="1:14" x14ac:dyDescent="0.3">
      <c r="J15" t="s">
        <v>72</v>
      </c>
      <c r="K15">
        <v>20</v>
      </c>
      <c r="L15">
        <f>SUM('Credit card'!L7)</f>
        <v>0</v>
      </c>
      <c r="M15">
        <f t="shared" si="2"/>
        <v>20</v>
      </c>
      <c r="N15" t="str">
        <f t="shared" si="3"/>
        <v>No</v>
      </c>
    </row>
    <row r="17" spans="10:14" x14ac:dyDescent="0.3">
      <c r="J17" s="4" t="s">
        <v>66</v>
      </c>
      <c r="K17" s="4" t="s">
        <v>206</v>
      </c>
      <c r="L17" s="4" t="s">
        <v>207</v>
      </c>
      <c r="M17" s="4" t="s">
        <v>204</v>
      </c>
      <c r="N17" s="4" t="s">
        <v>201</v>
      </c>
    </row>
    <row r="18" spans="10:14" x14ac:dyDescent="0.3">
      <c r="J18" t="s">
        <v>67</v>
      </c>
      <c r="K18">
        <v>75</v>
      </c>
      <c r="L18">
        <f>SUM('Credit card'!N2+'Debit Card'!L2)</f>
        <v>23.689999999999998</v>
      </c>
      <c r="M18">
        <f>K18-L18</f>
        <v>51.31</v>
      </c>
      <c r="N18" t="str">
        <f>IF(L18&gt;K18,"Yes","No")</f>
        <v>No</v>
      </c>
    </row>
    <row r="19" spans="10:14" x14ac:dyDescent="0.3">
      <c r="J19" t="s">
        <v>68</v>
      </c>
      <c r="K19">
        <v>75</v>
      </c>
      <c r="L19">
        <f>SUM('Credit card'!N3+'Debit Card'!L3)</f>
        <v>77.98</v>
      </c>
      <c r="M19">
        <f t="shared" ref="M19:M23" si="4">K19-L19</f>
        <v>-2.980000000000004</v>
      </c>
      <c r="N19" t="str">
        <f t="shared" ref="N19:N23" si="5">IF(L19&gt;K19,"Yes","No")</f>
        <v>Yes</v>
      </c>
    </row>
    <row r="20" spans="10:14" x14ac:dyDescent="0.3">
      <c r="J20" t="s">
        <v>69</v>
      </c>
      <c r="K20">
        <v>75</v>
      </c>
      <c r="L20">
        <f>SUM('Credit card'!N4+'Debit Card'!L4)</f>
        <v>107.1</v>
      </c>
      <c r="M20">
        <f t="shared" si="4"/>
        <v>-32.099999999999994</v>
      </c>
      <c r="N20" t="str">
        <f t="shared" si="5"/>
        <v>Yes</v>
      </c>
    </row>
    <row r="21" spans="10:14" x14ac:dyDescent="0.3">
      <c r="J21" t="s">
        <v>70</v>
      </c>
      <c r="K21">
        <v>75</v>
      </c>
      <c r="L21">
        <f>SUM('Credit card'!N5+'Debit Card'!L5)</f>
        <v>92.93</v>
      </c>
      <c r="M21">
        <f t="shared" si="4"/>
        <v>-17.930000000000007</v>
      </c>
      <c r="N21" t="str">
        <f t="shared" si="5"/>
        <v>Yes</v>
      </c>
    </row>
    <row r="22" spans="10:14" x14ac:dyDescent="0.3">
      <c r="J22" t="s">
        <v>71</v>
      </c>
      <c r="K22">
        <v>75</v>
      </c>
      <c r="L22">
        <f>SUM('Credit card'!N6+'Debit Card'!L6)</f>
        <v>183.47000000000003</v>
      </c>
      <c r="M22">
        <f t="shared" si="4"/>
        <v>-108.47000000000003</v>
      </c>
      <c r="N22" t="str">
        <f t="shared" si="5"/>
        <v>Yes</v>
      </c>
    </row>
    <row r="23" spans="10:14" x14ac:dyDescent="0.3">
      <c r="J23" t="s">
        <v>72</v>
      </c>
      <c r="K23">
        <v>75</v>
      </c>
      <c r="L23">
        <f>SUM('Credit card'!N7+'Debit Card'!L7)</f>
        <v>74.47999999999999</v>
      </c>
      <c r="M23">
        <f t="shared" si="4"/>
        <v>0.52000000000001023</v>
      </c>
      <c r="N23" t="str">
        <f t="shared" si="5"/>
        <v>No</v>
      </c>
    </row>
    <row r="25" spans="10:14" x14ac:dyDescent="0.3">
      <c r="J25" s="4" t="s">
        <v>66</v>
      </c>
      <c r="K25" s="4" t="s">
        <v>210</v>
      </c>
      <c r="L25" s="4" t="s">
        <v>211</v>
      </c>
      <c r="M25" s="4" t="s">
        <v>204</v>
      </c>
      <c r="N25" s="4" t="s">
        <v>201</v>
      </c>
    </row>
    <row r="26" spans="10:14" x14ac:dyDescent="0.3">
      <c r="J26" t="s">
        <v>67</v>
      </c>
      <c r="K26">
        <v>50</v>
      </c>
      <c r="L26">
        <f>SUM('Credit card'!K2+'Debit Card'!O2)</f>
        <v>74.400000000000006</v>
      </c>
      <c r="M26">
        <f>K26-L26</f>
        <v>-24.400000000000006</v>
      </c>
      <c r="N26" t="str">
        <f>IF(L26&gt;K26,"Yes","No")</f>
        <v>Yes</v>
      </c>
    </row>
    <row r="27" spans="10:14" x14ac:dyDescent="0.3">
      <c r="J27" t="s">
        <v>68</v>
      </c>
      <c r="K27">
        <v>50</v>
      </c>
      <c r="L27">
        <f>SUM('Credit card'!K3+'Debit Card'!O3)</f>
        <v>74.400000000000006</v>
      </c>
      <c r="M27">
        <f t="shared" ref="M27:M31" si="6">K27-L27</f>
        <v>-24.400000000000006</v>
      </c>
      <c r="N27" t="str">
        <f t="shared" ref="N27:N31" si="7">IF(L27&gt;K27,"Yes","No")</f>
        <v>Yes</v>
      </c>
    </row>
    <row r="28" spans="10:14" x14ac:dyDescent="0.3">
      <c r="J28" t="s">
        <v>69</v>
      </c>
      <c r="K28">
        <v>50</v>
      </c>
      <c r="L28">
        <f>SUM('Credit card'!K4+'Debit Card'!O4)</f>
        <v>74.400000000000006</v>
      </c>
      <c r="M28">
        <f t="shared" si="6"/>
        <v>-24.400000000000006</v>
      </c>
      <c r="N28" t="str">
        <f t="shared" si="7"/>
        <v>Yes</v>
      </c>
    </row>
    <row r="29" spans="10:14" x14ac:dyDescent="0.3">
      <c r="J29" t="s">
        <v>70</v>
      </c>
      <c r="K29">
        <v>50</v>
      </c>
      <c r="L29">
        <f>SUM('Credit card'!K5+'Debit Card'!O5)</f>
        <v>303.39999999999998</v>
      </c>
      <c r="M29">
        <f t="shared" si="6"/>
        <v>-253.39999999999998</v>
      </c>
      <c r="N29" t="str">
        <f t="shared" si="7"/>
        <v>Yes</v>
      </c>
    </row>
    <row r="30" spans="10:14" x14ac:dyDescent="0.3">
      <c r="J30" t="s">
        <v>71</v>
      </c>
      <c r="K30">
        <v>50</v>
      </c>
      <c r="L30">
        <f>SUM('Credit card'!K6+'Debit Card'!O6)</f>
        <v>46.519999999999996</v>
      </c>
      <c r="M30">
        <f t="shared" si="6"/>
        <v>3.480000000000004</v>
      </c>
      <c r="N30" t="str">
        <f t="shared" si="7"/>
        <v>No</v>
      </c>
    </row>
    <row r="31" spans="10:14" x14ac:dyDescent="0.3">
      <c r="J31" t="s">
        <v>72</v>
      </c>
      <c r="K31">
        <v>50</v>
      </c>
      <c r="L31">
        <f>SUM('Credit card'!K7+'Debit Card'!O7)</f>
        <v>46.519999999999996</v>
      </c>
      <c r="M31">
        <f t="shared" si="6"/>
        <v>3.480000000000004</v>
      </c>
      <c r="N31" t="str">
        <f t="shared" si="7"/>
        <v>No</v>
      </c>
    </row>
    <row r="33" spans="10:14" x14ac:dyDescent="0.3">
      <c r="J33" s="4" t="s">
        <v>66</v>
      </c>
      <c r="K33" s="4" t="s">
        <v>212</v>
      </c>
      <c r="L33" s="4" t="s">
        <v>213</v>
      </c>
      <c r="M33" s="4" t="s">
        <v>204</v>
      </c>
      <c r="N33" s="4" t="s">
        <v>201</v>
      </c>
    </row>
    <row r="34" spans="10:14" x14ac:dyDescent="0.3">
      <c r="J34" t="s">
        <v>67</v>
      </c>
      <c r="K34">
        <v>75</v>
      </c>
      <c r="L34">
        <f>SUM('Credit card'!M2)</f>
        <v>204.7</v>
      </c>
      <c r="M34">
        <f>K34-L34</f>
        <v>-129.69999999999999</v>
      </c>
      <c r="N34" t="str">
        <f>IF(L34&gt;K34,"Yes","No")</f>
        <v>Yes</v>
      </c>
    </row>
    <row r="35" spans="10:14" x14ac:dyDescent="0.3">
      <c r="J35" t="s">
        <v>68</v>
      </c>
      <c r="K35">
        <v>75</v>
      </c>
      <c r="L35">
        <f>SUM('Credit card'!M3)</f>
        <v>42.9</v>
      </c>
      <c r="M35">
        <f t="shared" ref="M35:M39" si="8">K35-L35</f>
        <v>32.1</v>
      </c>
      <c r="N35" t="str">
        <f t="shared" ref="N35:N39" si="9">IF(L35&gt;K35,"Yes","No")</f>
        <v>No</v>
      </c>
    </row>
    <row r="36" spans="10:14" x14ac:dyDescent="0.3">
      <c r="J36" t="s">
        <v>69</v>
      </c>
      <c r="K36">
        <v>75</v>
      </c>
      <c r="L36">
        <f>SUM('Credit card'!M4)</f>
        <v>48.54</v>
      </c>
      <c r="M36">
        <f t="shared" si="8"/>
        <v>26.46</v>
      </c>
      <c r="N36" t="str">
        <f t="shared" si="9"/>
        <v>No</v>
      </c>
    </row>
    <row r="37" spans="10:14" x14ac:dyDescent="0.3">
      <c r="J37" t="s">
        <v>70</v>
      </c>
      <c r="K37">
        <v>75</v>
      </c>
      <c r="L37">
        <f>SUM('Credit card'!M5)</f>
        <v>49.34</v>
      </c>
      <c r="M37">
        <f t="shared" si="8"/>
        <v>25.659999999999997</v>
      </c>
      <c r="N37" t="str">
        <f t="shared" si="9"/>
        <v>No</v>
      </c>
    </row>
    <row r="38" spans="10:14" x14ac:dyDescent="0.3">
      <c r="J38" t="s">
        <v>71</v>
      </c>
      <c r="K38">
        <v>75</v>
      </c>
      <c r="L38">
        <f>SUM('Credit card'!M6)</f>
        <v>76.259999999999991</v>
      </c>
      <c r="M38">
        <f t="shared" si="8"/>
        <v>-1.2599999999999909</v>
      </c>
      <c r="N38" t="str">
        <f t="shared" si="9"/>
        <v>Yes</v>
      </c>
    </row>
    <row r="39" spans="10:14" x14ac:dyDescent="0.3">
      <c r="J39" t="s">
        <v>72</v>
      </c>
      <c r="K39">
        <v>75</v>
      </c>
      <c r="L39">
        <f>SUM('Credit card'!M7)</f>
        <v>65.39</v>
      </c>
      <c r="M39">
        <f t="shared" si="8"/>
        <v>9.61</v>
      </c>
      <c r="N39" t="str">
        <f t="shared" si="9"/>
        <v>No</v>
      </c>
    </row>
    <row r="41" spans="10:14" x14ac:dyDescent="0.3">
      <c r="J41" s="4" t="s">
        <v>66</v>
      </c>
      <c r="K41" s="4" t="s">
        <v>214</v>
      </c>
      <c r="L41" s="4" t="s">
        <v>215</v>
      </c>
      <c r="M41" s="4" t="s">
        <v>204</v>
      </c>
      <c r="N41" s="4" t="s">
        <v>201</v>
      </c>
    </row>
    <row r="42" spans="10:14" x14ac:dyDescent="0.3">
      <c r="J42" t="s">
        <v>67</v>
      </c>
      <c r="K42">
        <v>150</v>
      </c>
      <c r="L42">
        <f>SUM('Credit card'!P2+'Debit Card'!N2)</f>
        <v>0</v>
      </c>
      <c r="M42">
        <f>K42-L42</f>
        <v>150</v>
      </c>
      <c r="N42" t="str">
        <f>IF(L42&gt;K42,"Yes","No")</f>
        <v>No</v>
      </c>
    </row>
    <row r="43" spans="10:14" x14ac:dyDescent="0.3">
      <c r="J43" t="s">
        <v>68</v>
      </c>
      <c r="K43">
        <v>150</v>
      </c>
      <c r="L43">
        <f>SUM('Credit card'!P3+'Debit Card'!N3)</f>
        <v>258.68</v>
      </c>
      <c r="M43">
        <f t="shared" ref="M43:M47" si="10">K43-L43</f>
        <v>-108.68</v>
      </c>
      <c r="N43" t="str">
        <f t="shared" ref="N43:N47" si="11">IF(L43&gt;K43,"Yes","No")</f>
        <v>Yes</v>
      </c>
    </row>
    <row r="44" spans="10:14" x14ac:dyDescent="0.3">
      <c r="J44" t="s">
        <v>69</v>
      </c>
      <c r="K44">
        <v>150</v>
      </c>
      <c r="L44">
        <f>SUM('Credit card'!P4+'Debit Card'!N4)</f>
        <v>222.51</v>
      </c>
      <c r="M44">
        <f t="shared" si="10"/>
        <v>-72.509999999999991</v>
      </c>
      <c r="N44" t="str">
        <f t="shared" si="11"/>
        <v>Yes</v>
      </c>
    </row>
    <row r="45" spans="10:14" x14ac:dyDescent="0.3">
      <c r="J45" t="s">
        <v>70</v>
      </c>
      <c r="K45">
        <v>150</v>
      </c>
      <c r="L45">
        <f>SUM('Credit card'!P5+'Debit Card'!N5)</f>
        <v>116.31</v>
      </c>
      <c r="M45">
        <f t="shared" si="10"/>
        <v>33.69</v>
      </c>
      <c r="N45" t="str">
        <f t="shared" si="11"/>
        <v>No</v>
      </c>
    </row>
    <row r="46" spans="10:14" x14ac:dyDescent="0.3">
      <c r="J46" t="s">
        <v>71</v>
      </c>
      <c r="K46">
        <v>150</v>
      </c>
      <c r="L46">
        <f>SUM('Credit card'!P6+'Debit Card'!N6)</f>
        <v>200.97000000000003</v>
      </c>
      <c r="M46">
        <f t="shared" si="10"/>
        <v>-50.970000000000027</v>
      </c>
      <c r="N46" t="str">
        <f t="shared" si="11"/>
        <v>Yes</v>
      </c>
    </row>
    <row r="47" spans="10:14" x14ac:dyDescent="0.3">
      <c r="J47" t="s">
        <v>72</v>
      </c>
      <c r="K47">
        <v>150</v>
      </c>
      <c r="L47">
        <f>SUM('Credit card'!P7+'Debit Card'!N7)</f>
        <v>266.63</v>
      </c>
      <c r="M47">
        <f t="shared" si="10"/>
        <v>-116.63</v>
      </c>
      <c r="N47" t="str">
        <f t="shared" si="11"/>
        <v>Yes</v>
      </c>
    </row>
    <row r="49" spans="10:14" x14ac:dyDescent="0.3">
      <c r="J49" s="4" t="s">
        <v>66</v>
      </c>
      <c r="K49" s="4" t="s">
        <v>216</v>
      </c>
      <c r="L49" s="4" t="s">
        <v>217</v>
      </c>
      <c r="M49" s="4" t="s">
        <v>204</v>
      </c>
      <c r="N49" s="4" t="s">
        <v>201</v>
      </c>
    </row>
    <row r="50" spans="10:14" x14ac:dyDescent="0.3">
      <c r="J50" t="s">
        <v>67</v>
      </c>
      <c r="K50">
        <v>19</v>
      </c>
      <c r="L50">
        <f>SUM('Credit card'!O2)</f>
        <v>0</v>
      </c>
      <c r="M50">
        <f>K50-L50</f>
        <v>19</v>
      </c>
      <c r="N50" t="str">
        <f>IF(L50&gt;K50,"Yes","No")</f>
        <v>No</v>
      </c>
    </row>
    <row r="51" spans="10:14" x14ac:dyDescent="0.3">
      <c r="J51" t="s">
        <v>68</v>
      </c>
      <c r="K51">
        <v>19</v>
      </c>
      <c r="L51">
        <f>SUM('Credit card'!O3)</f>
        <v>18.920000000000002</v>
      </c>
      <c r="M51">
        <f t="shared" ref="M51:M55" si="12">K51-L51</f>
        <v>7.9999999999998295E-2</v>
      </c>
      <c r="N51" t="str">
        <f t="shared" ref="N51:N55" si="13">IF(L51&gt;K51,"Yes","No")</f>
        <v>No</v>
      </c>
    </row>
    <row r="52" spans="10:14" x14ac:dyDescent="0.3">
      <c r="J52" t="s">
        <v>69</v>
      </c>
      <c r="K52">
        <v>19</v>
      </c>
      <c r="L52">
        <f>SUM('Credit card'!O4)</f>
        <v>18.920000000000002</v>
      </c>
      <c r="M52">
        <f t="shared" si="12"/>
        <v>7.9999999999998295E-2</v>
      </c>
      <c r="N52" t="str">
        <f t="shared" si="13"/>
        <v>No</v>
      </c>
    </row>
    <row r="53" spans="10:14" x14ac:dyDescent="0.3">
      <c r="J53" t="s">
        <v>70</v>
      </c>
      <c r="K53">
        <v>19</v>
      </c>
      <c r="L53">
        <f>SUM('Credit card'!O5)</f>
        <v>18.920000000000002</v>
      </c>
      <c r="M53">
        <f t="shared" si="12"/>
        <v>7.9999999999998295E-2</v>
      </c>
      <c r="N53" t="str">
        <f t="shared" si="13"/>
        <v>No</v>
      </c>
    </row>
    <row r="54" spans="10:14" x14ac:dyDescent="0.3">
      <c r="J54" t="s">
        <v>71</v>
      </c>
      <c r="K54">
        <v>19</v>
      </c>
      <c r="L54">
        <f>SUM('Credit card'!O6)</f>
        <v>18.920000000000002</v>
      </c>
      <c r="M54">
        <f t="shared" si="12"/>
        <v>7.9999999999998295E-2</v>
      </c>
      <c r="N54" t="str">
        <f t="shared" si="13"/>
        <v>No</v>
      </c>
    </row>
    <row r="55" spans="10:14" x14ac:dyDescent="0.3">
      <c r="J55" t="s">
        <v>72</v>
      </c>
      <c r="K55">
        <v>19</v>
      </c>
      <c r="L55">
        <f>SUM('Credit card'!O7)</f>
        <v>18.920000000000002</v>
      </c>
      <c r="M55">
        <f t="shared" si="12"/>
        <v>7.9999999999998295E-2</v>
      </c>
      <c r="N55" t="str">
        <f t="shared" si="13"/>
        <v>No</v>
      </c>
    </row>
    <row r="57" spans="10:14" x14ac:dyDescent="0.3">
      <c r="J57" s="4" t="s">
        <v>66</v>
      </c>
      <c r="K57" s="4" t="s">
        <v>218</v>
      </c>
      <c r="L57" s="4" t="s">
        <v>219</v>
      </c>
      <c r="M57" s="4" t="s">
        <v>204</v>
      </c>
      <c r="N57" s="4" t="s">
        <v>201</v>
      </c>
    </row>
    <row r="58" spans="10:14" x14ac:dyDescent="0.3">
      <c r="J58" t="s">
        <v>67</v>
      </c>
      <c r="K58">
        <v>100</v>
      </c>
      <c r="L58">
        <f>SUM('Credit card'!R2+'Debit Card'!Q2)</f>
        <v>24.32</v>
      </c>
      <c r="M58">
        <f>K58-L58</f>
        <v>75.680000000000007</v>
      </c>
      <c r="N58" t="str">
        <f>IF(L58&gt;K58,"Yes","No")</f>
        <v>No</v>
      </c>
    </row>
    <row r="59" spans="10:14" x14ac:dyDescent="0.3">
      <c r="J59" t="s">
        <v>68</v>
      </c>
      <c r="K59">
        <v>100</v>
      </c>
      <c r="L59">
        <f>SUM('Credit card'!R3+'Debit Card'!Q3)</f>
        <v>0</v>
      </c>
      <c r="M59">
        <f t="shared" ref="M59:M63" si="14">K59-L59</f>
        <v>100</v>
      </c>
      <c r="N59" t="str">
        <f t="shared" ref="N59:N63" si="15">IF(L59&gt;K59,"Yes","No")</f>
        <v>No</v>
      </c>
    </row>
    <row r="60" spans="10:14" x14ac:dyDescent="0.3">
      <c r="J60" t="s">
        <v>69</v>
      </c>
      <c r="K60">
        <v>100</v>
      </c>
      <c r="L60">
        <f>SUM('Credit card'!R4+'Debit Card'!Q4)</f>
        <v>57.83</v>
      </c>
      <c r="M60">
        <f t="shared" si="14"/>
        <v>42.17</v>
      </c>
      <c r="N60" t="str">
        <f t="shared" si="15"/>
        <v>No</v>
      </c>
    </row>
    <row r="61" spans="10:14" x14ac:dyDescent="0.3">
      <c r="J61" t="s">
        <v>70</v>
      </c>
      <c r="K61">
        <v>100</v>
      </c>
      <c r="L61">
        <f>SUM('Credit card'!R5+'Debit Card'!Q5)</f>
        <v>45.39</v>
      </c>
      <c r="M61">
        <f t="shared" si="14"/>
        <v>54.61</v>
      </c>
      <c r="N61" t="str">
        <f t="shared" si="15"/>
        <v>No</v>
      </c>
    </row>
    <row r="62" spans="10:14" x14ac:dyDescent="0.3">
      <c r="J62" t="s">
        <v>71</v>
      </c>
      <c r="K62">
        <v>100</v>
      </c>
      <c r="L62">
        <f>SUM('Credit card'!R6+'Debit Card'!Q6)</f>
        <v>42.599999999999994</v>
      </c>
      <c r="M62">
        <f t="shared" si="14"/>
        <v>57.400000000000006</v>
      </c>
      <c r="N62" t="str">
        <f t="shared" si="15"/>
        <v>No</v>
      </c>
    </row>
    <row r="63" spans="10:14" x14ac:dyDescent="0.3">
      <c r="J63" t="s">
        <v>72</v>
      </c>
      <c r="K63">
        <v>100</v>
      </c>
      <c r="L63">
        <f>SUM('Credit card'!R7+'Debit Card'!Q7)</f>
        <v>184.66999999999996</v>
      </c>
      <c r="M63">
        <f t="shared" si="14"/>
        <v>-84.669999999999959</v>
      </c>
      <c r="N63" t="str">
        <f t="shared" si="15"/>
        <v>Yes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 card</vt:lpstr>
      <vt:lpstr>Debit Card</vt:lpstr>
      <vt:lpstr>Splitwise</vt:lpstr>
      <vt:lpstr>Insights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Himali Patel</dc:creator>
  <cp:lastModifiedBy>Himali Patel</cp:lastModifiedBy>
  <dcterms:created xsi:type="dcterms:W3CDTF">2025-04-26T18:45:53Z</dcterms:created>
  <dcterms:modified xsi:type="dcterms:W3CDTF">2025-06-02T14:43:47Z</dcterms:modified>
</cp:coreProperties>
</file>