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6.png" ContentType="image/png"/>
  <Override PartName="/xl/media/image15.png" ContentType="image/png"/>
  <Override PartName="/xl/media/image14.png" ContentType="image/png"/>
  <Override PartName="/xl/media/image13.png" ContentType="image/png"/>
  <Override PartName="/xl/media/image12.png" ContentType="image/png"/>
  <Override PartName="/xl/media/image11.png" ContentType="image/png"/>
  <Override PartName="/xl/media/image4.png" ContentType="image/png"/>
  <Override PartName="/xl/media/image3.png" ContentType="image/png"/>
  <Override PartName="/xl/media/image2.png" ContentType="image/png"/>
  <Override PartName="/xl/media/image1.png" ContentType="image/png"/>
  <Override PartName="/xl/media/image5.png" ContentType="image/png"/>
  <Override PartName="/xl/media/image6.png" ContentType="image/png"/>
  <Override PartName="/xl/media/image7.png" ContentType="image/png"/>
  <Override PartName="/xl/media/image8.png" ContentType="image/png"/>
  <Override PartName="/xl/media/image10.png" ContentType="image/png"/>
  <Override PartName="/xl/media/image9.png" ContentType="image/png"/>
  <Override PartName="/xl/comments4.xml" ContentType="application/vnd.openxmlformats-officedocument.spreadsheetml.comments+xml"/>
  <Override PartName="/xl/drawings/drawing5.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6.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7.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1" activeTab="2"/>
  </bookViews>
  <sheets>
    <sheet name="Query" sheetId="1" state="hidden" r:id="rId2"/>
    <sheet name="Q" sheetId="2" state="visible" r:id="rId3"/>
    <sheet name="ELIGIBILTY " sheetId="3" state="visible" r:id="rId4"/>
    <sheet name="RATIO " sheetId="4" state="visible" r:id="rId5"/>
    <sheet name="RTR" sheetId="5" state="visible" r:id="rId6"/>
    <sheet name="BANKING" sheetId="6" state="visible" r:id="rId7"/>
    <sheet name="MCA" sheetId="7" state="hidden" r:id="rId8"/>
    <sheet name="ST VERIFICATION" sheetId="8" state="visible" r:id="rId9"/>
    <sheet name="CA VERIFICATION" sheetId="9" state="visible" r:id="rId10"/>
    <sheet name="PAN VERIFICATION" sheetId="10" state="visible" r:id="rId11"/>
    <sheet name="Cibil Detail" sheetId="11" state="hidden" r:id="rId12"/>
    <sheet name="Google search" sheetId="12" state="visible" r:id="rId13"/>
    <sheet name="Form 26AS" sheetId="13" state="visible" r:id="rId14"/>
    <sheet name="Vat return" sheetId="14" state="visible" r:id="rId15"/>
    <sheet name="Sheet1" sheetId="15" state="visible" r:id="rId16"/>
    <sheet name="Tin Search" sheetId="16" state="visible" r:id="rId17"/>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s>
  <commentList>
    <comment ref="B31" authorId="0">
      <text>
        <r>
          <rPr>
            <sz val="10"/>
            <rFont val="Arial"/>
            <family val="2"/>
            <charset val="1"/>
          </rPr>
          <t xml:space="preserve">115812:
Share Capital+Reserves-Accumulated losses-Misc Expenses+Unsecured loans from Partners/Directors or their family members-Loans and advances to directors/partners-investments made in subsidiary companies</t>
        </r>
      </text>
    </comment>
    <comment ref="B63" authorId="0">
      <text>
        <r>
          <rPr>
            <sz val="10"/>
            <rFont val="Arial"/>
            <family val="2"/>
            <charset val="1"/>
          </rPr>
          <t xml:space="preserve">115812:
Cost of goods sold is raw material+manufacturing expenses+labour cost</t>
        </r>
      </text>
    </comment>
    <comment ref="B66" authorId="0">
      <text>
        <r>
          <rPr>
            <sz val="10"/>
            <rFont val="Arial"/>
            <family val="2"/>
            <charset val="1"/>
          </rPr>
          <t xml:space="preserve">115812:
Working capital limits+Terms loans+unsecured loans from other/net worth</t>
        </r>
      </text>
    </comment>
    <comment ref="B68" authorId="0">
      <text>
        <r>
          <rPr>
            <sz val="10"/>
            <rFont val="Arial"/>
            <family val="2"/>
            <charset val="1"/>
          </rPr>
          <t xml:space="preserve">115812:
Debt repayments consist of unsecured loans+long term debt. Repayment period is 5 years</t>
        </r>
      </text>
    </comment>
    <comment ref="B69" authorId="0">
      <text>
        <r>
          <rPr>
            <sz val="10"/>
            <rFont val="Arial"/>
            <family val="2"/>
            <charset val="1"/>
          </rPr>
          <t xml:space="preserve">115812:
Debt repayments consist of unsecured loans+long term debt. Repayment period is 5 years. Annual repayments to be added on the proposed home loan. This ratio is to be included only where the company is the owner of the property and the loan is to the company.</t>
        </r>
      </text>
    </comment>
    <comment ref="D31" authorId="0">
      <text>
        <r>
          <rPr>
            <sz val="10"/>
            <rFont val="Arial"/>
            <family val="2"/>
            <charset val="1"/>
          </rPr>
          <t xml:space="preserve">115812:
Share Capital+Reserves-Accumulated losses-Misc Expenses+Unsecured loans from Partners/Directors or their family members-Loans and advances to directors/partners-investments made in subsidiary companies</t>
        </r>
      </text>
    </comment>
    <comment ref="D63" authorId="0">
      <text>
        <r>
          <rPr>
            <sz val="10"/>
            <rFont val="Arial"/>
            <family val="2"/>
            <charset val="1"/>
          </rPr>
          <t xml:space="preserve">115812:
Cost of goods sold is raw material+manufacturing expenses+labour cost</t>
        </r>
      </text>
    </comment>
    <comment ref="D66" authorId="0">
      <text>
        <r>
          <rPr>
            <sz val="10"/>
            <rFont val="Arial"/>
            <family val="2"/>
            <charset val="1"/>
          </rPr>
          <t xml:space="preserve">115812:
Working capital limits+Terms loans+unsecured loans from other/net worth</t>
        </r>
      </text>
    </comment>
    <comment ref="D68" authorId="0">
      <text>
        <r>
          <rPr>
            <sz val="10"/>
            <rFont val="Arial"/>
            <family val="2"/>
            <charset val="1"/>
          </rPr>
          <t xml:space="preserve">115812:
Debt repayments consist of unsecured loans+long term debt. Repayment period is 5 years</t>
        </r>
      </text>
    </comment>
    <comment ref="D69" authorId="0">
      <text>
        <r>
          <rPr>
            <sz val="10"/>
            <rFont val="Arial"/>
            <family val="2"/>
            <charset val="1"/>
          </rPr>
          <t xml:space="preserve">115812:
Debt repayments consist of unsecured loans+long term debt. Repayment period is 5 years. Annual repayments to be added on the proposed home loan. This ratio is to be included only where the company is the owner of the property and the loan is to the company.</t>
        </r>
      </text>
    </comment>
  </commentList>
</comments>
</file>

<file path=xl/sharedStrings.xml><?xml version="1.0" encoding="utf-8"?>
<sst xmlns="http://schemas.openxmlformats.org/spreadsheetml/2006/main" count="500" uniqueCount="255">
  <si>
    <t xml:space="preserve">S. No</t>
  </si>
  <si>
    <t xml:space="preserve">Query in Files</t>
  </si>
  <si>
    <t xml:space="preserve">•</t>
  </si>
  <si>
    <t xml:space="preserve">SR NO</t>
  </si>
  <si>
    <t xml:space="preserve">QUERY</t>
  </si>
  <si>
    <t xml:space="preserve">Particular </t>
  </si>
  <si>
    <t xml:space="preserve">FY (2015-16)</t>
  </si>
  <si>
    <t xml:space="preserve">FY (2014-15)</t>
  </si>
  <si>
    <t xml:space="preserve">M/s Group 2 Care Services</t>
  </si>
  <si>
    <t xml:space="preserve">30/09/2015</t>
  </si>
  <si>
    <t xml:space="preserve">Turnover </t>
  </si>
  <si>
    <t xml:space="preserve">Average turnover</t>
  </si>
  <si>
    <t xml:space="preserve">Industry Margin </t>
  </si>
  <si>
    <t xml:space="preserve">Profit Margin</t>
  </si>
  <si>
    <t xml:space="preserve">Less :(OD Interest -P&amp; L a/c) </t>
  </si>
  <si>
    <t xml:space="preserve">PBT</t>
  </si>
  <si>
    <t xml:space="preserve">Less Tax</t>
  </si>
  <si>
    <t xml:space="preserve">NPAT</t>
  </si>
  <si>
    <t xml:space="preserve">Monthly Income </t>
  </si>
  <si>
    <t xml:space="preserve">Total Income</t>
  </si>
  <si>
    <t xml:space="preserve">IIR</t>
  </si>
  <si>
    <t xml:space="preserve">Available income as per IIR</t>
  </si>
  <si>
    <t xml:space="preserve">Less: Fixed Obligation </t>
  </si>
  <si>
    <t xml:space="preserve">Income Available to Services DHFL EMI</t>
  </si>
  <si>
    <t xml:space="preserve">Tenure</t>
  </si>
  <si>
    <t xml:space="preserve">ROI</t>
  </si>
  <si>
    <t xml:space="preserve">Emi Per Lacs</t>
  </si>
  <si>
    <t xml:space="preserve">Loan Eligible (In lacs)</t>
  </si>
  <si>
    <t xml:space="preserve">Loan recommended</t>
  </si>
  <si>
    <t xml:space="preserve">EMI on proposed Loan</t>
  </si>
  <si>
    <t xml:space="preserve">Actual IIR</t>
  </si>
  <si>
    <t xml:space="preserve">MS GROUP 2 CARE SERVICES</t>
  </si>
  <si>
    <t xml:space="preserve">Profit &amp; Loss Account</t>
  </si>
  <si>
    <t xml:space="preserve">31.03.15 (In Lacs)</t>
  </si>
  <si>
    <t xml:space="preserve">Growth %</t>
  </si>
  <si>
    <t xml:space="preserve">31.03.14 (In Lacs)</t>
  </si>
  <si>
    <t xml:space="preserve">Net Sale</t>
  </si>
  <si>
    <t xml:space="preserve">Other Income (incidental to Business Income)</t>
  </si>
  <si>
    <t xml:space="preserve">Other Income (Non Business income - Interest Income)</t>
  </si>
  <si>
    <t xml:space="preserve">Raw Material Cost (Operating Expenses)</t>
  </si>
  <si>
    <t xml:space="preserve">Direct manufacturing expenses</t>
  </si>
  <si>
    <t xml:space="preserve"> </t>
  </si>
  <si>
    <t xml:space="preserve">Operating Expenses</t>
  </si>
  <si>
    <t xml:space="preserve">Wages</t>
  </si>
  <si>
    <t xml:space="preserve">Gross Profit</t>
  </si>
  <si>
    <t xml:space="preserve">Administrative Expenses</t>
  </si>
  <si>
    <t xml:space="preserve">Selling &amp; Distribution Expenses</t>
  </si>
  <si>
    <t xml:space="preserve">PBDIT</t>
  </si>
  <si>
    <t xml:space="preserve">Depreciation</t>
  </si>
  <si>
    <t xml:space="preserve">Interest </t>
  </si>
  <si>
    <t xml:space="preserve">Non cash expenses written off</t>
  </si>
  <si>
    <t xml:space="preserve">Profit Before Tax</t>
  </si>
  <si>
    <t xml:space="preserve">Tax </t>
  </si>
  <si>
    <t xml:space="preserve">PAT</t>
  </si>
  <si>
    <t xml:space="preserve">Cash Profits</t>
  </si>
  <si>
    <t xml:space="preserve">Salary to Partner/Director</t>
  </si>
  <si>
    <t xml:space="preserve">Interest Expenses paid to partners/director</t>
  </si>
  <si>
    <t xml:space="preserve">Actual Cash Profit</t>
  </si>
  <si>
    <t xml:space="preserve">Balance Sheet </t>
  </si>
  <si>
    <t xml:space="preserve">Share Capital </t>
  </si>
  <si>
    <t xml:space="preserve">Reserves &amp; Surplus(excluding revaluation reserve)</t>
  </si>
  <si>
    <t xml:space="preserve">Total Networth</t>
  </si>
  <si>
    <t xml:space="preserve">Revaluation Reserve</t>
  </si>
  <si>
    <t xml:space="preserve">Adjusted Networth</t>
  </si>
  <si>
    <t xml:space="preserve">Long Term Loans from Banks/FI </t>
  </si>
  <si>
    <t xml:space="preserve">Working Capital Limits from Banks/FI's</t>
  </si>
  <si>
    <t xml:space="preserve">Total Borrowings from banks/FI/NBFC's</t>
  </si>
  <si>
    <t xml:space="preserve">Unsecured loans  (others)</t>
  </si>
  <si>
    <t xml:space="preserve">Unsecured loans from partners/shareholders</t>
  </si>
  <si>
    <t xml:space="preserve">Current Liabilities &amp; Provisions</t>
  </si>
  <si>
    <t xml:space="preserve">Creditors and Others Payable</t>
  </si>
  <si>
    <t xml:space="preserve">Deferred tax Liability</t>
  </si>
  <si>
    <t xml:space="preserve">Total Liabilities to outsiders</t>
  </si>
  <si>
    <t xml:space="preserve">Balance Sheet Total</t>
  </si>
  <si>
    <t xml:space="preserve">Fixed Assets less depreciation</t>
  </si>
  <si>
    <t xml:space="preserve">Investments</t>
  </si>
  <si>
    <t xml:space="preserve">Liquid/Marketable Investments</t>
  </si>
  <si>
    <t xml:space="preserve">Group Co. Investments</t>
  </si>
  <si>
    <t xml:space="preserve">Unquoted/Dead Investments</t>
  </si>
  <si>
    <t xml:space="preserve">Current Assets:</t>
  </si>
  <si>
    <t xml:space="preserve">Deferred Tax Asset</t>
  </si>
  <si>
    <t xml:space="preserve">Inventories</t>
  </si>
  <si>
    <t xml:space="preserve">Receivables / Debtors</t>
  </si>
  <si>
    <t xml:space="preserve"> Debtors &gt; 6 months</t>
  </si>
  <si>
    <t xml:space="preserve"> Debtors &lt; 6 months</t>
  </si>
  <si>
    <t xml:space="preserve">Cash and Bank</t>
  </si>
  <si>
    <t xml:space="preserve">Loans &amp; Advances</t>
  </si>
  <si>
    <t xml:space="preserve">Loans &amp; Advances given to directors/partners and Group companies etc</t>
  </si>
  <si>
    <t xml:space="preserve">Loans and Advances given to others</t>
  </si>
  <si>
    <t xml:space="preserve">Misc assets</t>
  </si>
  <si>
    <t xml:space="preserve">Ratios</t>
  </si>
  <si>
    <t xml:space="preserve">Average Collection Period</t>
  </si>
  <si>
    <t xml:space="preserve">Average Days in Inventory</t>
  </si>
  <si>
    <t xml:space="preserve">Inventory to Cost of Goods Sold</t>
  </si>
  <si>
    <t xml:space="preserve">Current Ratio</t>
  </si>
  <si>
    <t xml:space="preserve">Liquidity Ratio</t>
  </si>
  <si>
    <t xml:space="preserve">Debt Equity Ratio</t>
  </si>
  <si>
    <t xml:space="preserve">Interest Coverage Ratio</t>
  </si>
  <si>
    <t xml:space="preserve">DSCR</t>
  </si>
  <si>
    <t xml:space="preserve">DSCR after the proposed Loan</t>
  </si>
  <si>
    <t xml:space="preserve">Gross Profit Margin Ratio</t>
  </si>
  <si>
    <t xml:space="preserve">Net Profit Margin Ratio</t>
  </si>
  <si>
    <t xml:space="preserve">Cash Profit Ratio</t>
  </si>
  <si>
    <t xml:space="preserve">Growth in Sales</t>
  </si>
  <si>
    <t xml:space="preserve">Growth in Net Profits</t>
  </si>
  <si>
    <t xml:space="preserve">Inventory Turnover</t>
  </si>
  <si>
    <t xml:space="preserve">31.03.13 (In Lacs)</t>
  </si>
  <si>
    <t xml:space="preserve">Net Sales </t>
  </si>
  <si>
    <t xml:space="preserve">Total</t>
  </si>
  <si>
    <t xml:space="preserve">Profit After Tax</t>
  </si>
  <si>
    <t xml:space="preserve">Adjusted Net worth </t>
  </si>
  <si>
    <t xml:space="preserve">Unsecured Loan (others)</t>
  </si>
  <si>
    <t xml:space="preserve">Current Liability</t>
  </si>
  <si>
    <t xml:space="preserve">Total Liability</t>
  </si>
  <si>
    <t xml:space="preserve">Fixed assets</t>
  </si>
  <si>
    <t xml:space="preserve">Investment</t>
  </si>
  <si>
    <t xml:space="preserve">Current Assets, Loans &amp; Advances</t>
  </si>
  <si>
    <t xml:space="preserve">Debtors</t>
  </si>
  <si>
    <t xml:space="preserve">other Current assets and loans and advances</t>
  </si>
  <si>
    <t xml:space="preserve">Total Assets</t>
  </si>
  <si>
    <t xml:space="preserve"> Current Ratio </t>
  </si>
  <si>
    <t xml:space="preserve"> Liquidity Ratio </t>
  </si>
  <si>
    <t xml:space="preserve"> Debt Equity Ratio </t>
  </si>
  <si>
    <t xml:space="preserve">Interest coverage ratio</t>
  </si>
  <si>
    <t xml:space="preserve">10.150.1.192</t>
  </si>
  <si>
    <t xml:space="preserve">Financer Name</t>
  </si>
  <si>
    <t xml:space="preserve">BAJAJ</t>
  </si>
  <si>
    <t xml:space="preserve">IIFL</t>
  </si>
  <si>
    <t xml:space="preserve">TATA CAPITAL</t>
  </si>
  <si>
    <t xml:space="preserve">KOTAK</t>
  </si>
  <si>
    <t xml:space="preserve">DEUTSCHE BANK</t>
  </si>
  <si>
    <t xml:space="preserve">RELIGARE</t>
  </si>
  <si>
    <t xml:space="preserve">EDELWEISS</t>
  </si>
  <si>
    <t xml:space="preserve">CAPITAL FIRST</t>
  </si>
  <si>
    <t xml:space="preserve">Loan Type</t>
  </si>
  <si>
    <t xml:space="preserve">BL</t>
  </si>
  <si>
    <t xml:space="preserve">LAP</t>
  </si>
  <si>
    <t xml:space="preserve">AL</t>
  </si>
  <si>
    <t xml:space="preserve">Sanctioned date </t>
  </si>
  <si>
    <t xml:space="preserve">28/02/2014</t>
  </si>
  <si>
    <t xml:space="preserve">Amount</t>
  </si>
  <si>
    <t xml:space="preserve">24.50 LAC</t>
  </si>
  <si>
    <t xml:space="preserve">414.88 LAC</t>
  </si>
  <si>
    <t xml:space="preserve">34.20 LAC</t>
  </si>
  <si>
    <t xml:space="preserve">8.88 LAC</t>
  </si>
  <si>
    <t xml:space="preserve">50 LAC</t>
  </si>
  <si>
    <t xml:space="preserve">20.50 LAC</t>
  </si>
  <si>
    <t xml:space="preserve">18.50 LAC</t>
  </si>
  <si>
    <t xml:space="preserve">30.24 LAC</t>
  </si>
  <si>
    <t xml:space="preserve">25 LAC</t>
  </si>
  <si>
    <t xml:space="preserve">30 LAC</t>
  </si>
  <si>
    <t xml:space="preserve">Bal Tenure</t>
  </si>
  <si>
    <t xml:space="preserve">Name</t>
  </si>
  <si>
    <t xml:space="preserve">Group 2 Care Services</t>
  </si>
  <si>
    <t xml:space="preserve">ABHIJEET KAUR</t>
  </si>
  <si>
    <t xml:space="preserve">Repayment Bank name and A/c no</t>
  </si>
  <si>
    <t xml:space="preserve">HDFC BANK A/C NO. 6622</t>
  </si>
  <si>
    <t xml:space="preserve">Running EMI</t>
  </si>
  <si>
    <t xml:space="preserve">Running/Closed</t>
  </si>
  <si>
    <t xml:space="preserve">RUNNING</t>
  </si>
  <si>
    <t xml:space="preserve">CLOSED</t>
  </si>
  <si>
    <t xml:space="preserve">EMI taken in to obligation</t>
  </si>
  <si>
    <t xml:space="preserve">Yes</t>
  </si>
  <si>
    <t xml:space="preserve">NO</t>
  </si>
  <si>
    <t xml:space="preserve">YES</t>
  </si>
  <si>
    <t xml:space="preserve">Remarks</t>
  </si>
  <si>
    <t xml:space="preserve">To be Balance Transferred</t>
  </si>
  <si>
    <t xml:space="preserve">10 months left</t>
  </si>
  <si>
    <t xml:space="preserve">8 EMI Emi left</t>
  </si>
  <si>
    <t xml:space="preserve">Closed</t>
  </si>
  <si>
    <t xml:space="preserve">7 EMI Emi left</t>
  </si>
  <si>
    <t xml:space="preserve">7/180275</t>
  </si>
  <si>
    <t xml:space="preserve">6/233847</t>
  </si>
  <si>
    <t xml:space="preserve">5/180275</t>
  </si>
  <si>
    <t xml:space="preserve">5/180082</t>
  </si>
  <si>
    <t xml:space="preserve">Start</t>
  </si>
  <si>
    <t xml:space="preserve">TOTAL OBLIGATION</t>
  </si>
  <si>
    <t xml:space="preserve">A/c Holder Name</t>
  </si>
  <si>
    <t xml:space="preserve">Type</t>
  </si>
  <si>
    <t xml:space="preserve">SA</t>
  </si>
  <si>
    <t xml:space="preserve">Name of Bank</t>
  </si>
  <si>
    <t xml:space="preserve">HDFC BANK LTD</t>
  </si>
  <si>
    <t xml:space="preserve">Account Number</t>
  </si>
  <si>
    <t xml:space="preserve">A/C NO. 9135</t>
  </si>
  <si>
    <t xml:space="preserve">MONTHS</t>
  </si>
  <si>
    <t xml:space="preserve">CREDITS.</t>
  </si>
  <si>
    <t xml:space="preserve">CREDITS COUNT</t>
  </si>
  <si>
    <t xml:space="preserve">BALANCES ON</t>
  </si>
  <si>
    <t xml:space="preserve">AVEG BAL</t>
  </si>
  <si>
    <t xml:space="preserve">BOUNCES</t>
  </si>
  <si>
    <t xml:space="preserve">INTEREST PAID</t>
  </si>
  <si>
    <t xml:space="preserve">Rs</t>
  </si>
  <si>
    <t xml:space="preserve">INWARD</t>
  </si>
  <si>
    <t xml:space="preserve">OUTWARD</t>
  </si>
  <si>
    <t xml:space="preserve">TOTAL</t>
  </si>
  <si>
    <t xml:space="preserve">Annualised Credits</t>
  </si>
  <si>
    <t xml:space="preserve">CA</t>
  </si>
  <si>
    <t xml:space="preserve">A/C NO. 6622</t>
  </si>
  <si>
    <t xml:space="preserve">A/C NO. 548</t>
  </si>
  <si>
    <t xml:space="preserve">ONLINE MCA CHECK</t>
  </si>
  <si>
    <t xml:space="preserve">ST Verification Sheet</t>
  </si>
  <si>
    <t xml:space="preserve">Assessment Year</t>
  </si>
  <si>
    <t xml:space="preserve">CA Change in Last Year</t>
  </si>
  <si>
    <t xml:space="preserve">2015-16</t>
  </si>
  <si>
    <t xml:space="preserve">No</t>
  </si>
  <si>
    <t xml:space="preserve">2014-15</t>
  </si>
  <si>
    <t xml:space="preserve">PAN VERFICATION</t>
  </si>
  <si>
    <t xml:space="preserve">Sr.no.</t>
  </si>
  <si>
    <t xml:space="preserve">Sanct. Amt.</t>
  </si>
  <si>
    <t xml:space="preserve">Current Bal.</t>
  </si>
  <si>
    <t xml:space="preserve">Open Date</t>
  </si>
  <si>
    <t xml:space="preserve">Close Date</t>
  </si>
  <si>
    <t xml:space="preserve">Last payment/ Reported Time</t>
  </si>
  <si>
    <t xml:space="preserve">Over Due</t>
  </si>
  <si>
    <t xml:space="preserve">DPD's</t>
  </si>
  <si>
    <t xml:space="preserve">Status</t>
  </si>
  <si>
    <t xml:space="preserve">Year</t>
  </si>
  <si>
    <t xml:space="preserve">2016-17</t>
  </si>
  <si>
    <t xml:space="preserve">Clients Name</t>
  </si>
  <si>
    <t xml:space="preserve">Airmesh Communication Ltd</t>
  </si>
  <si>
    <t xml:space="preserve">Givaudan(India) Ltd</t>
  </si>
  <si>
    <t xml:space="preserve">Vimkar Contracts Work LLP</t>
  </si>
  <si>
    <t xml:space="preserve">CTBC Bank Co Ltd</t>
  </si>
  <si>
    <t xml:space="preserve">Creative Arts Education Society</t>
  </si>
  <si>
    <t xml:space="preserve">Hemant Singh</t>
  </si>
  <si>
    <t xml:space="preserve">Indian Overseas Bank</t>
  </si>
  <si>
    <t xml:space="preserve">Comparex India Pvt Ltd</t>
  </si>
  <si>
    <t xml:space="preserve">Pearl Retail Solution Pvt Ltd</t>
  </si>
  <si>
    <t xml:space="preserve">Old World Hospitality Pvt Ltd</t>
  </si>
  <si>
    <t xml:space="preserve">Raaj Khosla &amp; Co Pvt Ltd</t>
  </si>
  <si>
    <t xml:space="preserve">Raghav Life Style Products Unit II</t>
  </si>
  <si>
    <t xml:space="preserve">State Bank of Bikaner &amp; Jaipur</t>
  </si>
  <si>
    <t xml:space="preserve">Square Dotcom Pvt Ltd</t>
  </si>
  <si>
    <t xml:space="preserve">Wudstay Travel Pvt Ltd</t>
  </si>
  <si>
    <t xml:space="preserve">The Ratnakar Bank Ltd</t>
  </si>
  <si>
    <t xml:space="preserve">Telecom Network Solution Pvt Ltd</t>
  </si>
  <si>
    <t xml:space="preserve">Siti Cable Network Ltd</t>
  </si>
  <si>
    <t xml:space="preserve">Destimoney Securities Pvt Ltd</t>
  </si>
  <si>
    <t xml:space="preserve">Fino Paytech Ltd</t>
  </si>
  <si>
    <t xml:space="preserve">HDFC Bank Ltd</t>
  </si>
  <si>
    <t xml:space="preserve">HBL Global Pvt Ltd</t>
  </si>
  <si>
    <t xml:space="preserve">Infinity Knowledge System Private Ltd</t>
  </si>
  <si>
    <t xml:space="preserve">Indusind Bank Ltd</t>
  </si>
  <si>
    <t xml:space="preserve">Oncourse Vantage Pvt Ltd</t>
  </si>
  <si>
    <t xml:space="preserve">Protos Engineering Co Ltd</t>
  </si>
  <si>
    <t xml:space="preserve">Top Gear Services Providers</t>
  </si>
  <si>
    <t xml:space="preserve">Bibby Financial Services India Pvt Ltd</t>
  </si>
  <si>
    <t xml:space="preserve">Group2 Care Services</t>
  </si>
  <si>
    <t xml:space="preserve">Period 15-16</t>
  </si>
  <si>
    <t xml:space="preserve">Gross Sale As Per VAT</t>
  </si>
  <si>
    <t xml:space="preserve">01.01.2016 to 31.03.2016</t>
  </si>
  <si>
    <t xml:space="preserve">01.10.2015 to 31.12.2015</t>
  </si>
  <si>
    <t xml:space="preserve">01.07.2015 to 30.09.2015</t>
  </si>
  <si>
    <t xml:space="preserve">01.04.2015 to 30.06.2015</t>
  </si>
  <si>
    <t xml:space="preserve">To be closed</t>
  </si>
</sst>
</file>

<file path=xl/styles.xml><?xml version="1.0" encoding="utf-8"?>
<styleSheet xmlns="http://schemas.openxmlformats.org/spreadsheetml/2006/main">
  <numFmts count="18">
    <numFmt numFmtId="164" formatCode="General"/>
    <numFmt numFmtId="165" formatCode="#,##0\ ;&quot; (&quot;#,##0\);&quot; -&quot;#\ ;@\ "/>
    <numFmt numFmtId="166" formatCode="M/D/YY"/>
    <numFmt numFmtId="167" formatCode="#,##0"/>
    <numFmt numFmtId="168" formatCode="0.00"/>
    <numFmt numFmtId="169" formatCode="0"/>
    <numFmt numFmtId="170" formatCode="0.00%"/>
    <numFmt numFmtId="171" formatCode="0%"/>
    <numFmt numFmtId="172" formatCode="#,##0%"/>
    <numFmt numFmtId="173" formatCode="#,##0.00%"/>
    <numFmt numFmtId="174" formatCode="0.000"/>
    <numFmt numFmtId="175" formatCode="#,##0_ ;\-#,##0\ "/>
    <numFmt numFmtId="176" formatCode="_(* #,##0.00_);_(* \(#,##0.00\);_(* \-??_);_(@_)"/>
    <numFmt numFmtId="177" formatCode="DD/MM/YYYY"/>
    <numFmt numFmtId="178" formatCode="MM/YY"/>
    <numFmt numFmtId="179" formatCode="0.0"/>
    <numFmt numFmtId="180" formatCode="#,##0;[RED]#,##0"/>
    <numFmt numFmtId="181" formatCode="DD/MMM"/>
  </numFmts>
  <fonts count="42">
    <font>
      <sz val="11"/>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b val="true"/>
      <sz val="12"/>
      <color rgb="FF000000"/>
      <name val="Cambria"/>
      <family val="1"/>
      <charset val="1"/>
    </font>
    <font>
      <sz val="12"/>
      <color rgb="FF000000"/>
      <name val="Cambria"/>
      <family val="1"/>
      <charset val="1"/>
    </font>
    <font>
      <b val="true"/>
      <sz val="11"/>
      <color rgb="FF000000"/>
      <name val="Calibri"/>
      <family val="2"/>
      <charset val="1"/>
    </font>
    <font>
      <sz val="10"/>
      <name val="Cambria"/>
      <family val="1"/>
      <charset val="1"/>
    </font>
    <font>
      <sz val="10"/>
      <color rgb="FF000000"/>
      <name val="Cambria"/>
      <family val="1"/>
      <charset val="1"/>
    </font>
    <font>
      <b val="true"/>
      <sz val="11"/>
      <name val="Cambria"/>
      <family val="1"/>
      <charset val="1"/>
    </font>
    <font>
      <sz val="11"/>
      <name val="Cambria"/>
      <family val="1"/>
      <charset val="1"/>
    </font>
    <font>
      <b val="true"/>
      <sz val="10"/>
      <name val="Cambria"/>
      <family val="1"/>
      <charset val="1"/>
    </font>
    <font>
      <sz val="10"/>
      <name val="Arial"/>
      <family val="1"/>
      <charset val="1"/>
    </font>
    <font>
      <b val="true"/>
      <sz val="10"/>
      <color rgb="FF000000"/>
      <name val="Cambria"/>
      <family val="1"/>
      <charset val="1"/>
    </font>
    <font>
      <sz val="9"/>
      <color rgb="FF000000"/>
      <name val="Calibri"/>
      <family val="2"/>
      <charset val="1"/>
    </font>
    <font>
      <b val="true"/>
      <sz val="14"/>
      <name val="Cambria"/>
      <family val="2"/>
      <charset val="1"/>
    </font>
    <font>
      <b val="true"/>
      <sz val="9"/>
      <color rgb="FF000000"/>
      <name val="Cambria"/>
      <family val="1"/>
      <charset val="1"/>
    </font>
    <font>
      <sz val="9"/>
      <name val="Cambria"/>
      <family val="1"/>
      <charset val="1"/>
    </font>
    <font>
      <b val="true"/>
      <sz val="9"/>
      <name val="Cambria"/>
      <family val="1"/>
      <charset val="1"/>
    </font>
    <font>
      <sz val="10"/>
      <color rgb="FF000000"/>
      <name val="Calibri"/>
      <family val="2"/>
      <charset val="1"/>
    </font>
    <font>
      <sz val="9"/>
      <color rgb="FF000000"/>
      <name val="Cambria"/>
      <family val="1"/>
      <charset val="1"/>
    </font>
    <font>
      <sz val="9"/>
      <name val="Cambria"/>
      <family val="2"/>
      <charset val="1"/>
    </font>
    <font>
      <b val="true"/>
      <sz val="9"/>
      <name val="Cambria"/>
      <family val="2"/>
      <charset val="1"/>
    </font>
    <font>
      <sz val="10"/>
      <name val="Arial"/>
      <family val="2"/>
      <charset val="1"/>
    </font>
    <font>
      <b val="true"/>
      <sz val="10"/>
      <color rgb="FFFFFFFF"/>
      <name val="Cambria"/>
      <family val="1"/>
      <charset val="1"/>
    </font>
    <font>
      <b val="true"/>
      <sz val="11"/>
      <color rgb="FFFFFFFF"/>
      <name val="Cambria"/>
      <family val="1"/>
      <charset val="1"/>
    </font>
    <font>
      <b val="true"/>
      <sz val="10"/>
      <color rgb="FF00B0F0"/>
      <name val="Cambria"/>
      <family val="1"/>
      <charset val="1"/>
    </font>
    <font>
      <b val="true"/>
      <sz val="12"/>
      <color rgb="FFFF0000"/>
      <name val="Cambria"/>
      <family val="1"/>
      <charset val="1"/>
    </font>
    <font>
      <sz val="8"/>
      <name val="Cambria"/>
      <family val="1"/>
      <charset val="1"/>
    </font>
    <font>
      <b val="true"/>
      <sz val="10.5"/>
      <color rgb="FF000000"/>
      <name val="Cambria"/>
      <family val="1"/>
      <charset val="1"/>
    </font>
    <font>
      <sz val="8"/>
      <color rgb="FF000000"/>
      <name val="Cambria"/>
      <family val="1"/>
      <charset val="1"/>
    </font>
    <font>
      <b val="true"/>
      <sz val="8"/>
      <color rgb="FF000000"/>
      <name val="Cambria"/>
      <family val="1"/>
      <charset val="1"/>
    </font>
    <font>
      <b val="true"/>
      <sz val="8"/>
      <name val="Cambria"/>
      <family val="1"/>
      <charset val="1"/>
    </font>
    <font>
      <u val="single"/>
      <sz val="13.2"/>
      <color rgb="FF0000FF"/>
      <name val="Calibri"/>
      <family val="2"/>
      <charset val="1"/>
    </font>
    <font>
      <b val="true"/>
      <sz val="14"/>
      <color rgb="FFFFFFFF"/>
      <name val="Calibri"/>
      <family val="2"/>
      <charset val="1"/>
    </font>
    <font>
      <b val="true"/>
      <sz val="16"/>
      <color rgb="FFFFFFFF"/>
      <name val="Calibri"/>
      <family val="2"/>
      <charset val="1"/>
    </font>
    <font>
      <b val="true"/>
      <sz val="12"/>
      <color rgb="FFFFFFFF"/>
      <name val="Calibri"/>
      <family val="2"/>
      <charset val="1"/>
    </font>
    <font>
      <sz val="16"/>
      <color rgb="FFFFFF00"/>
      <name val="Calibri"/>
      <family val="2"/>
      <charset val="1"/>
    </font>
    <font>
      <b val="true"/>
      <sz val="11.05"/>
      <name val="Cambria"/>
      <family val="1"/>
      <charset val="1"/>
    </font>
    <font>
      <sz val="10"/>
      <color rgb="FFFF0000"/>
      <name val="Cambria"/>
      <family val="1"/>
      <charset val="1"/>
    </font>
    <font>
      <b val="true"/>
      <sz val="10"/>
      <color rgb="FFFF0000"/>
      <name val="Cambria"/>
      <family val="1"/>
      <charset val="1"/>
    </font>
  </fonts>
  <fills count="19">
    <fill>
      <patternFill patternType="none"/>
    </fill>
    <fill>
      <patternFill patternType="gray125"/>
    </fill>
    <fill>
      <patternFill patternType="solid">
        <fgColor rgb="FFFFCC00"/>
        <bgColor rgb="FFFFC000"/>
      </patternFill>
    </fill>
    <fill>
      <patternFill patternType="solid">
        <fgColor rgb="FFA6A6A6"/>
        <bgColor rgb="FF969696"/>
      </patternFill>
    </fill>
    <fill>
      <patternFill patternType="solid">
        <fgColor rgb="FFBFBFBF"/>
        <bgColor rgb="FFC0C0C0"/>
      </patternFill>
    </fill>
    <fill>
      <patternFill patternType="solid">
        <fgColor rgb="FFC0C0C0"/>
        <bgColor rgb="FFBFBFBF"/>
      </patternFill>
    </fill>
    <fill>
      <patternFill patternType="solid">
        <fgColor rgb="FFFFFFFF"/>
        <bgColor rgb="FFFFFFCC"/>
      </patternFill>
    </fill>
    <fill>
      <patternFill patternType="solid">
        <fgColor rgb="FF33CCCC"/>
        <bgColor rgb="FF00B0F0"/>
      </patternFill>
    </fill>
    <fill>
      <patternFill patternType="solid">
        <fgColor rgb="FF969696"/>
        <bgColor rgb="FFA6A6A6"/>
      </patternFill>
    </fill>
    <fill>
      <patternFill patternType="solid">
        <fgColor rgb="FFFF0000"/>
        <bgColor rgb="FF993300"/>
      </patternFill>
    </fill>
    <fill>
      <patternFill patternType="solid">
        <fgColor rgb="FFFFFF99"/>
        <bgColor rgb="FFFFFFCC"/>
      </patternFill>
    </fill>
    <fill>
      <patternFill patternType="solid">
        <fgColor rgb="FFFFFF00"/>
        <bgColor rgb="FFFFFF00"/>
      </patternFill>
    </fill>
    <fill>
      <patternFill patternType="solid">
        <fgColor rgb="FFFFC000"/>
        <bgColor rgb="FFFFCC00"/>
      </patternFill>
    </fill>
    <fill>
      <patternFill patternType="solid">
        <fgColor rgb="FF00B050"/>
        <bgColor rgb="FF008080"/>
      </patternFill>
    </fill>
    <fill>
      <patternFill patternType="solid">
        <fgColor rgb="FFFFCC99"/>
        <bgColor rgb="FFD9D9D9"/>
      </patternFill>
    </fill>
    <fill>
      <patternFill patternType="solid">
        <fgColor rgb="FF00FFFF"/>
        <bgColor rgb="FF00FFFF"/>
      </patternFill>
    </fill>
    <fill>
      <patternFill patternType="solid">
        <fgColor rgb="FF00FF00"/>
        <bgColor rgb="FF00B050"/>
      </patternFill>
    </fill>
    <fill>
      <patternFill patternType="solid">
        <fgColor rgb="FFD9D9D9"/>
        <bgColor rgb="FFC0C0C0"/>
      </patternFill>
    </fill>
    <fill>
      <patternFill patternType="solid">
        <fgColor rgb="FF558ED5"/>
        <bgColor rgb="FF80808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diagonal/>
    </border>
    <border diagonalUp="false" diagonalDown="false">
      <left style="medium"/>
      <right/>
      <top style="medium"/>
      <bottom style="medium"/>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medium"/>
      <top style="medium"/>
      <bottom style="thin"/>
      <diagonal/>
    </border>
    <border diagonalUp="false" diagonalDown="false">
      <left style="medium"/>
      <right style="medium"/>
      <top style="thin"/>
      <bottom style="thin"/>
      <diagonal/>
    </border>
    <border diagonalUp="false" diagonalDown="false">
      <left/>
      <right style="medium"/>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2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true">
      <alignment horizontal="center" vertical="center" textRotation="0" wrapText="true" indent="0" shrinkToFit="false"/>
      <protection locked="true" hidden="false"/>
    </xf>
    <xf numFmtId="164" fontId="10" fillId="2" borderId="2" xfId="0" applyFont="true" applyBorder="true" applyAlignment="true" applyProtection="false">
      <alignment horizontal="center" vertical="bottom" textRotation="0" wrapText="false" indent="0" shrinkToFit="false"/>
      <protection locked="true" hidden="false"/>
    </xf>
    <xf numFmtId="166" fontId="10" fillId="2" borderId="3"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2" fillId="0" borderId="4" xfId="0" applyFont="true" applyBorder="true" applyAlignment="true" applyProtection="false">
      <alignment horizontal="center" vertical="bottom" textRotation="0" wrapText="false" indent="0" shrinkToFit="false"/>
      <protection locked="true" hidden="false"/>
    </xf>
    <xf numFmtId="166" fontId="12" fillId="0" borderId="5"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7" fontId="14" fillId="0" borderId="1" xfId="21" applyFont="true" applyBorder="true" applyAlignment="true" applyProtection="true">
      <alignment horizontal="center" vertical="bottom" textRotation="0" wrapText="false" indent="0" shrinkToFit="false"/>
      <protection locked="true" hidden="false"/>
    </xf>
    <xf numFmtId="168" fontId="8" fillId="0" borderId="1" xfId="0" applyFont="true" applyBorder="true" applyAlignment="true" applyProtection="false">
      <alignment horizontal="center" vertical="bottom" textRotation="0" wrapText="false" indent="0" shrinkToFit="false"/>
      <protection locked="true" hidden="false"/>
    </xf>
    <xf numFmtId="169" fontId="8" fillId="0" borderId="1" xfId="0" applyFont="true" applyBorder="true" applyAlignment="true" applyProtection="false">
      <alignment horizontal="center" vertical="bottom" textRotation="0" wrapText="false" indent="0" shrinkToFit="false"/>
      <protection locked="true" hidden="false"/>
    </xf>
    <xf numFmtId="167" fontId="14" fillId="4" borderId="1" xfId="21"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70" fontId="12" fillId="5" borderId="7" xfId="0" applyFont="true" applyBorder="true" applyAlignment="true" applyProtection="false">
      <alignment horizontal="center" vertical="bottom" textRotation="0" wrapText="false" indent="0" shrinkToFit="false"/>
      <protection locked="true" hidden="false"/>
    </xf>
    <xf numFmtId="172" fontId="11" fillId="0" borderId="0" xfId="19" applyFont="true" applyBorder="true" applyAlignment="true" applyProtection="true">
      <alignment horizontal="center"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9" fontId="8" fillId="0" borderId="7" xfId="0" applyFont="true" applyBorder="true" applyAlignment="true" applyProtection="false">
      <alignment horizontal="center" vertical="bottom" textRotation="0" wrapText="false" indent="0" shrinkToFit="false"/>
      <protection locked="true" hidden="false"/>
    </xf>
    <xf numFmtId="167" fontId="9" fillId="0" borderId="1" xfId="21" applyFont="true" applyBorder="true" applyAlignment="true" applyProtection="true">
      <alignment horizontal="center" vertical="bottom" textRotation="0" wrapText="false" indent="0" shrinkToFit="false"/>
      <protection locked="true" hidden="false"/>
    </xf>
    <xf numFmtId="164" fontId="8" fillId="4" borderId="6"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71" fontId="11" fillId="0" borderId="0"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true">
      <alignment horizontal="center" vertical="bottom" textRotation="0" wrapText="false" indent="0" shrinkToFit="false"/>
      <protection locked="true" hidden="false"/>
    </xf>
    <xf numFmtId="167" fontId="11" fillId="0" borderId="0" xfId="0" applyFont="true" applyBorder="true" applyAlignment="true" applyProtection="false">
      <alignment horizontal="center" vertical="bottom" textRotation="0" wrapText="false" indent="0" shrinkToFit="false"/>
      <protection locked="true" hidden="false"/>
    </xf>
    <xf numFmtId="164" fontId="8" fillId="3" borderId="6"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73" fontId="8" fillId="0" borderId="7" xfId="0" applyFont="true" applyBorder="true" applyAlignment="true" applyProtection="false">
      <alignment horizontal="center" vertical="bottom" textRotation="0" wrapText="false" indent="0" shrinkToFit="false"/>
      <protection locked="true" hidden="false"/>
    </xf>
    <xf numFmtId="174" fontId="12" fillId="5" borderId="7" xfId="0" applyFont="true" applyBorder="true" applyAlignment="true" applyProtection="false">
      <alignment horizontal="center" vertical="bottom" textRotation="0" wrapText="false" indent="0" shrinkToFit="false"/>
      <protection locked="true" hidden="false"/>
    </xf>
    <xf numFmtId="175" fontId="8" fillId="0" borderId="7" xfId="0" applyFont="true" applyBorder="true" applyAlignment="true" applyProtection="false">
      <alignment horizontal="center" vertical="bottom" textRotation="0" wrapText="false" indent="0" shrinkToFit="false"/>
      <protection locked="true" hidden="false"/>
    </xf>
    <xf numFmtId="164" fontId="8" fillId="0" borderId="8"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70" fontId="12" fillId="5" borderId="10"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8" fontId="16" fillId="6" borderId="1" xfId="0" applyFont="true" applyBorder="true" applyAlignment="true" applyProtection="false">
      <alignment horizontal="center" vertical="center" textRotation="0" wrapText="true" indent="0" shrinkToFit="false"/>
      <protection locked="true" hidden="false"/>
    </xf>
    <xf numFmtId="168" fontId="17" fillId="2" borderId="1" xfId="0" applyFont="true" applyBorder="true" applyAlignment="true" applyProtection="false">
      <alignment horizontal="center" vertical="center" textRotation="0" wrapText="tru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8" fontId="18" fillId="0" borderId="1" xfId="0" applyFont="true" applyBorder="true" applyAlignment="true" applyProtection="false">
      <alignment horizontal="general" vertical="bottom" textRotation="0" wrapText="true" indent="0" shrinkToFit="false"/>
      <protection locked="true" hidden="false"/>
    </xf>
    <xf numFmtId="168" fontId="8" fillId="0" borderId="1" xfId="0" applyFont="true" applyBorder="true" applyAlignment="true" applyProtection="true">
      <alignment horizontal="right" vertical="bottom" textRotation="0" wrapText="true" indent="0" shrinkToFit="false"/>
      <protection locked="true" hidden="false"/>
    </xf>
    <xf numFmtId="168" fontId="8" fillId="7" borderId="1" xfId="0" applyFont="true" applyBorder="true" applyAlignment="true" applyProtection="true">
      <alignment horizontal="center" vertical="bottom" textRotation="0" wrapText="true" indent="0" shrinkToFit="false"/>
      <protection locked="true" hidden="false"/>
    </xf>
    <xf numFmtId="169" fontId="8" fillId="0" borderId="1" xfId="0" applyFont="true" applyBorder="true" applyAlignment="true" applyProtection="true">
      <alignment horizontal="right" vertical="bottom" textRotation="0" wrapText="true" indent="0" shrinkToFit="false"/>
      <protection locked="true" hidden="false"/>
    </xf>
    <xf numFmtId="168" fontId="18" fillId="0" borderId="1" xfId="0" applyFont="true" applyBorder="true" applyAlignment="true" applyProtection="false">
      <alignment horizontal="left" vertical="bottom" textRotation="0" wrapText="true" indent="0" shrinkToFit="false"/>
      <protection locked="true" hidden="false"/>
    </xf>
    <xf numFmtId="168" fontId="19" fillId="5" borderId="1" xfId="0" applyFont="true" applyBorder="true" applyAlignment="true" applyProtection="false">
      <alignment horizontal="general" vertical="bottom" textRotation="0" wrapText="true" indent="0" shrinkToFit="false"/>
      <protection locked="true" hidden="false"/>
    </xf>
    <xf numFmtId="168" fontId="12" fillId="5" borderId="1" xfId="0" applyFont="true" applyBorder="true" applyAlignment="true" applyProtection="true">
      <alignment horizontal="right" vertical="bottom" textRotation="0" wrapText="true" indent="0" shrinkToFit="false"/>
      <protection locked="true" hidden="false"/>
    </xf>
    <xf numFmtId="168" fontId="12" fillId="7" borderId="1" xfId="0" applyFont="true" applyBorder="true" applyAlignment="true" applyProtection="true">
      <alignment horizontal="center" vertical="bottom" textRotation="0" wrapText="true" indent="0" shrinkToFit="false"/>
      <protection locked="true" hidden="false"/>
    </xf>
    <xf numFmtId="169" fontId="20" fillId="0" borderId="0" xfId="0" applyFont="true" applyBorder="false" applyAlignment="false" applyProtection="false">
      <alignment horizontal="general" vertical="bottom" textRotation="0" wrapText="false" indent="0" shrinkToFit="false"/>
      <protection locked="true" hidden="false"/>
    </xf>
    <xf numFmtId="168" fontId="17" fillId="5" borderId="1" xfId="0" applyFont="true" applyBorder="true" applyAlignment="true" applyProtection="false">
      <alignment horizontal="general" vertical="bottom" textRotation="0" wrapText="true" indent="0" shrinkToFit="false"/>
      <protection locked="true" hidden="false"/>
    </xf>
    <xf numFmtId="168" fontId="14" fillId="5" borderId="1" xfId="0" applyFont="true" applyBorder="true" applyAlignment="true" applyProtection="true">
      <alignment horizontal="right" vertical="bottom" textRotation="0" wrapText="true" indent="0" shrinkToFit="false"/>
      <protection locked="true" hidden="false"/>
    </xf>
    <xf numFmtId="168" fontId="14" fillId="7" borderId="1" xfId="0" applyFont="true" applyBorder="true" applyAlignment="true" applyProtection="true">
      <alignment horizontal="center" vertical="bottom" textRotation="0" wrapText="true" indent="0" shrinkToFit="false"/>
      <protection locked="true" hidden="false"/>
    </xf>
    <xf numFmtId="168" fontId="21" fillId="6" borderId="1" xfId="0" applyFont="true" applyBorder="true" applyAlignment="true" applyProtection="false">
      <alignment horizontal="general" vertical="bottom" textRotation="0" wrapText="true" indent="0" shrinkToFit="false"/>
      <protection locked="true" hidden="false"/>
    </xf>
    <xf numFmtId="168" fontId="15" fillId="0" borderId="0" xfId="0" applyFont="true" applyBorder="false" applyAlignment="false" applyProtection="false">
      <alignment horizontal="general" vertical="bottom" textRotation="0" wrapText="false" indent="0" shrinkToFit="false"/>
      <protection locked="true" hidden="false"/>
    </xf>
    <xf numFmtId="168" fontId="19" fillId="7" borderId="1" xfId="0" applyFont="true" applyBorder="true" applyAlignment="true" applyProtection="false">
      <alignment horizontal="general" vertical="bottom" textRotation="0" wrapText="true" indent="0" shrinkToFit="false"/>
      <protection locked="true" hidden="false"/>
    </xf>
    <xf numFmtId="168" fontId="12" fillId="7" borderId="1" xfId="0" applyFont="true" applyBorder="true" applyAlignment="true" applyProtection="true">
      <alignment horizontal="right" vertical="bottom" textRotation="0" wrapText="true" indent="0" shrinkToFit="false"/>
      <protection locked="true" hidden="false"/>
    </xf>
    <xf numFmtId="168" fontId="19" fillId="7" borderId="1" xfId="0" applyFont="true" applyBorder="true" applyAlignment="true" applyProtection="false">
      <alignment horizontal="left" vertical="bottom" textRotation="0" wrapText="true" indent="0" shrinkToFit="false"/>
      <protection locked="true" hidden="false"/>
    </xf>
    <xf numFmtId="168" fontId="18" fillId="6" borderId="1" xfId="0" applyFont="true" applyBorder="true" applyAlignment="true" applyProtection="false">
      <alignment horizontal="general" vertical="bottom" textRotation="0" wrapText="true" indent="0" shrinkToFit="false"/>
      <protection locked="true" hidden="false"/>
    </xf>
    <xf numFmtId="168" fontId="12" fillId="5" borderId="1" xfId="0" applyFont="true" applyBorder="true" applyAlignment="true" applyProtection="false">
      <alignment horizontal="right" vertical="bottom" textRotation="0" wrapText="true" indent="0" shrinkToFit="false"/>
      <protection locked="true" hidden="false"/>
    </xf>
    <xf numFmtId="168" fontId="18" fillId="6" borderId="11" xfId="0" applyFont="true" applyBorder="true" applyAlignment="true" applyProtection="false">
      <alignment horizontal="general" vertical="bottom" textRotation="0" wrapText="true" indent="0" shrinkToFit="false"/>
      <protection locked="true" hidden="false"/>
    </xf>
    <xf numFmtId="168" fontId="8" fillId="6" borderId="0" xfId="0" applyFont="true" applyBorder="true" applyAlignment="true" applyProtection="false">
      <alignment horizontal="center" vertical="bottom" textRotation="0" wrapText="true" indent="0" shrinkToFit="false"/>
      <protection locked="true" hidden="false"/>
    </xf>
    <xf numFmtId="168" fontId="8" fillId="0" borderId="0" xfId="0" applyFont="true" applyBorder="true" applyAlignment="true" applyProtection="false">
      <alignment horizontal="center" vertical="bottom" textRotation="0" wrapText="true" indent="0" shrinkToFit="false"/>
      <protection locked="true" hidden="false"/>
    </xf>
    <xf numFmtId="164" fontId="18" fillId="0" borderId="1" xfId="0" applyFont="true" applyBorder="true" applyAlignment="true" applyProtection="false">
      <alignment horizontal="general" vertical="bottom" textRotation="0" wrapText="true" indent="0" shrinkToFit="false"/>
      <protection locked="true" hidden="false"/>
    </xf>
    <xf numFmtId="164" fontId="19" fillId="5" borderId="1" xfId="0" applyFont="true" applyBorder="true" applyAlignment="true" applyProtection="false">
      <alignment horizontal="general" vertical="bottom" textRotation="0" wrapText="true" indent="0" shrinkToFit="false"/>
      <protection locked="true" hidden="false"/>
    </xf>
    <xf numFmtId="164" fontId="17" fillId="5"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bottom" textRotation="0" wrapText="true" indent="0" shrinkToFit="false"/>
      <protection locked="true" hidden="false"/>
    </xf>
    <xf numFmtId="164" fontId="19" fillId="8" borderId="1" xfId="0" applyFont="true" applyBorder="true" applyAlignment="true" applyProtection="false">
      <alignment horizontal="general" vertical="bottom" textRotation="0" wrapText="true" indent="0" shrinkToFit="false"/>
      <protection locked="true" hidden="false"/>
    </xf>
    <xf numFmtId="168" fontId="8" fillId="8" borderId="1" xfId="0" applyFont="true" applyBorder="true" applyAlignment="true" applyProtection="true">
      <alignment horizontal="right" vertical="bottom" textRotation="0" wrapText="true" indent="0" shrinkToFit="false"/>
      <protection locked="true" hidden="false"/>
    </xf>
    <xf numFmtId="164" fontId="19" fillId="2" borderId="1" xfId="0" applyFont="true" applyBorder="true" applyAlignment="true" applyProtection="false">
      <alignment horizontal="general" vertical="bottom" textRotation="0" wrapText="true" indent="0" shrinkToFit="false"/>
      <protection locked="true" hidden="false"/>
    </xf>
    <xf numFmtId="168" fontId="12" fillId="2" borderId="1" xfId="0" applyFont="true" applyBorder="true" applyAlignment="true" applyProtection="true">
      <alignment horizontal="right" vertical="bottom" textRotation="0" wrapText="true" indent="0" shrinkToFit="false"/>
      <protection locked="true" hidden="false"/>
    </xf>
    <xf numFmtId="168" fontId="12" fillId="2" borderId="1" xfId="0" applyFont="true" applyBorder="true" applyAlignment="true" applyProtection="true">
      <alignment horizontal="center" vertical="bottom" textRotation="0" wrapText="true" indent="0" shrinkToFit="false"/>
      <protection locked="true" hidden="false"/>
    </xf>
    <xf numFmtId="164" fontId="19" fillId="5" borderId="1" xfId="0" applyFont="true" applyBorder="true" applyAlignment="true" applyProtection="false">
      <alignment horizontal="left" vertical="bottom" textRotation="0" wrapText="true" indent="0" shrinkToFit="false"/>
      <protection locked="true" hidden="false"/>
    </xf>
    <xf numFmtId="164" fontId="18" fillId="6" borderId="1" xfId="0" applyFont="true" applyBorder="true" applyAlignment="true" applyProtection="false">
      <alignment horizontal="left" vertical="bottom" textRotation="0" wrapText="true" indent="0" shrinkToFit="false"/>
      <protection locked="true" hidden="false"/>
    </xf>
    <xf numFmtId="164" fontId="19" fillId="8" borderId="1" xfId="0" applyFont="true" applyBorder="true" applyAlignment="true" applyProtection="false">
      <alignment horizontal="left" vertical="bottom" textRotation="0" wrapText="true" indent="0" shrinkToFit="false"/>
      <protection locked="true" hidden="false"/>
    </xf>
    <xf numFmtId="168" fontId="12" fillId="8" borderId="1" xfId="0" applyFont="true" applyBorder="true" applyAlignment="true" applyProtection="true">
      <alignment horizontal="right" vertical="bottom" textRotation="0" wrapText="true" indent="0" shrinkToFit="false"/>
      <protection locked="true" hidden="false"/>
    </xf>
    <xf numFmtId="168" fontId="12" fillId="8" borderId="1" xfId="0" applyFont="true" applyBorder="true" applyAlignment="true" applyProtection="false">
      <alignment horizontal="right" vertical="bottom" textRotation="0" wrapText="true" indent="0" shrinkToFit="false"/>
      <protection locked="true" hidden="false"/>
    </xf>
    <xf numFmtId="168" fontId="12" fillId="7" borderId="1" xfId="0" applyFont="true" applyBorder="true" applyAlignment="true" applyProtection="false">
      <alignment horizontal="center" vertical="bottom" textRotation="0" wrapText="true" indent="0" shrinkToFit="false"/>
      <protection locked="true" hidden="false"/>
    </xf>
    <xf numFmtId="168" fontId="12" fillId="2" borderId="1" xfId="0" applyFont="true" applyBorder="true" applyAlignment="true" applyProtection="false">
      <alignment horizontal="right" vertical="bottom" textRotation="0" wrapText="true" indent="0" shrinkToFit="false"/>
      <protection locked="true" hidden="false"/>
    </xf>
    <xf numFmtId="168" fontId="12" fillId="2" borderId="1" xfId="0" applyFont="true" applyBorder="true" applyAlignment="true" applyProtection="false">
      <alignment horizontal="center" vertical="bottom" textRotation="0" wrapText="true" indent="0" shrinkToFit="false"/>
      <protection locked="true" hidden="false"/>
    </xf>
    <xf numFmtId="164" fontId="18" fillId="0" borderId="11" xfId="0" applyFont="true" applyBorder="true" applyAlignment="true" applyProtection="false">
      <alignment horizontal="general" vertical="bottom" textRotation="0" wrapText="true" indent="0" shrinkToFit="false"/>
      <protection locked="true" hidden="false"/>
    </xf>
    <xf numFmtId="168" fontId="12" fillId="0" borderId="0" xfId="0" applyFont="true" applyBorder="true" applyAlignment="true" applyProtection="false">
      <alignment horizontal="general" vertical="bottom" textRotation="0" wrapText="true" indent="0" shrinkToFit="false"/>
      <protection locked="true" hidden="false"/>
    </xf>
    <xf numFmtId="168" fontId="12" fillId="0" borderId="0" xfId="0" applyFont="true" applyBorder="true" applyAlignment="true" applyProtection="false">
      <alignment horizontal="center" vertical="bottom" textRotation="0" wrapText="true" indent="0" shrinkToFit="false"/>
      <protection locked="true" hidden="false"/>
    </xf>
    <xf numFmtId="164" fontId="17" fillId="5" borderId="12" xfId="0" applyFont="true" applyBorder="true" applyAlignment="true" applyProtection="true">
      <alignment horizontal="center" vertical="bottom" textRotation="0" wrapText="true" indent="0" shrinkToFit="false"/>
      <protection locked="true" hidden="false"/>
    </xf>
    <xf numFmtId="164" fontId="18" fillId="0" borderId="4" xfId="0" applyFont="true" applyBorder="true" applyAlignment="true" applyProtection="true">
      <alignment horizontal="general" vertical="bottom" textRotation="0" wrapText="true" indent="0" shrinkToFit="false"/>
      <protection locked="true" hidden="false"/>
    </xf>
    <xf numFmtId="164" fontId="18" fillId="0" borderId="2" xfId="0" applyFont="true" applyBorder="true" applyAlignment="true" applyProtection="true">
      <alignment horizontal="general" vertical="bottom" textRotation="0" wrapText="true" indent="0" shrinkToFit="false"/>
      <protection locked="true" hidden="false"/>
    </xf>
    <xf numFmtId="164" fontId="18" fillId="7" borderId="13" xfId="0" applyFont="true" applyBorder="true" applyAlignment="true" applyProtection="true">
      <alignment horizontal="center" vertical="bottom" textRotation="0" wrapText="true" indent="0" shrinkToFit="false"/>
      <protection locked="true" hidden="false"/>
    </xf>
    <xf numFmtId="164" fontId="18" fillId="0" borderId="2" xfId="0" applyFont="true" applyBorder="true" applyAlignment="true" applyProtection="true">
      <alignment horizontal="center" vertical="bottom" textRotation="0" wrapText="true" indent="0" shrinkToFit="false"/>
      <protection locked="true" hidden="false"/>
    </xf>
    <xf numFmtId="164" fontId="18" fillId="0" borderId="6" xfId="0" applyFont="true" applyBorder="true" applyAlignment="true" applyProtection="true">
      <alignment horizontal="general" vertical="bottom" textRotation="0" wrapText="true" indent="0" shrinkToFit="false"/>
      <protection locked="true" hidden="false"/>
    </xf>
    <xf numFmtId="164" fontId="18" fillId="7" borderId="14" xfId="0" applyFont="true" applyBorder="true" applyAlignment="true" applyProtection="true">
      <alignment horizontal="center" vertical="bottom" textRotation="0" wrapText="true" indent="0" shrinkToFit="false"/>
      <protection locked="true" hidden="false"/>
    </xf>
    <xf numFmtId="164" fontId="18" fillId="0" borderId="6" xfId="0" applyFont="true" applyBorder="true" applyAlignment="true" applyProtection="true">
      <alignment horizontal="center" vertical="bottom" textRotation="0" wrapText="true" indent="0" shrinkToFit="false"/>
      <protection locked="true" hidden="false"/>
    </xf>
    <xf numFmtId="164" fontId="22" fillId="0" borderId="6" xfId="0" applyFont="true" applyBorder="true" applyAlignment="true" applyProtection="true">
      <alignment horizontal="center" vertical="bottom" textRotation="0" wrapText="true" indent="0" shrinkToFit="false"/>
      <protection locked="true" hidden="false"/>
    </xf>
    <xf numFmtId="164" fontId="22" fillId="7" borderId="14" xfId="0" applyFont="true" applyBorder="true" applyAlignment="true" applyProtection="true">
      <alignment horizontal="center" vertical="bottom" textRotation="0" wrapText="true" indent="0" shrinkToFit="false"/>
      <protection locked="true" hidden="false"/>
    </xf>
    <xf numFmtId="164" fontId="22" fillId="0" borderId="6" xfId="0" applyFont="true" applyBorder="true" applyAlignment="true" applyProtection="true">
      <alignment horizontal="general" vertical="bottom" textRotation="0" wrapText="true" indent="0" shrinkToFit="false"/>
      <protection locked="true" hidden="false"/>
    </xf>
    <xf numFmtId="164" fontId="22" fillId="0" borderId="8" xfId="0" applyFont="true" applyBorder="true" applyAlignment="true" applyProtection="true">
      <alignment horizontal="general" vertical="bottom" textRotation="0" wrapText="true" indent="0" shrinkToFit="false"/>
      <protection locked="true" hidden="false"/>
    </xf>
    <xf numFmtId="164" fontId="22" fillId="0" borderId="8" xfId="0" applyFont="true" applyBorder="true" applyAlignment="true" applyProtection="true">
      <alignment horizontal="center" vertical="bottom" textRotation="0" wrapText="true" indent="0" shrinkToFit="false"/>
      <protection locked="true" hidden="false"/>
    </xf>
    <xf numFmtId="164" fontId="22" fillId="7" borderId="15" xfId="0" applyFont="true" applyBorder="true" applyAlignment="true" applyProtection="true">
      <alignment horizontal="center" vertical="bottom" textRotation="0" wrapText="true" indent="0" shrinkToFit="false"/>
      <protection locked="true" hidden="false"/>
    </xf>
    <xf numFmtId="164" fontId="23" fillId="0" borderId="0" xfId="0" applyFont="true" applyBorder="true" applyAlignment="true" applyProtection="true">
      <alignment horizontal="general" vertical="bottom" textRotation="0" wrapText="true" indent="0" shrinkToFit="false"/>
      <protection locked="true" hidden="false"/>
    </xf>
    <xf numFmtId="164" fontId="23" fillId="0" borderId="0" xfId="0" applyFont="true" applyBorder="true" applyAlignment="true" applyProtection="true">
      <alignment horizontal="center" vertical="bottom" textRotation="0" wrapText="true" indent="0" shrinkToFit="false"/>
      <protection locked="true" hidden="false"/>
    </xf>
    <xf numFmtId="164" fontId="19" fillId="6" borderId="1" xfId="0" applyFont="true" applyBorder="true" applyAlignment="true" applyProtection="true">
      <alignment horizontal="general" vertical="bottom" textRotation="0" wrapText="true" indent="0" shrinkToFit="false"/>
      <protection locked="true" hidden="false"/>
    </xf>
    <xf numFmtId="164" fontId="19" fillId="6"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true">
      <alignment horizontal="general" vertical="bottom" textRotation="0" wrapText="true" indent="0" shrinkToFit="false"/>
      <protection locked="true" hidden="false"/>
    </xf>
    <xf numFmtId="164" fontId="18" fillId="0" borderId="1" xfId="0" applyFont="true" applyBorder="true" applyAlignment="true" applyProtection="true">
      <alignment horizontal="center" vertical="bottom" textRotation="0" wrapText="true" indent="0" shrinkToFit="false"/>
      <protection locked="true" hidden="false"/>
    </xf>
    <xf numFmtId="164" fontId="19" fillId="0" borderId="1" xfId="0" applyFont="true" applyBorder="true" applyAlignment="true" applyProtection="true">
      <alignment horizontal="general" vertical="bottom" textRotation="0" wrapText="true" indent="0" shrinkToFit="false"/>
      <protection locked="true" hidden="false"/>
    </xf>
    <xf numFmtId="164" fontId="19" fillId="0" borderId="1" xfId="0" applyFont="true" applyBorder="true" applyAlignment="true" applyProtection="true">
      <alignment horizontal="center" vertical="bottom" textRotation="0" wrapText="true" indent="0" shrinkToFit="false"/>
      <protection locked="true" hidden="false"/>
    </xf>
    <xf numFmtId="176" fontId="22" fillId="0" borderId="1" xfId="0" applyFont="true" applyBorder="true" applyAlignment="true" applyProtection="false">
      <alignment horizontal="general" vertical="bottom" textRotation="0" wrapText="true" indent="0" shrinkToFit="false"/>
      <protection locked="true" hidden="false"/>
    </xf>
    <xf numFmtId="164" fontId="8" fillId="0" borderId="11"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center" vertical="bottom" textRotation="0" wrapText="false" indent="0" shrinkToFit="false"/>
      <protection locked="true" hidden="false"/>
    </xf>
    <xf numFmtId="164" fontId="25" fillId="9" borderId="1" xfId="21" applyFont="true" applyBorder="true" applyAlignment="true" applyProtection="true">
      <alignment horizontal="general" vertical="bottom" textRotation="0" wrapText="false" indent="0" shrinkToFit="false"/>
      <protection locked="true" hidden="false"/>
    </xf>
    <xf numFmtId="167" fontId="26" fillId="9" borderId="1" xfId="21" applyFont="true" applyBorder="true" applyAlignment="true" applyProtection="true">
      <alignment horizontal="center" vertical="bottom" textRotation="0" wrapText="false" indent="0" shrinkToFit="false"/>
      <protection locked="true" hidden="false"/>
    </xf>
    <xf numFmtId="164" fontId="26" fillId="9" borderId="1" xfId="21" applyFont="true" applyBorder="true" applyAlignment="true" applyProtection="true">
      <alignment horizontal="center" vertical="bottom" textRotation="0" wrapText="false" indent="0" shrinkToFit="false"/>
      <protection locked="true" hidden="false"/>
    </xf>
    <xf numFmtId="164" fontId="12" fillId="10" borderId="1" xfId="21" applyFont="true" applyBorder="true" applyAlignment="true" applyProtection="true">
      <alignment horizontal="left" vertical="bottom" textRotation="0" wrapText="true" indent="0" shrinkToFit="false"/>
      <protection locked="true" hidden="false"/>
    </xf>
    <xf numFmtId="164" fontId="12" fillId="11" borderId="1" xfId="21" applyFont="true" applyBorder="true" applyAlignment="true" applyProtection="true">
      <alignment horizontal="center" vertical="center" textRotation="0" wrapText="true" indent="0" shrinkToFit="false"/>
      <protection locked="true" hidden="false"/>
    </xf>
    <xf numFmtId="164" fontId="12" fillId="10" borderId="1" xfId="21" applyFont="true" applyBorder="true" applyAlignment="true" applyProtection="true">
      <alignment horizontal="left" vertical="bottom" textRotation="0" wrapText="false" indent="0" shrinkToFit="false"/>
      <protection locked="true" hidden="false"/>
    </xf>
    <xf numFmtId="164" fontId="12" fillId="5" borderId="1" xfId="21" applyFont="true" applyBorder="true" applyAlignment="true" applyProtection="true">
      <alignment horizontal="center" vertical="bottom" textRotation="0" wrapText="false" indent="0" shrinkToFit="false"/>
      <protection locked="true" hidden="false"/>
    </xf>
    <xf numFmtId="164" fontId="12" fillId="5" borderId="1" xfId="21" applyFont="true" applyBorder="true" applyAlignment="true" applyProtection="true">
      <alignment horizontal="center" vertical="center" textRotation="0" wrapText="true" indent="0" shrinkToFit="false"/>
      <protection locked="true" hidden="false"/>
    </xf>
    <xf numFmtId="177" fontId="12" fillId="10" borderId="1" xfId="21" applyFont="true" applyBorder="true" applyAlignment="true" applyProtection="true">
      <alignment horizontal="left" vertical="bottom" textRotation="0" wrapText="false" indent="0" shrinkToFit="false"/>
      <protection locked="true" hidden="false"/>
    </xf>
    <xf numFmtId="177" fontId="12" fillId="5" borderId="1" xfId="21" applyFont="true" applyBorder="true" applyAlignment="true" applyProtection="true">
      <alignment horizontal="center" vertical="bottom" textRotation="0" wrapText="false" indent="0" shrinkToFit="false"/>
      <protection locked="true" hidden="false"/>
    </xf>
    <xf numFmtId="177" fontId="8" fillId="0" borderId="0" xfId="21" applyFont="true" applyBorder="true" applyAlignment="true" applyProtection="true">
      <alignment horizontal="general" vertical="bottom" textRotation="0" wrapText="false" indent="0" shrinkToFit="false"/>
      <protection locked="true" hidden="false"/>
    </xf>
    <xf numFmtId="177" fontId="8" fillId="0" borderId="0" xfId="0" applyFont="true" applyBorder="false" applyAlignment="false" applyProtection="false">
      <alignment horizontal="general" vertical="bottom" textRotation="0" wrapText="false" indent="0" shrinkToFit="false"/>
      <protection locked="true" hidden="false"/>
    </xf>
    <xf numFmtId="167" fontId="12" fillId="5" borderId="1" xfId="21" applyFont="true" applyBorder="true" applyAlignment="true" applyProtection="true">
      <alignment horizontal="center" vertical="bottom" textRotation="0" wrapText="true" indent="0" shrinkToFit="false"/>
      <protection locked="true" hidden="false"/>
    </xf>
    <xf numFmtId="167" fontId="27" fillId="0" borderId="1" xfId="21" applyFont="true" applyBorder="true" applyAlignment="true" applyProtection="true">
      <alignment horizontal="center" vertical="bottom" textRotation="0" wrapText="false" indent="0" shrinkToFit="false"/>
      <protection locked="true" hidden="false"/>
    </xf>
    <xf numFmtId="167" fontId="27" fillId="6" borderId="1" xfId="21" applyFont="true" applyBorder="true" applyAlignment="true" applyProtection="true">
      <alignment horizontal="center" vertical="bottom" textRotation="0" wrapText="false" indent="0" shrinkToFit="false"/>
      <protection locked="true" hidden="false"/>
    </xf>
    <xf numFmtId="167" fontId="12" fillId="5" borderId="1" xfId="21" applyFont="true" applyBorder="true" applyAlignment="true" applyProtection="true">
      <alignment horizontal="center" vertical="bottom" textRotation="0" wrapText="false" indent="0" shrinkToFit="false"/>
      <protection locked="true" hidden="false"/>
    </xf>
    <xf numFmtId="164" fontId="12" fillId="12" borderId="1" xfId="21" applyFont="true" applyBorder="true" applyAlignment="true" applyProtection="true">
      <alignment horizontal="center" vertical="bottom" textRotation="0" wrapText="false" indent="0" shrinkToFit="false"/>
      <protection locked="true" hidden="false"/>
    </xf>
    <xf numFmtId="178" fontId="12" fillId="5" borderId="16" xfId="21" applyFont="true" applyBorder="true" applyAlignment="true" applyProtection="true">
      <alignment horizontal="center" vertical="bottom" textRotation="0" wrapText="false" indent="0" shrinkToFit="false"/>
      <protection locked="true" hidden="false"/>
    </xf>
    <xf numFmtId="178" fontId="12" fillId="5" borderId="1" xfId="21" applyFont="true" applyBorder="true" applyAlignment="true" applyProtection="true">
      <alignment horizontal="center" vertical="bottom" textRotation="0" wrapText="false" indent="0" shrinkToFit="false"/>
      <protection locked="true" hidden="false"/>
    </xf>
    <xf numFmtId="167" fontId="8" fillId="0" borderId="5" xfId="21" applyFont="true" applyBorder="true" applyAlignment="true" applyProtection="true">
      <alignment horizontal="center" vertical="bottom" textRotation="0" wrapText="false" indent="0" shrinkToFit="false"/>
      <protection locked="true" hidden="false"/>
    </xf>
    <xf numFmtId="167" fontId="8" fillId="0" borderId="1" xfId="21" applyFont="true" applyBorder="true" applyAlignment="true" applyProtection="true">
      <alignment horizontal="center" vertical="bottom" textRotation="0" wrapText="false" indent="0" shrinkToFit="false"/>
      <protection locked="true" hidden="false"/>
    </xf>
    <xf numFmtId="167" fontId="8" fillId="0" borderId="17" xfId="21" applyFont="true" applyBorder="true" applyAlignment="true" applyProtection="true">
      <alignment horizontal="center" vertical="bottom" textRotation="0" wrapText="false" indent="0" shrinkToFit="false"/>
      <protection locked="true" hidden="false"/>
    </xf>
    <xf numFmtId="178" fontId="12" fillId="13" borderId="16" xfId="21" applyFont="true" applyBorder="true" applyAlignment="true" applyProtection="true">
      <alignment horizontal="center" vertical="bottom" textRotation="0" wrapText="false" indent="0" shrinkToFit="false"/>
      <protection locked="true" hidden="false"/>
    </xf>
    <xf numFmtId="167" fontId="28" fillId="0" borderId="1" xfId="21" applyFont="true" applyBorder="true" applyAlignment="true" applyProtection="true">
      <alignment horizontal="center" vertical="bottom" textRotation="0" wrapText="false" indent="0" shrinkToFit="false"/>
      <protection locked="true" hidden="false"/>
    </xf>
    <xf numFmtId="164" fontId="8" fillId="0" borderId="1" xfId="21" applyFont="true" applyBorder="true" applyAlignment="true" applyProtection="true">
      <alignment horizontal="center" vertical="bottom" textRotation="0" wrapText="false" indent="0" shrinkToFit="false"/>
      <protection locked="true" hidden="false"/>
    </xf>
    <xf numFmtId="164" fontId="29" fillId="0" borderId="0" xfId="21" applyFont="true" applyBorder="true" applyAlignment="true" applyProtection="true">
      <alignment horizontal="center" vertical="center" textRotation="0" wrapText="false" indent="0" shrinkToFit="false"/>
      <protection locked="true" hidden="false"/>
    </xf>
    <xf numFmtId="164" fontId="14" fillId="14" borderId="1" xfId="21" applyFont="true" applyBorder="true" applyAlignment="true" applyProtection="true">
      <alignment horizontal="left" vertical="center" textRotation="0" wrapText="false" indent="0" shrinkToFit="false"/>
      <protection locked="true" hidden="false"/>
    </xf>
    <xf numFmtId="164" fontId="30" fillId="15" borderId="1" xfId="21" applyFont="true" applyBorder="true" applyAlignment="true" applyProtection="true">
      <alignment horizontal="center" vertical="bottom" textRotation="0" wrapText="false" indent="0" shrinkToFit="false"/>
      <protection locked="true" hidden="false"/>
    </xf>
    <xf numFmtId="164" fontId="14" fillId="16" borderId="1" xfId="21" applyFont="true" applyBorder="true" applyAlignment="true" applyProtection="true">
      <alignment horizontal="center" vertical="bottom" textRotation="0" wrapText="false" indent="0" shrinkToFit="false"/>
      <protection locked="true" hidden="false"/>
    </xf>
    <xf numFmtId="164" fontId="14" fillId="16" borderId="14" xfId="21" applyFont="true" applyBorder="true" applyAlignment="true" applyProtection="true">
      <alignment horizontal="center" vertical="bottom" textRotation="0" wrapText="false" indent="0" shrinkToFit="false"/>
      <protection locked="true" hidden="false"/>
    </xf>
    <xf numFmtId="164" fontId="31" fillId="0" borderId="0" xfId="21" applyFont="true" applyBorder="true" applyAlignment="true" applyProtection="true">
      <alignment horizontal="general" vertical="bottom" textRotation="0" wrapText="false" indent="0" shrinkToFit="false"/>
      <protection locked="true" hidden="false"/>
    </xf>
    <xf numFmtId="164" fontId="32" fillId="10" borderId="1" xfId="21" applyFont="true" applyBorder="true" applyAlignment="true" applyProtection="true">
      <alignment horizontal="center" vertical="bottom" textRotation="0" wrapText="false" indent="0" shrinkToFit="false"/>
      <protection locked="true" hidden="false"/>
    </xf>
    <xf numFmtId="164" fontId="32" fillId="10" borderId="5" xfId="21" applyFont="true" applyBorder="true" applyAlignment="true" applyProtection="true">
      <alignment horizontal="center" vertical="bottom" textRotation="0" wrapText="false" indent="0" shrinkToFit="false"/>
      <protection locked="true" hidden="false"/>
    </xf>
    <xf numFmtId="164" fontId="33" fillId="10" borderId="1" xfId="21" applyFont="true" applyBorder="true" applyAlignment="true" applyProtection="true">
      <alignment horizontal="center" vertical="bottom" textRotation="0" wrapText="true" indent="0" shrinkToFit="false"/>
      <protection locked="true" hidden="false"/>
    </xf>
    <xf numFmtId="178" fontId="12" fillId="8" borderId="1" xfId="21" applyFont="true" applyBorder="true" applyAlignment="true" applyProtection="true">
      <alignment horizontal="center" vertical="bottom" textRotation="0" wrapText="false" indent="0" shrinkToFit="false"/>
      <protection locked="true" hidden="false"/>
    </xf>
    <xf numFmtId="165" fontId="9" fillId="17" borderId="1" xfId="15" applyFont="true" applyBorder="true" applyAlignment="true" applyProtection="true">
      <alignment horizontal="center" vertical="bottom" textRotation="0" wrapText="false" indent="0" shrinkToFit="false"/>
      <protection locked="true" hidden="false"/>
    </xf>
    <xf numFmtId="164" fontId="14" fillId="0" borderId="1" xfId="21" applyFont="true" applyBorder="true" applyAlignment="true" applyProtection="true">
      <alignment horizontal="center" vertical="bottom" textRotation="0" wrapText="false" indent="0" shrinkToFit="false"/>
      <protection locked="true" hidden="false"/>
    </xf>
    <xf numFmtId="164" fontId="9" fillId="0" borderId="1" xfId="21" applyFont="true" applyBorder="true" applyAlignment="true" applyProtection="true">
      <alignment horizontal="center" vertical="bottom" textRotation="0" wrapText="false" indent="0" shrinkToFit="false"/>
      <protection locked="true" hidden="false"/>
    </xf>
    <xf numFmtId="164" fontId="32" fillId="16" borderId="1" xfId="21" applyFont="true" applyBorder="true" applyAlignment="true" applyProtection="true">
      <alignment horizontal="center" vertical="bottom" textRotation="0" wrapText="false" indent="0" shrinkToFit="false"/>
      <protection locked="true" hidden="false"/>
    </xf>
    <xf numFmtId="165" fontId="32" fillId="16" borderId="1" xfId="15" applyFont="true" applyBorder="true" applyAlignment="true" applyProtection="true">
      <alignment horizontal="center" vertical="bottom" textRotation="0" wrapText="false" indent="0" shrinkToFit="false"/>
      <protection locked="true" hidden="false"/>
    </xf>
    <xf numFmtId="165" fontId="32" fillId="14" borderId="1" xfId="15" applyFont="true" applyBorder="true" applyAlignment="true" applyProtection="true">
      <alignment horizontal="general" vertical="bottom" textRotation="0" wrapText="false" indent="0" shrinkToFit="false"/>
      <protection locked="true" hidden="false"/>
    </xf>
    <xf numFmtId="165" fontId="31" fillId="14" borderId="1" xfId="15" applyFont="true" applyBorder="true" applyAlignment="true" applyProtection="true">
      <alignment horizontal="center" vertical="bottom" textRotation="0" wrapText="false" indent="0" shrinkToFit="false"/>
      <protection locked="true" hidden="false"/>
    </xf>
    <xf numFmtId="165" fontId="32" fillId="16" borderId="1" xfId="15" applyFont="true" applyBorder="true" applyAlignment="true" applyProtection="true">
      <alignment horizontal="center" vertical="center" textRotation="0" wrapText="false" indent="0" shrinkToFit="false"/>
      <protection locked="true" hidden="false"/>
    </xf>
    <xf numFmtId="164" fontId="32" fillId="14" borderId="1" xfId="21" applyFont="true" applyBorder="true" applyAlignment="true" applyProtection="true">
      <alignment horizontal="center" vertical="bottom" textRotation="0" wrapText="false" indent="0" shrinkToFit="false"/>
      <protection locked="true" hidden="false"/>
    </xf>
    <xf numFmtId="164" fontId="32" fillId="16" borderId="1" xfId="21" applyFont="true" applyBorder="true" applyAlignment="true" applyProtection="true">
      <alignment horizontal="center" vertical="bottom" textRotation="0" wrapText="true" indent="0" shrinkToFit="false"/>
      <protection locked="true" hidden="false"/>
    </xf>
    <xf numFmtId="167" fontId="32" fillId="16" borderId="1" xfId="21" applyFont="true" applyBorder="true" applyAlignment="true" applyProtection="true">
      <alignment horizontal="center" vertical="bottom" textRotation="0" wrapText="true" indent="0" shrinkToFit="false"/>
      <protection locked="true" hidden="false"/>
    </xf>
    <xf numFmtId="167" fontId="32" fillId="16" borderId="0" xfId="21" applyFont="true" applyBorder="true" applyAlignment="true" applyProtection="true">
      <alignment horizontal="center" vertical="bottom" textRotation="0" wrapText="true" indent="0" shrinkToFit="false"/>
      <protection locked="true" hidden="false"/>
    </xf>
    <xf numFmtId="167" fontId="32" fillId="0" borderId="0" xfId="21" applyFont="true" applyBorder="true" applyAlignment="true" applyProtection="true">
      <alignment horizontal="center" vertical="bottom" textRotation="0" wrapText="true" indent="0" shrinkToFit="false"/>
      <protection locked="true" hidden="false"/>
    </xf>
    <xf numFmtId="164" fontId="31" fillId="0" borderId="0" xfId="21" applyFont="true" applyBorder="true" applyAlignment="true" applyProtection="true">
      <alignment horizontal="center" vertical="bottom" textRotation="0" wrapText="true" indent="0" shrinkToFit="false"/>
      <protection locked="true" hidden="false"/>
    </xf>
    <xf numFmtId="165" fontId="32" fillId="16" borderId="1" xfId="15" applyFont="true" applyBorder="true" applyAlignment="true" applyProtection="true">
      <alignment horizontal="center" vertical="bottom" textRotation="0" wrapText="true" indent="0" shrinkToFit="false"/>
      <protection locked="true" hidden="false"/>
    </xf>
    <xf numFmtId="169" fontId="32" fillId="0" borderId="1" xfId="21" applyFont="true" applyBorder="true" applyAlignment="true" applyProtection="true">
      <alignment horizontal="center" vertical="bottom" textRotation="0" wrapText="false" indent="0" shrinkToFit="false"/>
      <protection locked="true" hidden="false"/>
    </xf>
    <xf numFmtId="164" fontId="34" fillId="0" borderId="0" xfId="20" applyFont="false" applyBorder="true" applyAlignment="true" applyProtection="true">
      <alignment horizontal="center" vertical="center" textRotation="0" wrapText="false" indent="0" shrinkToFit="false"/>
      <protection locked="true" hidden="false"/>
    </xf>
    <xf numFmtId="167" fontId="9" fillId="0" borderId="17" xfId="21" applyFont="true" applyBorder="true" applyAlignment="true" applyProtection="true">
      <alignment horizontal="center" vertical="bottom" textRotation="0" wrapText="false" indent="0" shrinkToFit="false"/>
      <protection locked="true" hidden="false"/>
    </xf>
    <xf numFmtId="178" fontId="12" fillId="8" borderId="16" xfId="21" applyFont="true" applyBorder="true" applyAlignment="true" applyProtection="true">
      <alignment horizontal="center" vertical="bottom" textRotation="0" wrapText="false" indent="0" shrinkToFit="false"/>
      <protection locked="true" hidden="false"/>
    </xf>
    <xf numFmtId="165" fontId="9" fillId="17" borderId="14" xfId="15" applyFont="true" applyBorder="true" applyAlignment="true" applyProtection="true">
      <alignment horizontal="center" vertical="bottom" textRotation="0" wrapText="false" indent="0" shrinkToFit="false"/>
      <protection locked="true" hidden="false"/>
    </xf>
    <xf numFmtId="164" fontId="29" fillId="0" borderId="1" xfId="21" applyFont="true" applyBorder="true" applyAlignment="true" applyProtection="true">
      <alignment horizontal="center" vertical="center" textRotation="0" wrapText="false" indent="0" shrinkToFit="false"/>
      <protection locked="true" hidden="false"/>
    </xf>
    <xf numFmtId="165" fontId="32" fillId="16" borderId="5" xfId="15" applyFont="true" applyBorder="true" applyAlignment="true" applyProtection="true">
      <alignment horizontal="center" vertical="bottom" textRotation="0" wrapText="false" indent="0" shrinkToFit="false"/>
      <protection locked="true" hidden="false"/>
    </xf>
    <xf numFmtId="165" fontId="32" fillId="14" borderId="5" xfId="15" applyFont="true" applyBorder="true" applyAlignment="true" applyProtection="true">
      <alignment horizontal="general" vertical="bottom" textRotation="0" wrapText="false" indent="0" shrinkToFit="false"/>
      <protection locked="true" hidden="false"/>
    </xf>
    <xf numFmtId="165" fontId="31" fillId="14" borderId="5" xfId="15" applyFont="true" applyBorder="true" applyAlignment="true" applyProtection="true">
      <alignment horizontal="center" vertical="bottom" textRotation="0" wrapText="false" indent="0" shrinkToFit="false"/>
      <protection locked="true" hidden="false"/>
    </xf>
    <xf numFmtId="165" fontId="29" fillId="0" borderId="0" xfId="21" applyFont="true" applyBorder="true" applyAlignment="true" applyProtection="true">
      <alignment horizontal="center" vertical="center" textRotation="0" wrapText="false" indent="0" shrinkToFit="false"/>
      <protection locked="true" hidden="false"/>
    </xf>
    <xf numFmtId="178" fontId="12" fillId="8" borderId="17" xfId="21" applyFont="true" applyBorder="true" applyAlignment="true" applyProtection="true">
      <alignment horizontal="center" vertical="bottom" textRotation="0" wrapText="false" indent="0" shrinkToFit="false"/>
      <protection locked="true" hidden="false"/>
    </xf>
    <xf numFmtId="164" fontId="32" fillId="16" borderId="5" xfId="21" applyFont="true" applyBorder="true" applyAlignment="true" applyProtection="true">
      <alignment horizontal="center" vertical="bottom" textRotation="0" wrapText="false" indent="0" shrinkToFit="false"/>
      <protection locked="true" hidden="false"/>
    </xf>
    <xf numFmtId="164" fontId="35" fillId="9" borderId="1" xfId="0" applyFont="true" applyBorder="true" applyAlignment="true" applyProtection="false">
      <alignment horizontal="center" vertical="bottom" textRotation="0" wrapText="false" indent="0" shrinkToFit="false"/>
      <protection locked="true" hidden="false"/>
    </xf>
    <xf numFmtId="164" fontId="36" fillId="9" borderId="1" xfId="0" applyFont="true" applyBorder="true" applyAlignment="true" applyProtection="false">
      <alignment horizontal="center" vertical="center" textRotation="0" wrapText="false" indent="0" shrinkToFit="false"/>
      <protection locked="true" hidden="false"/>
    </xf>
    <xf numFmtId="164" fontId="37" fillId="9" borderId="1" xfId="0" applyFont="true" applyBorder="true" applyAlignment="false" applyProtection="false">
      <alignment horizontal="general" vertical="bottom" textRotation="0" wrapText="false" indent="0" shrinkToFit="false"/>
      <protection locked="true" hidden="false"/>
    </xf>
    <xf numFmtId="164" fontId="7" fillId="10" borderId="1" xfId="0" applyFont="true" applyBorder="true" applyAlignment="false" applyProtection="false">
      <alignment horizontal="general" vertical="bottom" textRotation="0" wrapText="false" indent="0" shrinkToFit="false"/>
      <protection locked="true" hidden="false"/>
    </xf>
    <xf numFmtId="164" fontId="38" fillId="9"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39" fillId="8" borderId="1" xfId="0" applyFont="true" applyBorder="true" applyAlignment="true" applyProtection="false">
      <alignment horizontal="center" vertical="center" textRotation="0" wrapText="false" indent="0" shrinkToFit="false"/>
      <protection locked="true" hidden="false"/>
    </xf>
    <xf numFmtId="164" fontId="10" fillId="8" borderId="1" xfId="0" applyFont="true" applyBorder="true" applyAlignment="true" applyProtection="false">
      <alignment horizontal="center" vertical="center" textRotation="0" wrapText="false" indent="0" shrinkToFit="false"/>
      <protection locked="true" hidden="false"/>
    </xf>
    <xf numFmtId="164" fontId="10" fillId="8" borderId="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79" fontId="9" fillId="6" borderId="1" xfId="0" applyFont="true" applyBorder="tru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67" fontId="8" fillId="0" borderId="1" xfId="0" applyFont="true" applyBorder="true" applyAlignment="true" applyProtection="false">
      <alignment horizontal="center" vertical="bottom" textRotation="0" wrapText="false" indent="0" shrinkToFit="false"/>
      <protection locked="true" hidden="false"/>
    </xf>
    <xf numFmtId="180" fontId="8" fillId="0" borderId="1" xfId="0" applyFont="true" applyBorder="true" applyAlignment="true" applyProtection="false">
      <alignment horizontal="center" vertical="bottom" textRotation="0" wrapText="false" indent="0" shrinkToFit="false"/>
      <protection locked="true" hidden="false"/>
    </xf>
    <xf numFmtId="177" fontId="8"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center" vertical="bottom" textRotation="0" wrapText="false" indent="0" shrinkToFit="false"/>
      <protection locked="true" hidden="false"/>
    </xf>
    <xf numFmtId="164" fontId="8" fillId="6" borderId="1" xfId="0" applyFont="true" applyBorder="true" applyAlignment="true" applyProtection="false">
      <alignment horizontal="center" vertical="bottom" textRotation="0" wrapText="false" indent="0" shrinkToFit="false"/>
      <protection locked="true" hidden="false"/>
    </xf>
    <xf numFmtId="167" fontId="8" fillId="6" borderId="1" xfId="0" applyFont="true" applyBorder="true" applyAlignment="true" applyProtection="false">
      <alignment horizontal="center" vertical="bottom" textRotation="0" wrapText="false" indent="0" shrinkToFit="false"/>
      <protection locked="true" hidden="false"/>
    </xf>
    <xf numFmtId="177" fontId="8" fillId="6" borderId="1" xfId="0" applyFont="true" applyBorder="true" applyAlignment="true" applyProtection="false">
      <alignment horizontal="center" vertical="bottom" textRotation="0" wrapText="false" indent="0" shrinkToFit="false"/>
      <protection locked="true" hidden="false"/>
    </xf>
    <xf numFmtId="164" fontId="40" fillId="6" borderId="1" xfId="0" applyFont="true" applyBorder="true" applyAlignment="true" applyProtection="false">
      <alignment horizontal="center" vertical="bottom" textRotation="0" wrapText="false" indent="0" shrinkToFit="false"/>
      <protection locked="true" hidden="false"/>
    </xf>
    <xf numFmtId="164" fontId="8" fillId="6" borderId="0" xfId="0" applyFont="true" applyBorder="false" applyAlignment="true" applyProtection="false">
      <alignment horizontal="center" vertical="bottom"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7" fillId="18" borderId="1" xfId="0" applyFont="true" applyBorder="true" applyAlignment="true" applyProtection="false">
      <alignment horizontal="center" vertical="bottom" textRotation="0" wrapText="false" indent="0" shrinkToFit="false"/>
      <protection locked="true" hidden="false"/>
    </xf>
    <xf numFmtId="164" fontId="7" fillId="18" borderId="1"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10" fillId="0" borderId="18" xfId="0" applyFont="true" applyBorder="true" applyAlignment="true" applyProtection="false">
      <alignment horizontal="center" vertical="center" textRotation="0" wrapText="true" indent="0" shrinkToFit="false"/>
      <protection locked="true" hidden="false"/>
    </xf>
    <xf numFmtId="164" fontId="10" fillId="0" borderId="19"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0" fillId="0" borderId="7" xfId="0" applyFont="true" applyBorder="true" applyAlignment="true" applyProtection="false">
      <alignment horizontal="center" vertical="bottom" textRotation="0" wrapText="true" indent="0" shrinkToFit="false"/>
      <protection locked="true" hidden="false"/>
    </xf>
    <xf numFmtId="181" fontId="8" fillId="0" borderId="6" xfId="0" applyFont="true" applyBorder="true" applyAlignment="false" applyProtection="false">
      <alignment horizontal="general" vertical="bottom" textRotation="0" wrapText="false" indent="0" shrinkToFit="false"/>
      <protection locked="true" hidden="false"/>
    </xf>
    <xf numFmtId="164" fontId="11" fillId="0" borderId="7" xfId="19" applyFont="true" applyBorder="true" applyAlignment="true" applyProtection="true">
      <alignment horizontal="center" vertical="bottom" textRotation="0" wrapText="true" indent="0" shrinkToFit="false"/>
      <protection locked="true" hidden="false"/>
    </xf>
    <xf numFmtId="172" fontId="11" fillId="0" borderId="7" xfId="19" applyFont="true" applyBorder="true" applyAlignment="true" applyProtection="true">
      <alignment horizontal="center" vertical="bottom" textRotation="0" wrapText="true" indent="0" shrinkToFit="false"/>
      <protection locked="true" hidden="false"/>
    </xf>
    <xf numFmtId="164" fontId="11" fillId="0" borderId="7" xfId="0" applyFont="true" applyBorder="true" applyAlignment="true" applyProtection="false">
      <alignment horizontal="center" vertical="bottom" textRotation="0" wrapText="true" indent="0" shrinkToFit="false"/>
      <protection locked="true" hidden="false"/>
    </xf>
    <xf numFmtId="164" fontId="10" fillId="0" borderId="6"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8"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false" applyProtection="false">
      <alignment horizontal="general" vertical="bottom" textRotation="0" wrapText="fals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6A6A6"/>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C000"/>
      <rgbColor rgb="FFFF6600"/>
      <rgbColor rgb="FF558ED5"/>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
</Relationships>
</file>

<file path=xl/drawings/_rels/drawing5.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 Id="rId5" Type="http://schemas.openxmlformats.org/officeDocument/2006/relationships/image" Target="../media/image13.png"/><Relationship Id="rId6" Type="http://schemas.openxmlformats.org/officeDocument/2006/relationships/image" Target="../media/image14.png"/><Relationship Id="rId7" Type="http://schemas.openxmlformats.org/officeDocument/2006/relationships/image" Target="../media/image15.png"/><Relationship Id="rId8"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161</xdr:row>
      <xdr:rowOff>-360</xdr:rowOff>
    </xdr:from>
    <xdr:to>
      <xdr:col>21</xdr:col>
      <xdr:colOff>208800</xdr:colOff>
      <xdr:row>199</xdr:row>
      <xdr:rowOff>75600</xdr:rowOff>
    </xdr:to>
    <xdr:pic>
      <xdr:nvPicPr>
        <xdr:cNvPr id="0" name="Picture 62" descr=""/>
        <xdr:cNvPicPr/>
      </xdr:nvPicPr>
      <xdr:blipFill>
        <a:blip r:embed="rId1"/>
        <a:stretch/>
      </xdr:blipFill>
      <xdr:spPr>
        <a:xfrm>
          <a:off x="0" y="30717720"/>
          <a:ext cx="16210800" cy="7314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21</xdr:col>
      <xdr:colOff>208800</xdr:colOff>
      <xdr:row>39</xdr:row>
      <xdr:rowOff>75600</xdr:rowOff>
    </xdr:to>
    <xdr:pic>
      <xdr:nvPicPr>
        <xdr:cNvPr id="1" name="Picture 16" descr=""/>
        <xdr:cNvPicPr/>
      </xdr:nvPicPr>
      <xdr:blipFill>
        <a:blip r:embed="rId1"/>
        <a:stretch/>
      </xdr:blipFill>
      <xdr:spPr>
        <a:xfrm>
          <a:off x="0" y="314280"/>
          <a:ext cx="16210800" cy="73144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19</xdr:col>
      <xdr:colOff>46800</xdr:colOff>
      <xdr:row>42</xdr:row>
      <xdr:rowOff>75600</xdr:rowOff>
    </xdr:to>
    <xdr:pic>
      <xdr:nvPicPr>
        <xdr:cNvPr id="2" name="Picture 1" descr=""/>
        <xdr:cNvPicPr/>
      </xdr:nvPicPr>
      <xdr:blipFill>
        <a:blip r:embed="rId1"/>
        <a:stretch/>
      </xdr:blipFill>
      <xdr:spPr>
        <a:xfrm>
          <a:off x="0" y="798120"/>
          <a:ext cx="16515360" cy="73144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34</xdr:row>
      <xdr:rowOff>133200</xdr:rowOff>
    </xdr:from>
    <xdr:to>
      <xdr:col>17</xdr:col>
      <xdr:colOff>761400</xdr:colOff>
      <xdr:row>73</xdr:row>
      <xdr:rowOff>18360</xdr:rowOff>
    </xdr:to>
    <xdr:pic>
      <xdr:nvPicPr>
        <xdr:cNvPr id="3" name="Picture 448" descr=""/>
        <xdr:cNvPicPr/>
      </xdr:nvPicPr>
      <xdr:blipFill>
        <a:blip r:embed="rId1"/>
        <a:stretch/>
      </xdr:blipFill>
      <xdr:spPr>
        <a:xfrm>
          <a:off x="0" y="6648120"/>
          <a:ext cx="13715280" cy="7314840"/>
        </a:xfrm>
        <a:prstGeom prst="rect">
          <a:avLst/>
        </a:prstGeom>
        <a:ln>
          <a:noFill/>
        </a:ln>
      </xdr:spPr>
    </xdr:pic>
    <xdr:clientData/>
  </xdr:twoCellAnchor>
  <xdr:twoCellAnchor editAs="oneCell">
    <xdr:from>
      <xdr:col>0</xdr:col>
      <xdr:colOff>0</xdr:colOff>
      <xdr:row>1</xdr:row>
      <xdr:rowOff>9360</xdr:rowOff>
    </xdr:from>
    <xdr:to>
      <xdr:col>17</xdr:col>
      <xdr:colOff>599400</xdr:colOff>
      <xdr:row>39</xdr:row>
      <xdr:rowOff>84960</xdr:rowOff>
    </xdr:to>
    <xdr:pic>
      <xdr:nvPicPr>
        <xdr:cNvPr id="4" name="Picture 459" descr=""/>
        <xdr:cNvPicPr/>
      </xdr:nvPicPr>
      <xdr:blipFill>
        <a:blip r:embed="rId2"/>
        <a:stretch/>
      </xdr:blipFill>
      <xdr:spPr>
        <a:xfrm>
          <a:off x="0" y="237960"/>
          <a:ext cx="13553280" cy="7314480"/>
        </a:xfrm>
        <a:prstGeom prst="rect">
          <a:avLst/>
        </a:prstGeom>
        <a:ln>
          <a:noFill/>
        </a:ln>
      </xdr:spPr>
    </xdr:pic>
    <xdr:clientData/>
  </xdr:twoCellAnchor>
  <xdr:twoCellAnchor editAs="oneCell">
    <xdr:from>
      <xdr:col>0</xdr:col>
      <xdr:colOff>0</xdr:colOff>
      <xdr:row>1</xdr:row>
      <xdr:rowOff>0</xdr:rowOff>
    </xdr:from>
    <xdr:to>
      <xdr:col>21</xdr:col>
      <xdr:colOff>208800</xdr:colOff>
      <xdr:row>39</xdr:row>
      <xdr:rowOff>75600</xdr:rowOff>
    </xdr:to>
    <xdr:pic>
      <xdr:nvPicPr>
        <xdr:cNvPr id="5" name="Picture 808" descr=""/>
        <xdr:cNvPicPr/>
      </xdr:nvPicPr>
      <xdr:blipFill>
        <a:blip r:embed="rId3"/>
        <a:stretch/>
      </xdr:blipFill>
      <xdr:spPr>
        <a:xfrm>
          <a:off x="0" y="228600"/>
          <a:ext cx="16210800" cy="7314480"/>
        </a:xfrm>
        <a:prstGeom prst="rect">
          <a:avLst/>
        </a:prstGeom>
        <a:ln>
          <a:noFill/>
        </a:ln>
      </xdr:spPr>
    </xdr:pic>
    <xdr:clientData/>
  </xdr:twoCellAnchor>
  <xdr:twoCellAnchor editAs="oneCell">
    <xdr:from>
      <xdr:col>0</xdr:col>
      <xdr:colOff>0</xdr:colOff>
      <xdr:row>1</xdr:row>
      <xdr:rowOff>0</xdr:rowOff>
    </xdr:from>
    <xdr:to>
      <xdr:col>21</xdr:col>
      <xdr:colOff>208800</xdr:colOff>
      <xdr:row>39</xdr:row>
      <xdr:rowOff>75600</xdr:rowOff>
    </xdr:to>
    <xdr:pic>
      <xdr:nvPicPr>
        <xdr:cNvPr id="6" name="Picture 809" descr=""/>
        <xdr:cNvPicPr/>
      </xdr:nvPicPr>
      <xdr:blipFill>
        <a:blip r:embed="rId4"/>
        <a:stretch/>
      </xdr:blipFill>
      <xdr:spPr>
        <a:xfrm>
          <a:off x="0" y="228600"/>
          <a:ext cx="16210800" cy="7314480"/>
        </a:xfrm>
        <a:prstGeom prst="rect">
          <a:avLst/>
        </a:prstGeom>
        <a:ln>
          <a:noFill/>
        </a:ln>
      </xdr:spPr>
    </xdr:pic>
    <xdr:clientData/>
  </xdr:twoCellAnchor>
  <xdr:twoCellAnchor editAs="oneCell">
    <xdr:from>
      <xdr:col>0</xdr:col>
      <xdr:colOff>0</xdr:colOff>
      <xdr:row>74</xdr:row>
      <xdr:rowOff>0</xdr:rowOff>
    </xdr:from>
    <xdr:to>
      <xdr:col>21</xdr:col>
      <xdr:colOff>208800</xdr:colOff>
      <xdr:row>112</xdr:row>
      <xdr:rowOff>75600</xdr:rowOff>
    </xdr:to>
    <xdr:pic>
      <xdr:nvPicPr>
        <xdr:cNvPr id="7" name="Picture 814" descr=""/>
        <xdr:cNvPicPr/>
      </xdr:nvPicPr>
      <xdr:blipFill>
        <a:blip r:embed="rId5"/>
        <a:stretch/>
      </xdr:blipFill>
      <xdr:spPr>
        <a:xfrm>
          <a:off x="0" y="14135040"/>
          <a:ext cx="16210800" cy="73144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21</xdr:col>
      <xdr:colOff>208800</xdr:colOff>
      <xdr:row>39</xdr:row>
      <xdr:rowOff>75600</xdr:rowOff>
    </xdr:to>
    <xdr:pic>
      <xdr:nvPicPr>
        <xdr:cNvPr id="8" name="Picture 1" descr=""/>
        <xdr:cNvPicPr/>
      </xdr:nvPicPr>
      <xdr:blipFill>
        <a:blip r:embed="rId1"/>
        <a:stretch/>
      </xdr:blipFill>
      <xdr:spPr>
        <a:xfrm>
          <a:off x="0" y="190440"/>
          <a:ext cx="16210800" cy="7314480"/>
        </a:xfrm>
        <a:prstGeom prst="rect">
          <a:avLst/>
        </a:prstGeom>
        <a:ln>
          <a:noFill/>
        </a:ln>
      </xdr:spPr>
    </xdr:pic>
    <xdr:clientData/>
  </xdr:twoCellAnchor>
  <xdr:twoCellAnchor editAs="oneCell">
    <xdr:from>
      <xdr:col>0</xdr:col>
      <xdr:colOff>0</xdr:colOff>
      <xdr:row>41</xdr:row>
      <xdr:rowOff>0</xdr:rowOff>
    </xdr:from>
    <xdr:to>
      <xdr:col>21</xdr:col>
      <xdr:colOff>208800</xdr:colOff>
      <xdr:row>79</xdr:row>
      <xdr:rowOff>75600</xdr:rowOff>
    </xdr:to>
    <xdr:pic>
      <xdr:nvPicPr>
        <xdr:cNvPr id="9" name="Picture 2" descr=""/>
        <xdr:cNvPicPr/>
      </xdr:nvPicPr>
      <xdr:blipFill>
        <a:blip r:embed="rId2"/>
        <a:stretch/>
      </xdr:blipFill>
      <xdr:spPr>
        <a:xfrm>
          <a:off x="0" y="7810200"/>
          <a:ext cx="16210800" cy="7314840"/>
        </a:xfrm>
        <a:prstGeom prst="rect">
          <a:avLst/>
        </a:prstGeom>
        <a:ln>
          <a:noFill/>
        </a:ln>
      </xdr:spPr>
    </xdr:pic>
    <xdr:clientData/>
  </xdr:twoCellAnchor>
  <xdr:twoCellAnchor editAs="oneCell">
    <xdr:from>
      <xdr:col>0</xdr:col>
      <xdr:colOff>0</xdr:colOff>
      <xdr:row>81</xdr:row>
      <xdr:rowOff>0</xdr:rowOff>
    </xdr:from>
    <xdr:to>
      <xdr:col>21</xdr:col>
      <xdr:colOff>208800</xdr:colOff>
      <xdr:row>119</xdr:row>
      <xdr:rowOff>75600</xdr:rowOff>
    </xdr:to>
    <xdr:pic>
      <xdr:nvPicPr>
        <xdr:cNvPr id="10" name="Picture 3" descr=""/>
        <xdr:cNvPicPr/>
      </xdr:nvPicPr>
      <xdr:blipFill>
        <a:blip r:embed="rId3"/>
        <a:stretch/>
      </xdr:blipFill>
      <xdr:spPr>
        <a:xfrm>
          <a:off x="0" y="15430320"/>
          <a:ext cx="16210800" cy="7314480"/>
        </a:xfrm>
        <a:prstGeom prst="rect">
          <a:avLst/>
        </a:prstGeom>
        <a:ln>
          <a:noFill/>
        </a:ln>
      </xdr:spPr>
    </xdr:pic>
    <xdr:clientData/>
  </xdr:twoCellAnchor>
  <xdr:twoCellAnchor editAs="oneCell">
    <xdr:from>
      <xdr:col>0</xdr:col>
      <xdr:colOff>0</xdr:colOff>
      <xdr:row>121</xdr:row>
      <xdr:rowOff>0</xdr:rowOff>
    </xdr:from>
    <xdr:to>
      <xdr:col>21</xdr:col>
      <xdr:colOff>208800</xdr:colOff>
      <xdr:row>159</xdr:row>
      <xdr:rowOff>75600</xdr:rowOff>
    </xdr:to>
    <xdr:pic>
      <xdr:nvPicPr>
        <xdr:cNvPr id="11" name="Picture 4" descr=""/>
        <xdr:cNvPicPr/>
      </xdr:nvPicPr>
      <xdr:blipFill>
        <a:blip r:embed="rId4"/>
        <a:stretch/>
      </xdr:blipFill>
      <xdr:spPr>
        <a:xfrm>
          <a:off x="0" y="23050440"/>
          <a:ext cx="16210800" cy="7314480"/>
        </a:xfrm>
        <a:prstGeom prst="rect">
          <a:avLst/>
        </a:prstGeom>
        <a:ln>
          <a:noFill/>
        </a:ln>
      </xdr:spPr>
    </xdr:pic>
    <xdr:clientData/>
  </xdr:twoCellAnchor>
  <xdr:twoCellAnchor editAs="oneCell">
    <xdr:from>
      <xdr:col>0</xdr:col>
      <xdr:colOff>0</xdr:colOff>
      <xdr:row>161</xdr:row>
      <xdr:rowOff>0</xdr:rowOff>
    </xdr:from>
    <xdr:to>
      <xdr:col>21</xdr:col>
      <xdr:colOff>208800</xdr:colOff>
      <xdr:row>199</xdr:row>
      <xdr:rowOff>75600</xdr:rowOff>
    </xdr:to>
    <xdr:pic>
      <xdr:nvPicPr>
        <xdr:cNvPr id="12" name="Picture 5" descr=""/>
        <xdr:cNvPicPr/>
      </xdr:nvPicPr>
      <xdr:blipFill>
        <a:blip r:embed="rId5"/>
        <a:stretch/>
      </xdr:blipFill>
      <xdr:spPr>
        <a:xfrm>
          <a:off x="0" y="30670200"/>
          <a:ext cx="16210800" cy="7314840"/>
        </a:xfrm>
        <a:prstGeom prst="rect">
          <a:avLst/>
        </a:prstGeom>
        <a:ln>
          <a:noFill/>
        </a:ln>
      </xdr:spPr>
    </xdr:pic>
    <xdr:clientData/>
  </xdr:twoCellAnchor>
  <xdr:twoCellAnchor editAs="oneCell">
    <xdr:from>
      <xdr:col>0</xdr:col>
      <xdr:colOff>0</xdr:colOff>
      <xdr:row>201</xdr:row>
      <xdr:rowOff>0</xdr:rowOff>
    </xdr:from>
    <xdr:to>
      <xdr:col>21</xdr:col>
      <xdr:colOff>208800</xdr:colOff>
      <xdr:row>239</xdr:row>
      <xdr:rowOff>75600</xdr:rowOff>
    </xdr:to>
    <xdr:pic>
      <xdr:nvPicPr>
        <xdr:cNvPr id="13" name="Picture 6" descr=""/>
        <xdr:cNvPicPr/>
      </xdr:nvPicPr>
      <xdr:blipFill>
        <a:blip r:embed="rId6"/>
        <a:stretch/>
      </xdr:blipFill>
      <xdr:spPr>
        <a:xfrm>
          <a:off x="0" y="38290320"/>
          <a:ext cx="16210800" cy="7314480"/>
        </a:xfrm>
        <a:prstGeom prst="rect">
          <a:avLst/>
        </a:prstGeom>
        <a:ln>
          <a:noFill/>
        </a:ln>
      </xdr:spPr>
    </xdr:pic>
    <xdr:clientData/>
  </xdr:twoCellAnchor>
  <xdr:twoCellAnchor editAs="oneCell">
    <xdr:from>
      <xdr:col>0</xdr:col>
      <xdr:colOff>0</xdr:colOff>
      <xdr:row>241</xdr:row>
      <xdr:rowOff>0</xdr:rowOff>
    </xdr:from>
    <xdr:to>
      <xdr:col>21</xdr:col>
      <xdr:colOff>208800</xdr:colOff>
      <xdr:row>279</xdr:row>
      <xdr:rowOff>75600</xdr:rowOff>
    </xdr:to>
    <xdr:pic>
      <xdr:nvPicPr>
        <xdr:cNvPr id="14" name="Picture 7" descr=""/>
        <xdr:cNvPicPr/>
      </xdr:nvPicPr>
      <xdr:blipFill>
        <a:blip r:embed="rId7"/>
        <a:stretch/>
      </xdr:blipFill>
      <xdr:spPr>
        <a:xfrm>
          <a:off x="0" y="45910440"/>
          <a:ext cx="16210800" cy="7314480"/>
        </a:xfrm>
        <a:prstGeom prst="rect">
          <a:avLst/>
        </a:prstGeom>
        <a:ln>
          <a:noFill/>
        </a:ln>
      </xdr:spPr>
    </xdr:pic>
    <xdr:clientData/>
  </xdr:twoCellAnchor>
  <xdr:twoCellAnchor editAs="oneCell">
    <xdr:from>
      <xdr:col>0</xdr:col>
      <xdr:colOff>0</xdr:colOff>
      <xdr:row>281</xdr:row>
      <xdr:rowOff>0</xdr:rowOff>
    </xdr:from>
    <xdr:to>
      <xdr:col>21</xdr:col>
      <xdr:colOff>208800</xdr:colOff>
      <xdr:row>319</xdr:row>
      <xdr:rowOff>75600</xdr:rowOff>
    </xdr:to>
    <xdr:pic>
      <xdr:nvPicPr>
        <xdr:cNvPr id="15" name="Picture 15" descr=""/>
        <xdr:cNvPicPr/>
      </xdr:nvPicPr>
      <xdr:blipFill>
        <a:blip r:embed="rId8"/>
        <a:stretch/>
      </xdr:blipFill>
      <xdr:spPr>
        <a:xfrm>
          <a:off x="0" y="53530200"/>
          <a:ext cx="16210800" cy="7314840"/>
        </a:xfrm>
        <a:prstGeom prst="rect">
          <a:avLst/>
        </a:prstGeom>
        <a:ln>
          <a:noFill/>
        </a:ln>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25"/>
  <cols>
    <col collapsed="false" hidden="false" max="1" min="1" style="1" width="9.10526315789474"/>
    <col collapsed="false" hidden="false" max="2" min="2" style="2" width="142.145748987854"/>
    <col collapsed="false" hidden="false" max="1025" min="3" style="2" width="9.10526315789474"/>
  </cols>
  <sheetData>
    <row r="1" s="4" customFormat="true" ht="15.75" hidden="false" customHeight="false" outlineLevel="0" collapsed="false">
      <c r="A1" s="3" t="s">
        <v>0</v>
      </c>
      <c r="B1" s="3" t="s">
        <v>1</v>
      </c>
    </row>
    <row r="2" customFormat="false" ht="15" hidden="false" customHeight="false" outlineLevel="0" collapsed="false">
      <c r="A2" s="5" t="s">
        <v>2</v>
      </c>
      <c r="B2" s="6"/>
    </row>
    <row r="3" customFormat="false" ht="15" hidden="false" customHeight="false" outlineLevel="0" collapsed="false">
      <c r="A3" s="5" t="s">
        <v>2</v>
      </c>
      <c r="B3" s="7"/>
    </row>
    <row r="4" customFormat="false" ht="15" hidden="false" customHeight="false" outlineLevel="0" collapsed="false">
      <c r="A4" s="5" t="s">
        <v>2</v>
      </c>
      <c r="B4" s="6"/>
    </row>
    <row r="5" customFormat="false" ht="15" hidden="false" customHeight="false" outlineLevel="0" collapsed="false">
      <c r="A5" s="5" t="s">
        <v>2</v>
      </c>
      <c r="B5" s="6"/>
    </row>
    <row r="6" customFormat="false" ht="15" hidden="false" customHeight="false" outlineLevel="0" collapsed="false">
      <c r="A6" s="5" t="s">
        <v>2</v>
      </c>
      <c r="B6" s="6"/>
    </row>
    <row r="7" customFormat="false" ht="15" hidden="false" customHeight="false" outlineLevel="0" collapsed="false">
      <c r="A7" s="5" t="s">
        <v>2</v>
      </c>
      <c r="B7" s="6"/>
    </row>
    <row r="8" customFormat="false" ht="15" hidden="false" customHeight="false" outlineLevel="0" collapsed="false">
      <c r="A8" s="5" t="s">
        <v>2</v>
      </c>
      <c r="B8" s="6"/>
    </row>
    <row r="9" customFormat="false" ht="15" hidden="false" customHeight="false" outlineLevel="0" collapsed="false">
      <c r="A9" s="5" t="s">
        <v>2</v>
      </c>
      <c r="B9" s="6"/>
    </row>
    <row r="10" customFormat="false" ht="15" hidden="false" customHeight="false" outlineLevel="0" collapsed="false">
      <c r="A10" s="5" t="s">
        <v>2</v>
      </c>
      <c r="B10" s="6"/>
    </row>
    <row r="11" customFormat="false" ht="15" hidden="false" customHeight="false" outlineLevel="0" collapsed="false">
      <c r="A11" s="5" t="s">
        <v>2</v>
      </c>
      <c r="B11" s="6"/>
    </row>
    <row r="12" customFormat="false" ht="15" hidden="false" customHeight="false" outlineLevel="0" collapsed="false">
      <c r="A12" s="5" t="s">
        <v>2</v>
      </c>
      <c r="B12" s="6"/>
    </row>
    <row r="13" customFormat="false" ht="15" hidden="false" customHeight="false" outlineLevel="0" collapsed="false">
      <c r="A13" s="5" t="s">
        <v>2</v>
      </c>
      <c r="B13" s="6"/>
    </row>
    <row r="14" customFormat="false" ht="15" hidden="false" customHeight="false" outlineLevel="0" collapsed="false">
      <c r="A14" s="5" t="s">
        <v>2</v>
      </c>
      <c r="B14" s="6"/>
    </row>
    <row r="15" customFormat="false" ht="15" hidden="false" customHeight="false" outlineLevel="0" collapsed="false">
      <c r="A15" s="5" t="s">
        <v>2</v>
      </c>
      <c r="B15" s="6"/>
    </row>
    <row r="16" customFormat="false" ht="15" hidden="false" customHeight="false" outlineLevel="0" collapsed="false">
      <c r="A16" s="5" t="s">
        <v>2</v>
      </c>
      <c r="B16" s="6"/>
    </row>
    <row r="17" customFormat="false" ht="15" hidden="false" customHeight="false" outlineLevel="0" collapsed="false">
      <c r="A17" s="5" t="s">
        <v>2</v>
      </c>
      <c r="B17" s="6"/>
    </row>
    <row r="18" customFormat="false" ht="15" hidden="false" customHeight="false" outlineLevel="0" collapsed="false">
      <c r="A18" s="5" t="s">
        <v>2</v>
      </c>
      <c r="B18" s="6"/>
    </row>
    <row r="19" customFormat="false" ht="15" hidden="false" customHeight="false" outlineLevel="0" collapsed="false">
      <c r="A19" s="5" t="s">
        <v>2</v>
      </c>
      <c r="B19" s="6"/>
    </row>
    <row r="20" customFormat="false" ht="15" hidden="false" customHeight="false" outlineLevel="0" collapsed="false">
      <c r="A20" s="5" t="s">
        <v>2</v>
      </c>
      <c r="B20" s="6"/>
    </row>
    <row r="21" customFormat="false" ht="15" hidden="false" customHeight="false" outlineLevel="0" collapsed="false">
      <c r="A21" s="5" t="s">
        <v>2</v>
      </c>
      <c r="B21" s="6"/>
    </row>
    <row r="22" customFormat="false" ht="15" hidden="false" customHeight="false" outlineLevel="0" collapsed="false">
      <c r="A22" s="5" t="s">
        <v>2</v>
      </c>
      <c r="B22" s="6"/>
    </row>
    <row r="23" customFormat="false" ht="15" hidden="false" customHeight="false" outlineLevel="0" collapsed="false">
      <c r="A23" s="5" t="s">
        <v>2</v>
      </c>
      <c r="B23" s="6"/>
    </row>
    <row r="24" customFormat="false" ht="15" hidden="false" customHeight="false" outlineLevel="0" collapsed="false">
      <c r="A24" s="5" t="s">
        <v>2</v>
      </c>
      <c r="B24"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R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5" activeCellId="0" sqref="A75"/>
    </sheetView>
  </sheetViews>
  <sheetFormatPr defaultRowHeight="15"/>
  <cols>
    <col collapsed="false" hidden="false" max="1025" min="1" style="0" width="8.57085020242915"/>
  </cols>
  <sheetData>
    <row r="1" customFormat="false" ht="18" hidden="false" customHeight="true" outlineLevel="0" collapsed="false">
      <c r="A1" s="187" t="s">
        <v>206</v>
      </c>
      <c r="B1" s="187"/>
      <c r="C1" s="187"/>
      <c r="D1" s="187"/>
      <c r="E1" s="187"/>
      <c r="F1" s="187"/>
      <c r="G1" s="187"/>
      <c r="H1" s="187"/>
      <c r="I1" s="187"/>
      <c r="J1" s="187"/>
      <c r="K1" s="187"/>
      <c r="L1" s="187"/>
      <c r="M1" s="187"/>
      <c r="N1" s="187"/>
      <c r="O1" s="187"/>
      <c r="P1" s="187"/>
      <c r="Q1" s="187"/>
      <c r="R1" s="187"/>
    </row>
  </sheetData>
  <mergeCells count="1">
    <mergeCell ref="A1:R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2.75"/>
  <cols>
    <col collapsed="false" hidden="false" max="1" min="1" style="11" width="9.10526315789474"/>
    <col collapsed="false" hidden="false" max="2" min="2" style="11" width="20.1376518218623"/>
    <col collapsed="false" hidden="false" max="4" min="3" style="11" width="12.1052631578947"/>
    <col collapsed="false" hidden="false" max="5" min="5" style="11" width="12.2105263157895"/>
    <col collapsed="false" hidden="false" max="6" min="6" style="11" width="10.1781376518219"/>
    <col collapsed="false" hidden="false" max="7" min="7" style="11" width="16.3886639676113"/>
    <col collapsed="false" hidden="false" max="8" min="8" style="11" width="10.497975708502"/>
    <col collapsed="false" hidden="false" max="9" min="9" style="11" width="9.10526315789474"/>
    <col collapsed="false" hidden="false" max="10" min="10" style="11" width="12.8542510121458"/>
    <col collapsed="false" hidden="false" max="13" min="11" style="11" width="9.10526315789474"/>
    <col collapsed="false" hidden="false" max="14" min="14" style="11" width="11.0323886639676"/>
    <col collapsed="false" hidden="false" max="16" min="15" style="11" width="13.9271255060729"/>
    <col collapsed="false" hidden="false" max="1025" min="17" style="11" width="9.10526315789474"/>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188"/>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92" customFormat="true" ht="28.5" hidden="false" customHeight="false" outlineLevel="0" collapsed="false">
      <c r="A3" s="189" t="s">
        <v>207</v>
      </c>
      <c r="B3" s="190" t="s">
        <v>178</v>
      </c>
      <c r="C3" s="189" t="s">
        <v>208</v>
      </c>
      <c r="D3" s="189" t="s">
        <v>209</v>
      </c>
      <c r="E3" s="190" t="s">
        <v>210</v>
      </c>
      <c r="F3" s="190" t="s">
        <v>211</v>
      </c>
      <c r="G3" s="191" t="s">
        <v>212</v>
      </c>
      <c r="H3" s="190" t="s">
        <v>213</v>
      </c>
      <c r="I3" s="190" t="s">
        <v>214</v>
      </c>
      <c r="J3" s="190" t="s">
        <v>215</v>
      </c>
    </row>
    <row r="4" s="12" customFormat="true" ht="12.75" hidden="false" customHeight="false" outlineLevel="0" collapsed="false">
      <c r="A4" s="26" t="n">
        <v>1</v>
      </c>
      <c r="B4" s="193"/>
      <c r="C4" s="194"/>
      <c r="D4" s="195"/>
      <c r="E4" s="196"/>
      <c r="F4" s="197"/>
      <c r="G4" s="197"/>
      <c r="H4" s="26"/>
      <c r="I4" s="198"/>
      <c r="J4" s="26"/>
    </row>
    <row r="5" s="203" customFormat="true" ht="12.75" hidden="false" customHeight="false" outlineLevel="0" collapsed="false">
      <c r="A5" s="199" t="n">
        <v>2</v>
      </c>
      <c r="B5" s="195"/>
      <c r="C5" s="200"/>
      <c r="D5" s="200"/>
      <c r="E5" s="201"/>
      <c r="F5" s="201"/>
      <c r="G5" s="201"/>
      <c r="H5" s="199"/>
      <c r="I5" s="202"/>
      <c r="J5" s="26"/>
    </row>
    <row r="6" s="12" customFormat="true" ht="12.75" hidden="false" customHeight="false" outlineLevel="0" collapsed="false">
      <c r="A6" s="26" t="n">
        <v>3</v>
      </c>
      <c r="B6" s="195"/>
      <c r="C6" s="195"/>
      <c r="D6" s="195"/>
      <c r="E6" s="197"/>
      <c r="F6" s="197"/>
      <c r="G6" s="197"/>
      <c r="H6" s="26"/>
      <c r="I6" s="198"/>
      <c r="J6" s="26"/>
    </row>
    <row r="7" customFormat="false" ht="12.75" hidden="false" customHeight="false" outlineLevel="0" collapsed="false">
      <c r="A7" s="26" t="n">
        <v>4</v>
      </c>
      <c r="B7" s="195"/>
      <c r="C7" s="195"/>
      <c r="D7" s="195"/>
      <c r="E7" s="197"/>
      <c r="F7" s="197"/>
      <c r="G7" s="197"/>
      <c r="H7" s="197"/>
      <c r="I7" s="197"/>
      <c r="J7" s="197"/>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3" customFormat="true" ht="12.75" hidden="false" customHeight="false" outlineLevel="0" collapsed="false">
      <c r="A8" s="199" t="n">
        <v>5</v>
      </c>
      <c r="B8" s="195"/>
      <c r="C8" s="195"/>
      <c r="D8" s="195"/>
      <c r="E8" s="199"/>
      <c r="F8" s="199"/>
      <c r="G8" s="197"/>
      <c r="H8" s="197"/>
      <c r="I8" s="197"/>
      <c r="J8" s="197"/>
    </row>
    <row r="9" s="12" customFormat="true" ht="12.75" hidden="false" customHeight="false" outlineLevel="0" collapsed="false">
      <c r="A9" s="26" t="n">
        <v>6</v>
      </c>
      <c r="B9" s="195"/>
      <c r="C9" s="195"/>
      <c r="D9" s="195"/>
      <c r="E9" s="26"/>
      <c r="F9" s="26"/>
      <c r="G9" s="197"/>
      <c r="H9" s="197"/>
      <c r="I9" s="197"/>
      <c r="J9" s="197"/>
    </row>
    <row r="10" s="203" customFormat="true" ht="12.75" hidden="false" customHeight="false" outlineLevel="0" collapsed="false">
      <c r="A10" s="199" t="n">
        <v>7</v>
      </c>
      <c r="B10" s="195"/>
      <c r="C10" s="195"/>
      <c r="D10" s="195"/>
      <c r="E10" s="199"/>
      <c r="F10" s="199"/>
      <c r="G10" s="197"/>
      <c r="H10" s="197"/>
      <c r="I10" s="197"/>
      <c r="J10" s="197"/>
    </row>
    <row r="11" s="12" customFormat="true" ht="12.75" hidden="false" customHeight="false" outlineLevel="0" collapsed="false">
      <c r="A11" s="199" t="n">
        <v>8</v>
      </c>
      <c r="B11" s="195"/>
      <c r="C11" s="195"/>
      <c r="D11" s="200"/>
      <c r="E11" s="199"/>
      <c r="F11" s="199"/>
      <c r="G11" s="197"/>
      <c r="H11" s="197"/>
      <c r="I11" s="197"/>
      <c r="J11" s="197"/>
    </row>
    <row r="12" s="203" customFormat="true" ht="12.75" hidden="false" customHeight="false" outlineLevel="0" collapsed="false">
      <c r="A12" s="199" t="n">
        <v>9</v>
      </c>
      <c r="B12" s="195"/>
      <c r="C12" s="195"/>
      <c r="D12" s="200"/>
      <c r="E12" s="199"/>
      <c r="F12" s="199"/>
      <c r="G12" s="197"/>
      <c r="H12" s="197"/>
      <c r="I12" s="197"/>
      <c r="J12" s="197"/>
    </row>
    <row r="13" s="12" customFormat="true" ht="12.75" hidden="false" customHeight="false" outlineLevel="0" collapsed="false">
      <c r="A13" s="26" t="n">
        <v>10</v>
      </c>
      <c r="B13" s="204"/>
      <c r="C13" s="195"/>
      <c r="D13" s="195"/>
      <c r="E13" s="26"/>
      <c r="F13" s="26"/>
      <c r="G13" s="26"/>
      <c r="H13" s="26"/>
      <c r="I13" s="26"/>
      <c r="J13" s="204"/>
    </row>
    <row r="17" s="192" customFormat="true" ht="28.5" hidden="false" customHeight="false" outlineLevel="0" collapsed="false">
      <c r="A17" s="189" t="s">
        <v>207</v>
      </c>
      <c r="B17" s="190" t="s">
        <v>178</v>
      </c>
      <c r="C17" s="189" t="s">
        <v>208</v>
      </c>
      <c r="D17" s="189" t="s">
        <v>209</v>
      </c>
      <c r="E17" s="190" t="s">
        <v>210</v>
      </c>
      <c r="F17" s="190" t="s">
        <v>211</v>
      </c>
      <c r="G17" s="191" t="s">
        <v>212</v>
      </c>
      <c r="H17" s="190" t="s">
        <v>213</v>
      </c>
      <c r="I17" s="190" t="s">
        <v>214</v>
      </c>
      <c r="J17" s="190" t="s">
        <v>215</v>
      </c>
    </row>
    <row r="18" s="12" customFormat="true" ht="12.75" hidden="false" customHeight="false" outlineLevel="0" collapsed="false">
      <c r="A18" s="26" t="n">
        <v>1</v>
      </c>
      <c r="B18" s="193"/>
      <c r="C18" s="194"/>
      <c r="D18" s="195"/>
      <c r="E18" s="196"/>
      <c r="F18" s="197"/>
      <c r="G18" s="197"/>
      <c r="H18" s="26"/>
      <c r="I18" s="198"/>
      <c r="J18" s="26"/>
    </row>
    <row r="19" s="203" customFormat="true" ht="12.75" hidden="false" customHeight="false" outlineLevel="0" collapsed="false">
      <c r="A19" s="199" t="n">
        <v>2</v>
      </c>
      <c r="B19" s="195"/>
      <c r="C19" s="200"/>
      <c r="D19" s="200"/>
      <c r="E19" s="201"/>
      <c r="F19" s="201"/>
      <c r="G19" s="201"/>
      <c r="H19" s="199"/>
      <c r="I19" s="202"/>
      <c r="J19" s="26"/>
    </row>
    <row r="20" s="12" customFormat="true" ht="12.75" hidden="false" customHeight="false" outlineLevel="0" collapsed="false">
      <c r="A20" s="26" t="n">
        <v>3</v>
      </c>
      <c r="B20" s="195"/>
      <c r="C20" s="195"/>
      <c r="D20" s="195"/>
      <c r="E20" s="197"/>
      <c r="F20" s="197"/>
      <c r="G20" s="197"/>
      <c r="H20" s="26"/>
      <c r="I20" s="198"/>
      <c r="J20" s="26"/>
    </row>
    <row r="21" customFormat="false" ht="12.75" hidden="false" customHeight="false" outlineLevel="0" collapsed="false">
      <c r="A21" s="26" t="n">
        <v>4</v>
      </c>
      <c r="B21" s="195"/>
      <c r="C21" s="195"/>
      <c r="D21" s="195"/>
      <c r="E21" s="197"/>
      <c r="F21" s="197"/>
      <c r="G21" s="197"/>
      <c r="H21" s="197"/>
      <c r="I21" s="197"/>
      <c r="J21" s="197"/>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203" customFormat="true" ht="12.75" hidden="false" customHeight="false" outlineLevel="0" collapsed="false">
      <c r="A22" s="199" t="n">
        <v>5</v>
      </c>
      <c r="B22" s="195"/>
      <c r="C22" s="195"/>
      <c r="D22" s="195"/>
      <c r="E22" s="199"/>
      <c r="F22" s="199"/>
      <c r="G22" s="197"/>
      <c r="H22" s="197"/>
      <c r="I22" s="197"/>
      <c r="J22" s="197"/>
    </row>
    <row r="23" s="12" customFormat="true" ht="12.75" hidden="false" customHeight="false" outlineLevel="0" collapsed="false">
      <c r="A23" s="26" t="n">
        <v>6</v>
      </c>
      <c r="B23" s="195"/>
      <c r="C23" s="195"/>
      <c r="D23" s="195"/>
      <c r="E23" s="26"/>
      <c r="F23" s="26"/>
      <c r="G23" s="197"/>
      <c r="H23" s="197"/>
      <c r="I23" s="197"/>
      <c r="J23" s="197"/>
    </row>
    <row r="24" s="203" customFormat="true" ht="12.75" hidden="false" customHeight="false" outlineLevel="0" collapsed="false">
      <c r="A24" s="199" t="n">
        <v>7</v>
      </c>
      <c r="B24" s="195"/>
      <c r="C24" s="195"/>
      <c r="D24" s="195"/>
      <c r="E24" s="199"/>
      <c r="F24" s="199"/>
      <c r="G24" s="197"/>
      <c r="H24" s="197"/>
      <c r="I24" s="197"/>
      <c r="J24" s="197"/>
    </row>
    <row r="25" s="12" customFormat="true" ht="12.75" hidden="false" customHeight="false" outlineLevel="0" collapsed="false">
      <c r="A25" s="199" t="n">
        <v>8</v>
      </c>
      <c r="B25" s="195"/>
      <c r="C25" s="195"/>
      <c r="D25" s="200"/>
      <c r="E25" s="199"/>
      <c r="F25" s="199"/>
      <c r="G25" s="197"/>
      <c r="H25" s="197"/>
      <c r="I25" s="197"/>
      <c r="J25" s="197"/>
    </row>
    <row r="26" s="203" customFormat="true" ht="12.75" hidden="false" customHeight="false" outlineLevel="0" collapsed="false">
      <c r="A26" s="199" t="n">
        <v>9</v>
      </c>
      <c r="B26" s="195"/>
      <c r="C26" s="195"/>
      <c r="D26" s="200"/>
      <c r="E26" s="199"/>
      <c r="F26" s="199"/>
      <c r="G26" s="197"/>
      <c r="H26" s="197"/>
      <c r="I26" s="197"/>
      <c r="J26" s="197"/>
    </row>
    <row r="27" s="12" customFormat="true" ht="12.75" hidden="false" customHeight="false" outlineLevel="0" collapsed="false">
      <c r="A27" s="26" t="n">
        <v>10</v>
      </c>
      <c r="B27" s="204"/>
      <c r="C27" s="195"/>
      <c r="D27" s="195"/>
      <c r="E27" s="26"/>
      <c r="F27" s="26"/>
      <c r="G27" s="26"/>
      <c r="H27" s="26"/>
      <c r="I27" s="26"/>
      <c r="J27" s="20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247" colorId="64" zoomScale="100" zoomScaleNormal="100" zoomScalePageLayoutView="100" workbookViewId="0">
      <selection pane="topLeft" activeCell="A282" activeCellId="0" sqref="A282"/>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2:E42"/>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3" activeCellId="0" sqref="B33"/>
    </sheetView>
  </sheetViews>
  <sheetFormatPr defaultRowHeight="15"/>
  <cols>
    <col collapsed="false" hidden="false" max="1" min="1" style="0" width="40.0607287449393"/>
    <col collapsed="false" hidden="false" max="4" min="2" style="0" width="8.57085020242915"/>
    <col collapsed="false" hidden="false" max="5" min="5" style="0" width="10.1781376518219"/>
    <col collapsed="false" hidden="false" max="1025" min="6" style="0" width="8.57085020242915"/>
  </cols>
  <sheetData>
    <row r="2" customFormat="false" ht="15" hidden="false" customHeight="false" outlineLevel="0" collapsed="false">
      <c r="A2" s="205" t="s">
        <v>153</v>
      </c>
      <c r="B2" s="205"/>
    </row>
    <row r="3" customFormat="false" ht="15" hidden="false" customHeight="false" outlineLevel="0" collapsed="false">
      <c r="A3" s="205" t="s">
        <v>216</v>
      </c>
      <c r="B3" s="206" t="s">
        <v>217</v>
      </c>
    </row>
    <row r="4" customFormat="false" ht="15" hidden="false" customHeight="false" outlineLevel="0" collapsed="false">
      <c r="A4" s="205" t="s">
        <v>218</v>
      </c>
      <c r="B4" s="206" t="s">
        <v>140</v>
      </c>
    </row>
    <row r="5" customFormat="false" ht="15" hidden="false" customHeight="false" outlineLevel="0" collapsed="false">
      <c r="A5" s="6" t="s">
        <v>219</v>
      </c>
      <c r="B5" s="6" t="n">
        <v>177145</v>
      </c>
    </row>
    <row r="6" customFormat="false" ht="15" hidden="false" customHeight="false" outlineLevel="0" collapsed="false">
      <c r="A6" s="6" t="s">
        <v>220</v>
      </c>
      <c r="B6" s="6" t="n">
        <v>172558</v>
      </c>
    </row>
    <row r="7" customFormat="false" ht="15" hidden="false" customHeight="false" outlineLevel="0" collapsed="false">
      <c r="A7" s="6" t="s">
        <v>221</v>
      </c>
      <c r="B7" s="6" t="n">
        <v>119000</v>
      </c>
    </row>
    <row r="8" customFormat="false" ht="15" hidden="false" customHeight="false" outlineLevel="0" collapsed="false">
      <c r="A8" s="6" t="s">
        <v>222</v>
      </c>
      <c r="B8" s="6" t="n">
        <v>383085</v>
      </c>
    </row>
    <row r="9" customFormat="false" ht="15" hidden="false" customHeight="false" outlineLevel="0" collapsed="false">
      <c r="A9" s="6" t="s">
        <v>223</v>
      </c>
      <c r="B9" s="6" t="n">
        <v>2224126</v>
      </c>
    </row>
    <row r="10" customFormat="false" ht="15" hidden="false" customHeight="false" outlineLevel="0" collapsed="false">
      <c r="A10" s="6" t="s">
        <v>224</v>
      </c>
      <c r="B10" s="6" t="n">
        <v>211707</v>
      </c>
    </row>
    <row r="11" customFormat="false" ht="15" hidden="false" customHeight="false" outlineLevel="0" collapsed="false">
      <c r="A11" s="6" t="s">
        <v>225</v>
      </c>
      <c r="B11" s="6" t="n">
        <v>94700</v>
      </c>
    </row>
    <row r="12" customFormat="false" ht="15" hidden="false" customHeight="false" outlineLevel="0" collapsed="false">
      <c r="A12" s="6" t="s">
        <v>225</v>
      </c>
      <c r="B12" s="6" t="n">
        <v>131220</v>
      </c>
    </row>
    <row r="13" customFormat="false" ht="15" hidden="false" customHeight="false" outlineLevel="0" collapsed="false">
      <c r="A13" s="6" t="s">
        <v>225</v>
      </c>
      <c r="B13" s="6" t="n">
        <v>67900</v>
      </c>
    </row>
    <row r="14" customFormat="false" ht="15" hidden="false" customHeight="false" outlineLevel="0" collapsed="false">
      <c r="A14" s="6" t="s">
        <v>225</v>
      </c>
      <c r="B14" s="6" t="n">
        <v>57000</v>
      </c>
    </row>
    <row r="15" customFormat="false" ht="15" hidden="false" customHeight="false" outlineLevel="0" collapsed="false">
      <c r="A15" s="6" t="s">
        <v>226</v>
      </c>
      <c r="B15" s="6" t="n">
        <v>210524</v>
      </c>
    </row>
    <row r="16" customFormat="false" ht="15" hidden="false" customHeight="false" outlineLevel="0" collapsed="false">
      <c r="A16" s="6" t="s">
        <v>225</v>
      </c>
      <c r="B16" s="6" t="n">
        <v>67830</v>
      </c>
    </row>
    <row r="17" customFormat="false" ht="15" hidden="false" customHeight="false" outlineLevel="0" collapsed="false">
      <c r="A17" s="6" t="s">
        <v>225</v>
      </c>
      <c r="B17" s="6" t="n">
        <v>224000</v>
      </c>
    </row>
    <row r="18" customFormat="false" ht="15" hidden="false" customHeight="false" outlineLevel="0" collapsed="false">
      <c r="A18" s="6" t="s">
        <v>225</v>
      </c>
      <c r="B18" s="6" t="n">
        <v>55900</v>
      </c>
    </row>
    <row r="19" customFormat="false" ht="15" hidden="false" customHeight="false" outlineLevel="0" collapsed="false">
      <c r="A19" s="6" t="s">
        <v>227</v>
      </c>
      <c r="B19" s="6" t="n">
        <v>169411</v>
      </c>
    </row>
    <row r="20" customFormat="false" ht="15" hidden="false" customHeight="false" outlineLevel="0" collapsed="false">
      <c r="A20" s="6" t="s">
        <v>225</v>
      </c>
      <c r="B20" s="6" t="n">
        <v>207000</v>
      </c>
    </row>
    <row r="21" customFormat="false" ht="15" hidden="false" customHeight="false" outlineLevel="0" collapsed="false">
      <c r="A21" s="6" t="s">
        <v>225</v>
      </c>
      <c r="B21" s="6" t="n">
        <v>68000</v>
      </c>
    </row>
    <row r="22" customFormat="false" ht="15" hidden="false" customHeight="false" outlineLevel="0" collapsed="false">
      <c r="A22" s="6" t="s">
        <v>228</v>
      </c>
      <c r="B22" s="6" t="n">
        <v>1385000</v>
      </c>
    </row>
    <row r="23" customFormat="false" ht="15" hidden="false" customHeight="false" outlineLevel="0" collapsed="false">
      <c r="A23" s="6" t="s">
        <v>229</v>
      </c>
      <c r="B23" s="6" t="n">
        <v>193599</v>
      </c>
    </row>
    <row r="24" customFormat="false" ht="15" hidden="false" customHeight="false" outlineLevel="0" collapsed="false">
      <c r="A24" s="6" t="s">
        <v>230</v>
      </c>
      <c r="B24" s="6" t="n">
        <v>421671</v>
      </c>
    </row>
    <row r="25" customFormat="false" ht="15" hidden="false" customHeight="false" outlineLevel="0" collapsed="false">
      <c r="A25" s="6" t="s">
        <v>231</v>
      </c>
      <c r="B25" s="6" t="n">
        <v>38750</v>
      </c>
    </row>
    <row r="26" customFormat="false" ht="15" hidden="false" customHeight="false" outlineLevel="0" collapsed="false">
      <c r="A26" s="6" t="s">
        <v>232</v>
      </c>
      <c r="B26" s="6" t="n">
        <v>99865</v>
      </c>
    </row>
    <row r="27" customFormat="false" ht="15" hidden="false" customHeight="false" outlineLevel="0" collapsed="false">
      <c r="A27" s="6" t="s">
        <v>233</v>
      </c>
      <c r="B27" s="6" t="n">
        <v>134200</v>
      </c>
    </row>
    <row r="28" customFormat="false" ht="15" hidden="false" customHeight="false" outlineLevel="0" collapsed="false">
      <c r="A28" s="6" t="s">
        <v>234</v>
      </c>
      <c r="B28" s="6" t="n">
        <v>2727087</v>
      </c>
    </row>
    <row r="29" customFormat="false" ht="15" hidden="false" customHeight="false" outlineLevel="0" collapsed="false">
      <c r="A29" s="6" t="s">
        <v>235</v>
      </c>
      <c r="B29" s="6" t="n">
        <v>62099</v>
      </c>
    </row>
    <row r="30" customFormat="false" ht="15" hidden="false" customHeight="false" outlineLevel="0" collapsed="false">
      <c r="A30" s="6" t="s">
        <v>236</v>
      </c>
      <c r="B30" s="6" t="n">
        <v>131026</v>
      </c>
    </row>
    <row r="31" customFormat="false" ht="15" hidden="false" customHeight="false" outlineLevel="0" collapsed="false">
      <c r="A31" s="6" t="s">
        <v>237</v>
      </c>
      <c r="B31" s="6" t="n">
        <v>62622</v>
      </c>
    </row>
    <row r="32" customFormat="false" ht="15" hidden="false" customHeight="false" outlineLevel="0" collapsed="false">
      <c r="A32" s="6" t="s">
        <v>238</v>
      </c>
      <c r="B32" s="6" t="n">
        <v>17445</v>
      </c>
    </row>
    <row r="33" customFormat="false" ht="15" hidden="false" customHeight="false" outlineLevel="0" collapsed="false">
      <c r="A33" s="6" t="s">
        <v>239</v>
      </c>
      <c r="B33" s="6" t="n">
        <v>88908968</v>
      </c>
    </row>
    <row r="34" customFormat="false" ht="15" hidden="false" customHeight="false" outlineLevel="0" collapsed="false">
      <c r="A34" s="6" t="s">
        <v>240</v>
      </c>
      <c r="B34" s="6" t="n">
        <v>609768</v>
      </c>
    </row>
    <row r="35" customFormat="false" ht="15" hidden="false" customHeight="false" outlineLevel="0" collapsed="false">
      <c r="A35" s="6" t="s">
        <v>241</v>
      </c>
      <c r="B35" s="6" t="n">
        <v>6650</v>
      </c>
    </row>
    <row r="36" customFormat="false" ht="15" hidden="false" customHeight="false" outlineLevel="0" collapsed="false">
      <c r="A36" s="6" t="s">
        <v>242</v>
      </c>
      <c r="B36" s="6" t="n">
        <v>124841</v>
      </c>
    </row>
    <row r="37" customFormat="false" ht="15" hidden="false" customHeight="false" outlineLevel="0" collapsed="false">
      <c r="A37" s="6" t="s">
        <v>243</v>
      </c>
      <c r="B37" s="6" t="n">
        <v>70555</v>
      </c>
    </row>
    <row r="38" customFormat="false" ht="15" hidden="false" customHeight="false" outlineLevel="0" collapsed="false">
      <c r="A38" s="6" t="s">
        <v>244</v>
      </c>
      <c r="B38" s="6" t="n">
        <v>79627</v>
      </c>
    </row>
    <row r="39" customFormat="false" ht="15" hidden="false" customHeight="false" outlineLevel="0" collapsed="false">
      <c r="A39" s="6" t="s">
        <v>245</v>
      </c>
      <c r="B39" s="6" t="n">
        <v>49876</v>
      </c>
    </row>
    <row r="40" customFormat="false" ht="15" hidden="false" customHeight="false" outlineLevel="0" collapsed="false">
      <c r="A40" s="6" t="s">
        <v>246</v>
      </c>
      <c r="B40" s="6" t="n">
        <v>205551</v>
      </c>
    </row>
    <row r="41" customFormat="false" ht="15" hidden="false" customHeight="false" outlineLevel="0" collapsed="false">
      <c r="A41" s="205" t="s">
        <v>108</v>
      </c>
      <c r="B41" s="206" t="n">
        <f aca="false">SUM(B5:B38)</f>
        <v>99714879</v>
      </c>
    </row>
    <row r="42" customFormat="false" ht="15" hidden="false" customHeight="false" outlineLevel="0" collapsed="false">
      <c r="E42" s="0" t="n">
        <f aca="false">99714879+'Vat return'!E13</f>
        <v>114093538</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D3: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5" activeCellId="0" sqref="H15"/>
    </sheetView>
  </sheetViews>
  <sheetFormatPr defaultRowHeight="15"/>
  <cols>
    <col collapsed="false" hidden="false" max="3" min="1" style="0" width="8.57085020242915"/>
    <col collapsed="false" hidden="false" max="4" min="4" style="0" width="21.9595141700405"/>
    <col collapsed="false" hidden="false" max="5" min="5" style="0" width="11.5708502024291"/>
    <col collapsed="false" hidden="false" max="7" min="6" style="0" width="8.57085020242915"/>
    <col collapsed="false" hidden="false" max="8" min="8" style="0" width="21.9595141700405"/>
    <col collapsed="false" hidden="false" max="9" min="9" style="0" width="11.5708502024291"/>
    <col collapsed="false" hidden="false" max="1025" min="10" style="0" width="8.57085020242915"/>
  </cols>
  <sheetData>
    <row r="3" customFormat="false" ht="15.75" hidden="false" customHeight="false" outlineLevel="0" collapsed="false"/>
    <row r="4" customFormat="false" ht="15" hidden="false" customHeight="false" outlineLevel="0" collapsed="false">
      <c r="D4" s="207"/>
      <c r="E4" s="208"/>
      <c r="F4" s="208"/>
      <c r="G4" s="11"/>
    </row>
    <row r="5" customFormat="false" ht="15" hidden="false" customHeight="true" outlineLevel="0" collapsed="false">
      <c r="D5" s="209" t="s">
        <v>247</v>
      </c>
      <c r="E5" s="209"/>
      <c r="F5" s="209"/>
      <c r="G5" s="11"/>
    </row>
    <row r="6" customFormat="false" ht="43.5" hidden="false" customHeight="false" outlineLevel="0" collapsed="false">
      <c r="D6" s="21" t="s">
        <v>248</v>
      </c>
      <c r="E6" s="210" t="s">
        <v>249</v>
      </c>
      <c r="F6" s="211"/>
      <c r="G6" s="11"/>
    </row>
    <row r="7" customFormat="false" ht="15" hidden="false" customHeight="false" outlineLevel="0" collapsed="false">
      <c r="D7" s="212"/>
      <c r="E7" s="30"/>
      <c r="F7" s="213"/>
      <c r="G7" s="11"/>
    </row>
    <row r="8" customFormat="false" ht="15" hidden="false" customHeight="false" outlineLevel="0" collapsed="false">
      <c r="D8" s="212" t="s">
        <v>250</v>
      </c>
      <c r="E8" s="30" t="n">
        <v>2980530</v>
      </c>
      <c r="F8" s="214"/>
      <c r="G8" s="11"/>
    </row>
    <row r="9" customFormat="false" ht="15" hidden="false" customHeight="false" outlineLevel="0" collapsed="false">
      <c r="D9" s="212" t="s">
        <v>251</v>
      </c>
      <c r="E9" s="30" t="n">
        <v>2956200</v>
      </c>
      <c r="F9" s="214"/>
      <c r="G9" s="11"/>
    </row>
    <row r="10" customFormat="false" ht="15" hidden="false" customHeight="false" outlineLevel="0" collapsed="false">
      <c r="D10" s="212" t="s">
        <v>252</v>
      </c>
      <c r="E10" s="30" t="n">
        <v>4335401</v>
      </c>
      <c r="F10" s="214"/>
      <c r="G10" s="11"/>
    </row>
    <row r="11" customFormat="false" ht="15" hidden="false" customHeight="false" outlineLevel="0" collapsed="false">
      <c r="D11" s="212" t="s">
        <v>253</v>
      </c>
      <c r="E11" s="30" t="n">
        <v>4106528</v>
      </c>
      <c r="F11" s="214"/>
      <c r="G11" s="11"/>
    </row>
    <row r="12" customFormat="false" ht="15" hidden="false" customHeight="false" outlineLevel="0" collapsed="false">
      <c r="D12" s="212"/>
      <c r="E12" s="30"/>
      <c r="F12" s="215"/>
      <c r="G12" s="11"/>
    </row>
    <row r="13" customFormat="false" ht="15" hidden="false" customHeight="false" outlineLevel="0" collapsed="false">
      <c r="D13" s="216" t="s">
        <v>194</v>
      </c>
      <c r="E13" s="217" t="n">
        <f aca="false">SUM(E7:E12)</f>
        <v>14378659</v>
      </c>
      <c r="F13" s="211"/>
      <c r="G13" s="11"/>
    </row>
    <row r="14" customFormat="false" ht="15" hidden="false" customHeight="false" outlineLevel="0" collapsed="false">
      <c r="D14" s="218"/>
      <c r="E14" s="219"/>
      <c r="F14" s="220"/>
      <c r="G14" s="11"/>
      <c r="H14" s="0" t="n">
        <f aca="false">14378659+'Form 26AS'!B41</f>
        <v>114093538</v>
      </c>
    </row>
    <row r="15" customFormat="false" ht="15.75" hidden="false" customHeight="false" outlineLevel="0" collapsed="false">
      <c r="D15" s="45"/>
      <c r="E15" s="221"/>
      <c r="F15" s="221"/>
      <c r="G15" s="11"/>
    </row>
  </sheetData>
  <mergeCells count="3">
    <mergeCell ref="E4:F4"/>
    <mergeCell ref="D5:F5"/>
    <mergeCell ref="E15:F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118" width="23.6720647773279"/>
    <col collapsed="false" hidden="false" max="2" min="2" style="119" width="18.1012145748988"/>
    <col collapsed="false" hidden="false" max="3" min="3" style="120" width="25.8137651821862"/>
    <col collapsed="false" hidden="false" max="5" min="4" style="120" width="17.7813765182186"/>
    <col collapsed="false" hidden="false" max="6" min="6" style="120" width="17.1376518218624"/>
    <col collapsed="false" hidden="false" max="7" min="7" style="120" width="19.7085020242915"/>
    <col collapsed="false" hidden="false" max="8" min="8" style="120" width="19.1740890688259"/>
    <col collapsed="false" hidden="false" max="9" min="9" style="120" width="19.4939271255061"/>
    <col collapsed="false" hidden="false" max="10" min="10" style="120" width="18.6396761133603"/>
    <col collapsed="false" hidden="false" max="11" min="11" style="120" width="17.7813765182186"/>
    <col collapsed="false" hidden="false" max="12" min="12" style="119" width="19.3886639676113"/>
    <col collapsed="false" hidden="false" max="13" min="13" style="119" width="17.3522267206478"/>
    <col collapsed="false" hidden="false" max="14" min="14" style="119" width="19.8178137651822"/>
    <col collapsed="false" hidden="false" max="15" min="15" style="119" width="19.9230769230769"/>
    <col collapsed="false" hidden="false" max="16" min="16" style="119" width="20.1376518218623"/>
    <col collapsed="false" hidden="false" max="17" min="17" style="119" width="20.5668016194332"/>
    <col collapsed="false" hidden="false" max="18" min="18" style="119" width="16.1740890688259"/>
    <col collapsed="false" hidden="false" max="19" min="19" style="119" width="15.6396761133603"/>
    <col collapsed="false" hidden="false" max="20" min="20" style="119" width="15.5303643724696"/>
    <col collapsed="false" hidden="false" max="21" min="21" style="119" width="15.2105263157895"/>
    <col collapsed="false" hidden="false" max="22" min="22" style="119" width="15.7449392712551"/>
    <col collapsed="false" hidden="false" max="231" min="23" style="119" width="8.67611336032389"/>
    <col collapsed="false" hidden="false" max="1025" min="232" style="11" width="8.67611336032389"/>
  </cols>
  <sheetData>
    <row r="1" customFormat="false" ht="14.25" hidden="false" customHeight="false" outlineLevel="0" collapsed="false">
      <c r="A1" s="121" t="s">
        <v>0</v>
      </c>
      <c r="B1" s="122" t="n">
        <v>1</v>
      </c>
      <c r="C1" s="123" t="n">
        <v>2</v>
      </c>
      <c r="D1" s="123" t="n">
        <v>3</v>
      </c>
      <c r="E1" s="123" t="n">
        <v>4</v>
      </c>
      <c r="F1" s="123" t="n">
        <v>5</v>
      </c>
      <c r="G1" s="123" t="n">
        <v>6</v>
      </c>
      <c r="H1" s="123" t="n">
        <v>7</v>
      </c>
      <c r="I1" s="123" t="n">
        <v>8</v>
      </c>
      <c r="J1" s="123"/>
      <c r="K1" s="123"/>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124" t="s">
        <v>125</v>
      </c>
      <c r="B2" s="125" t="s">
        <v>126</v>
      </c>
      <c r="C2" s="125" t="s">
        <v>127</v>
      </c>
      <c r="D2" s="125" t="s">
        <v>128</v>
      </c>
      <c r="E2" s="125" t="s">
        <v>129</v>
      </c>
      <c r="F2" s="125" t="s">
        <v>130</v>
      </c>
      <c r="G2" s="125" t="s">
        <v>126</v>
      </c>
      <c r="H2" s="125" t="s">
        <v>131</v>
      </c>
      <c r="I2" s="125" t="s">
        <v>132</v>
      </c>
      <c r="J2" s="125" t="s">
        <v>128</v>
      </c>
      <c r="K2" s="125" t="s">
        <v>133</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126" t="s">
        <v>134</v>
      </c>
      <c r="B3" s="127" t="s">
        <v>135</v>
      </c>
      <c r="C3" s="127" t="s">
        <v>136</v>
      </c>
      <c r="D3" s="127" t="s">
        <v>137</v>
      </c>
      <c r="E3" s="127" t="s">
        <v>137</v>
      </c>
      <c r="F3" s="127" t="s">
        <v>135</v>
      </c>
      <c r="G3" s="127" t="s">
        <v>135</v>
      </c>
      <c r="H3" s="127" t="s">
        <v>135</v>
      </c>
      <c r="I3" s="127" t="s">
        <v>135</v>
      </c>
      <c r="J3" s="127" t="s">
        <v>135</v>
      </c>
      <c r="K3" s="128" t="s">
        <v>135</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32" customFormat="true" ht="12.75" hidden="false" customHeight="false" outlineLevel="0" collapsed="false">
      <c r="A4" s="129" t="s">
        <v>138</v>
      </c>
      <c r="B4" s="130" t="n">
        <v>42429</v>
      </c>
      <c r="C4" s="130" t="n">
        <v>42244</v>
      </c>
      <c r="D4" s="130" t="n">
        <v>42243</v>
      </c>
      <c r="E4" s="130" t="n">
        <v>42056</v>
      </c>
      <c r="F4" s="130" t="n">
        <v>41771</v>
      </c>
      <c r="G4" s="130" t="n">
        <v>41786</v>
      </c>
      <c r="H4" s="130" t="n">
        <v>41729</v>
      </c>
      <c r="I4" s="130" t="n">
        <v>41394</v>
      </c>
      <c r="J4" s="130" t="n">
        <v>41973</v>
      </c>
      <c r="K4" s="130" t="s">
        <v>139</v>
      </c>
      <c r="L4" s="119"/>
      <c r="M4" s="119"/>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c r="CO4" s="131"/>
      <c r="CP4" s="131"/>
      <c r="CQ4" s="131"/>
      <c r="CR4" s="131"/>
      <c r="CS4" s="131"/>
      <c r="CT4" s="131"/>
      <c r="CU4" s="131"/>
      <c r="CV4" s="131"/>
      <c r="CW4" s="131"/>
      <c r="CX4" s="131"/>
      <c r="CY4" s="131"/>
      <c r="CZ4" s="131"/>
      <c r="DA4" s="131"/>
      <c r="DB4" s="131"/>
      <c r="DC4" s="131"/>
      <c r="DD4" s="131"/>
      <c r="DE4" s="131"/>
      <c r="DF4" s="131"/>
      <c r="DG4" s="131"/>
      <c r="DH4" s="131"/>
      <c r="DI4" s="131"/>
      <c r="DJ4" s="131"/>
      <c r="DK4" s="131"/>
      <c r="DL4" s="131"/>
      <c r="DM4" s="131"/>
      <c r="DN4" s="131"/>
      <c r="DO4" s="131"/>
      <c r="DP4" s="131"/>
      <c r="DQ4" s="131"/>
      <c r="DR4" s="131"/>
      <c r="DS4" s="131"/>
      <c r="DT4" s="131"/>
      <c r="DU4" s="131"/>
      <c r="DV4" s="131"/>
      <c r="DW4" s="131"/>
      <c r="DX4" s="131"/>
      <c r="DY4" s="131"/>
      <c r="DZ4" s="131"/>
      <c r="EA4" s="131"/>
      <c r="EB4" s="131"/>
      <c r="EC4" s="131"/>
      <c r="ED4" s="131"/>
      <c r="EE4" s="131"/>
      <c r="EF4" s="131"/>
      <c r="EG4" s="131"/>
      <c r="EH4" s="131"/>
      <c r="EI4" s="131"/>
      <c r="EJ4" s="131"/>
      <c r="EK4" s="131"/>
      <c r="EL4" s="131"/>
      <c r="EM4" s="131"/>
      <c r="EN4" s="131"/>
      <c r="EO4" s="131"/>
      <c r="EP4" s="131"/>
      <c r="EQ4" s="131"/>
      <c r="ER4" s="131"/>
      <c r="ES4" s="131"/>
      <c r="ET4" s="131"/>
      <c r="EU4" s="131"/>
      <c r="EV4" s="131"/>
      <c r="EW4" s="131"/>
      <c r="EX4" s="131"/>
      <c r="EY4" s="131"/>
      <c r="EZ4" s="131"/>
      <c r="FA4" s="131"/>
      <c r="FB4" s="131"/>
      <c r="FC4" s="131"/>
      <c r="FD4" s="131"/>
      <c r="FE4" s="131"/>
      <c r="FF4" s="131"/>
      <c r="FG4" s="131"/>
      <c r="FH4" s="131"/>
      <c r="FI4" s="131"/>
      <c r="FJ4" s="131"/>
      <c r="FK4" s="131"/>
      <c r="FL4" s="131"/>
      <c r="FM4" s="131"/>
      <c r="FN4" s="131"/>
      <c r="FO4" s="131"/>
      <c r="FP4" s="131"/>
      <c r="FQ4" s="131"/>
      <c r="FR4" s="131"/>
      <c r="FS4" s="131"/>
      <c r="FT4" s="131"/>
      <c r="FU4" s="131"/>
      <c r="FV4" s="131"/>
      <c r="FW4" s="131"/>
      <c r="FX4" s="131"/>
      <c r="FY4" s="131"/>
      <c r="FZ4" s="131"/>
      <c r="GA4" s="131"/>
      <c r="GB4" s="131"/>
      <c r="GC4" s="131"/>
      <c r="GD4" s="131"/>
      <c r="GE4" s="131"/>
      <c r="GF4" s="131"/>
      <c r="GG4" s="131"/>
      <c r="GH4" s="131"/>
      <c r="GI4" s="131"/>
      <c r="GJ4" s="131"/>
      <c r="GK4" s="131"/>
      <c r="GL4" s="131"/>
      <c r="GM4" s="131"/>
      <c r="GN4" s="131"/>
      <c r="GO4" s="131"/>
      <c r="GP4" s="131"/>
      <c r="GQ4" s="131"/>
      <c r="GR4" s="131"/>
      <c r="GS4" s="131"/>
      <c r="GT4" s="131"/>
      <c r="GU4" s="131"/>
      <c r="GV4" s="131"/>
      <c r="GW4" s="131"/>
      <c r="GX4" s="131"/>
      <c r="GY4" s="131"/>
      <c r="GZ4" s="131"/>
      <c r="HA4" s="131"/>
      <c r="HB4" s="131"/>
      <c r="HC4" s="131"/>
      <c r="HD4" s="131"/>
      <c r="HE4" s="131"/>
      <c r="HF4" s="131"/>
      <c r="HG4" s="131"/>
      <c r="HH4" s="131"/>
      <c r="HI4" s="131"/>
      <c r="HJ4" s="131"/>
      <c r="HK4" s="131"/>
      <c r="HL4" s="131"/>
      <c r="HM4" s="131"/>
      <c r="HN4" s="131"/>
      <c r="HO4" s="131"/>
      <c r="HP4" s="131"/>
      <c r="HQ4" s="131"/>
      <c r="HR4" s="131"/>
      <c r="HS4" s="131"/>
      <c r="HT4" s="131"/>
      <c r="HU4" s="131"/>
      <c r="HV4" s="131"/>
      <c r="HW4" s="131"/>
    </row>
    <row r="5" customFormat="false" ht="12.75" hidden="false" customHeight="false" outlineLevel="0" collapsed="false">
      <c r="A5" s="126" t="s">
        <v>140</v>
      </c>
      <c r="B5" s="133" t="s">
        <v>141</v>
      </c>
      <c r="C5" s="133" t="s">
        <v>142</v>
      </c>
      <c r="D5" s="133" t="s">
        <v>143</v>
      </c>
      <c r="E5" s="133" t="s">
        <v>144</v>
      </c>
      <c r="F5" s="133" t="s">
        <v>145</v>
      </c>
      <c r="G5" s="133" t="s">
        <v>146</v>
      </c>
      <c r="H5" s="133" t="s">
        <v>147</v>
      </c>
      <c r="I5" s="133" t="s">
        <v>148</v>
      </c>
      <c r="J5" s="133" t="s">
        <v>149</v>
      </c>
      <c r="K5" s="133" t="s">
        <v>150</v>
      </c>
      <c r="L5" s="0"/>
    </row>
    <row r="6" customFormat="false" ht="12.75" hidden="false" customHeight="false" outlineLevel="0" collapsed="false">
      <c r="A6" s="126" t="s">
        <v>24</v>
      </c>
      <c r="B6" s="133" t="n">
        <v>36</v>
      </c>
      <c r="C6" s="133" t="n">
        <v>175</v>
      </c>
      <c r="D6" s="133" t="n">
        <v>36</v>
      </c>
      <c r="E6" s="133"/>
      <c r="F6" s="133" t="n">
        <v>36</v>
      </c>
      <c r="G6" s="133" t="n">
        <v>36</v>
      </c>
      <c r="H6" s="133" t="n">
        <v>36</v>
      </c>
      <c r="I6" s="133"/>
      <c r="J6" s="133" t="n">
        <v>30</v>
      </c>
      <c r="K6" s="133" t="n">
        <v>36</v>
      </c>
      <c r="L6" s="0"/>
    </row>
    <row r="7" customFormat="false" ht="25.5" hidden="false" customHeight="false" outlineLevel="0" collapsed="false">
      <c r="A7" s="126" t="s">
        <v>152</v>
      </c>
      <c r="B7" s="133" t="s">
        <v>153</v>
      </c>
      <c r="C7" s="133" t="s">
        <v>154</v>
      </c>
      <c r="D7" s="133" t="s">
        <v>154</v>
      </c>
      <c r="E7" s="133" t="s">
        <v>154</v>
      </c>
      <c r="F7" s="133" t="s">
        <v>153</v>
      </c>
      <c r="G7" s="133" t="s">
        <v>153</v>
      </c>
      <c r="H7" s="133" t="s">
        <v>153</v>
      </c>
      <c r="I7" s="133" t="s">
        <v>153</v>
      </c>
      <c r="J7" s="133" t="s">
        <v>153</v>
      </c>
      <c r="K7" s="133" t="s">
        <v>153</v>
      </c>
      <c r="L7" s="0"/>
    </row>
    <row r="8" customFormat="false" ht="25.5" hidden="false" customHeight="false" outlineLevel="0" collapsed="false">
      <c r="A8" s="124" t="s">
        <v>155</v>
      </c>
      <c r="B8" s="133" t="s">
        <v>41</v>
      </c>
      <c r="C8" s="133" t="s">
        <v>156</v>
      </c>
      <c r="D8" s="133" t="s">
        <v>156</v>
      </c>
      <c r="E8" s="133" t="s">
        <v>156</v>
      </c>
      <c r="F8" s="133" t="s">
        <v>156</v>
      </c>
      <c r="G8" s="133" t="s">
        <v>156</v>
      </c>
      <c r="H8" s="133" t="s">
        <v>156</v>
      </c>
      <c r="I8" s="133" t="s">
        <v>156</v>
      </c>
      <c r="J8" s="133" t="s">
        <v>156</v>
      </c>
      <c r="K8" s="133" t="s">
        <v>156</v>
      </c>
      <c r="L8" s="0"/>
    </row>
    <row r="9" customFormat="false" ht="12.75" hidden="false" customHeight="false" outlineLevel="0" collapsed="false">
      <c r="A9" s="126" t="s">
        <v>157</v>
      </c>
      <c r="B9" s="134" t="n">
        <v>90428</v>
      </c>
      <c r="C9" s="134" t="n">
        <v>479375</v>
      </c>
      <c r="D9" s="135" t="n">
        <v>121933</v>
      </c>
      <c r="E9" s="134" t="n">
        <v>28864</v>
      </c>
      <c r="F9" s="135" t="n">
        <v>180134</v>
      </c>
      <c r="G9" s="135" t="n">
        <v>75924</v>
      </c>
      <c r="H9" s="134" t="n">
        <v>67345</v>
      </c>
      <c r="I9" s="22" t="n">
        <v>110859</v>
      </c>
      <c r="J9" s="135" t="n">
        <v>105023</v>
      </c>
      <c r="K9" s="134" t="n">
        <v>109969</v>
      </c>
      <c r="L9" s="119" t="n">
        <v>100332</v>
      </c>
    </row>
    <row r="10" customFormat="false" ht="12.75" hidden="false" customHeight="false" outlineLevel="0" collapsed="false">
      <c r="A10" s="126" t="s">
        <v>158</v>
      </c>
      <c r="B10" s="136" t="s">
        <v>159</v>
      </c>
      <c r="C10" s="136" t="s">
        <v>159</v>
      </c>
      <c r="D10" s="136" t="s">
        <v>159</v>
      </c>
      <c r="E10" s="136" t="s">
        <v>159</v>
      </c>
      <c r="F10" s="136" t="s">
        <v>159</v>
      </c>
      <c r="G10" s="136" t="s">
        <v>159</v>
      </c>
      <c r="H10" s="136" t="s">
        <v>159</v>
      </c>
      <c r="I10" s="136" t="s">
        <v>160</v>
      </c>
      <c r="J10" s="136" t="s">
        <v>159</v>
      </c>
      <c r="K10" s="136" t="s">
        <v>159</v>
      </c>
    </row>
    <row r="11" customFormat="false" ht="18.75" hidden="false" customHeight="true" outlineLevel="0" collapsed="false">
      <c r="A11" s="126" t="s">
        <v>161</v>
      </c>
      <c r="B11" s="127" t="s">
        <v>162</v>
      </c>
      <c r="C11" s="127" t="s">
        <v>163</v>
      </c>
      <c r="D11" s="127" t="s">
        <v>164</v>
      </c>
      <c r="E11" s="127" t="s">
        <v>164</v>
      </c>
      <c r="F11" s="127" t="s">
        <v>163</v>
      </c>
      <c r="G11" s="127" t="s">
        <v>163</v>
      </c>
      <c r="H11" s="127" t="s">
        <v>163</v>
      </c>
      <c r="I11" s="127" t="s">
        <v>163</v>
      </c>
      <c r="J11" s="127" t="s">
        <v>163</v>
      </c>
      <c r="K11" s="127" t="s">
        <v>163</v>
      </c>
    </row>
    <row r="12" customFormat="false" ht="18.75" hidden="false" customHeight="true" outlineLevel="0" collapsed="false">
      <c r="A12" s="126" t="s">
        <v>165</v>
      </c>
      <c r="B12" s="127"/>
      <c r="C12" s="127" t="s">
        <v>166</v>
      </c>
      <c r="D12" s="127"/>
      <c r="E12" s="127"/>
      <c r="F12" s="137" t="s">
        <v>254</v>
      </c>
      <c r="G12" s="137" t="s">
        <v>167</v>
      </c>
      <c r="H12" s="137" t="s">
        <v>168</v>
      </c>
      <c r="I12" s="137" t="s">
        <v>169</v>
      </c>
      <c r="J12" s="137" t="s">
        <v>167</v>
      </c>
      <c r="K12" s="137" t="s">
        <v>170</v>
      </c>
    </row>
    <row r="13" customFormat="false" ht="12.75" hidden="false" customHeight="false" outlineLevel="0" collapsed="false">
      <c r="A13" s="138" t="n">
        <v>42262</v>
      </c>
      <c r="B13" s="30"/>
      <c r="C13" s="26"/>
      <c r="D13" s="26"/>
      <c r="E13" s="26" t="n">
        <v>7</v>
      </c>
      <c r="F13" s="26" t="s">
        <v>171</v>
      </c>
      <c r="G13" s="26" t="n">
        <v>5</v>
      </c>
      <c r="H13" s="26" t="n">
        <v>1</v>
      </c>
      <c r="I13" s="26" t="n">
        <v>7</v>
      </c>
      <c r="J13" s="26" t="n">
        <v>3</v>
      </c>
      <c r="K13" s="26" t="n">
        <v>7</v>
      </c>
    </row>
    <row r="14" customFormat="false" ht="12.75" hidden="false" customHeight="false" outlineLevel="0" collapsed="false">
      <c r="A14" s="138" t="n">
        <v>42292</v>
      </c>
      <c r="B14" s="30"/>
      <c r="C14" s="26" t="s">
        <v>172</v>
      </c>
      <c r="D14" s="26" t="n">
        <v>3</v>
      </c>
      <c r="E14" s="26" t="n">
        <v>5</v>
      </c>
      <c r="F14" s="26" t="s">
        <v>173</v>
      </c>
      <c r="G14" s="26" t="n">
        <v>5</v>
      </c>
      <c r="H14" s="26" t="n">
        <v>1</v>
      </c>
      <c r="I14" s="26" t="n">
        <v>5</v>
      </c>
      <c r="J14" s="26" t="n">
        <v>3</v>
      </c>
      <c r="K14" s="26" t="n">
        <v>5</v>
      </c>
    </row>
    <row r="15" customFormat="false" ht="12.75" hidden="false" customHeight="false" outlineLevel="0" collapsed="false">
      <c r="A15" s="139" t="n">
        <v>42323</v>
      </c>
      <c r="B15" s="140"/>
      <c r="C15" s="140" t="n">
        <v>5</v>
      </c>
      <c r="D15" s="140" t="n">
        <v>3</v>
      </c>
      <c r="E15" s="140" t="n">
        <v>5</v>
      </c>
      <c r="F15" s="140" t="s">
        <v>174</v>
      </c>
      <c r="G15" s="140" t="n">
        <v>5</v>
      </c>
      <c r="H15" s="140" t="n">
        <v>2</v>
      </c>
      <c r="I15" s="140" t="n">
        <v>5</v>
      </c>
      <c r="J15" s="140" t="n">
        <v>3</v>
      </c>
      <c r="K15" s="140" t="n">
        <v>5</v>
      </c>
    </row>
    <row r="16" customFormat="false" ht="12.75" hidden="false" customHeight="false" outlineLevel="0" collapsed="false">
      <c r="A16" s="139" t="n">
        <v>42339</v>
      </c>
      <c r="B16" s="141"/>
      <c r="C16" s="141" t="n">
        <v>5</v>
      </c>
      <c r="D16" s="141" t="n">
        <v>3</v>
      </c>
      <c r="E16" s="141" t="n">
        <v>5</v>
      </c>
      <c r="F16" s="141" t="n">
        <v>5</v>
      </c>
      <c r="G16" s="141" t="n">
        <v>5</v>
      </c>
      <c r="H16" s="141" t="n">
        <v>1</v>
      </c>
      <c r="I16" s="141" t="n">
        <v>5</v>
      </c>
      <c r="J16" s="141" t="n">
        <v>3</v>
      </c>
      <c r="K16" s="141" t="n">
        <v>5</v>
      </c>
    </row>
    <row r="17" customFormat="false" ht="12.75" hidden="false" customHeight="false" outlineLevel="0" collapsed="false">
      <c r="A17" s="139" t="n">
        <v>42370</v>
      </c>
      <c r="B17" s="141"/>
      <c r="C17" s="141" t="n">
        <v>5</v>
      </c>
      <c r="D17" s="141" t="n">
        <v>4</v>
      </c>
      <c r="E17" s="141" t="n">
        <v>5</v>
      </c>
      <c r="F17" s="141" t="n">
        <v>5</v>
      </c>
      <c r="G17" s="141" t="n">
        <v>5</v>
      </c>
      <c r="H17" s="141" t="n">
        <v>1</v>
      </c>
      <c r="I17" s="141" t="n">
        <v>5</v>
      </c>
      <c r="J17" s="141" t="n">
        <v>4</v>
      </c>
      <c r="K17" s="141" t="n">
        <v>5</v>
      </c>
    </row>
    <row r="18" customFormat="false" ht="12.75" hidden="false" customHeight="false" outlineLevel="0" collapsed="false">
      <c r="A18" s="139" t="n">
        <v>42401</v>
      </c>
      <c r="B18" s="141"/>
      <c r="C18" s="141" t="n">
        <v>5</v>
      </c>
      <c r="D18" s="141" t="n">
        <v>3</v>
      </c>
      <c r="E18" s="141" t="n">
        <v>5</v>
      </c>
      <c r="F18" s="141" t="n">
        <v>5</v>
      </c>
      <c r="G18" s="141" t="n">
        <v>5</v>
      </c>
      <c r="H18" s="141" t="n">
        <v>1</v>
      </c>
      <c r="I18" s="141" t="n">
        <v>5</v>
      </c>
      <c r="J18" s="141" t="n">
        <v>3</v>
      </c>
      <c r="K18" s="141" t="n">
        <v>5</v>
      </c>
    </row>
    <row r="19" customFormat="false" ht="12.75" hidden="false" customHeight="false" outlineLevel="0" collapsed="false">
      <c r="A19" s="139" t="n">
        <v>42430</v>
      </c>
      <c r="B19" s="141" t="s">
        <v>175</v>
      </c>
      <c r="C19" s="141" t="n">
        <v>5</v>
      </c>
      <c r="D19" s="141" t="n">
        <v>3</v>
      </c>
      <c r="E19" s="141" t="n">
        <v>5</v>
      </c>
      <c r="F19" s="141" t="n">
        <v>5</v>
      </c>
      <c r="G19" s="141" t="n">
        <v>5</v>
      </c>
      <c r="H19" s="141" t="n">
        <v>1</v>
      </c>
      <c r="I19" s="141" t="n">
        <v>5</v>
      </c>
      <c r="J19" s="141" t="n">
        <v>3</v>
      </c>
      <c r="K19" s="141" t="n">
        <v>5</v>
      </c>
    </row>
    <row r="20" customFormat="false" ht="12.75" hidden="false" customHeight="false" outlineLevel="0" collapsed="false">
      <c r="A20" s="139" t="n">
        <v>42461</v>
      </c>
      <c r="B20" s="141" t="n">
        <v>2</v>
      </c>
      <c r="C20" s="141" t="n">
        <v>5</v>
      </c>
      <c r="D20" s="141" t="n">
        <v>3</v>
      </c>
      <c r="E20" s="141" t="n">
        <v>5</v>
      </c>
      <c r="F20" s="141" t="n">
        <v>5</v>
      </c>
      <c r="G20" s="141" t="n">
        <v>5</v>
      </c>
      <c r="H20" s="141" t="n">
        <v>1</v>
      </c>
      <c r="I20" s="141" t="n">
        <v>5</v>
      </c>
      <c r="J20" s="141" t="n">
        <v>3</v>
      </c>
      <c r="K20" s="141" t="n">
        <v>5</v>
      </c>
    </row>
    <row r="21" customFormat="false" ht="12.75" hidden="false" customHeight="false" outlineLevel="0" collapsed="false">
      <c r="A21" s="139" t="n">
        <v>42491</v>
      </c>
      <c r="B21" s="142" t="n">
        <v>2</v>
      </c>
      <c r="C21" s="142" t="n">
        <v>5</v>
      </c>
      <c r="D21" s="142" t="n">
        <v>3</v>
      </c>
      <c r="E21" s="142" t="n">
        <v>5</v>
      </c>
      <c r="F21" s="142" t="n">
        <v>5</v>
      </c>
      <c r="G21" s="142" t="n">
        <v>5</v>
      </c>
      <c r="H21" s="142" t="n">
        <v>2</v>
      </c>
      <c r="I21" s="142" t="s">
        <v>169</v>
      </c>
      <c r="J21" s="142" t="n">
        <v>3</v>
      </c>
      <c r="K21" s="142" t="n">
        <v>5</v>
      </c>
    </row>
    <row r="22" customFormat="false" ht="12.75" hidden="false" customHeight="false" outlineLevel="0" collapsed="false">
      <c r="A22" s="138" t="n">
        <v>42522</v>
      </c>
      <c r="B22" s="141" t="n">
        <v>2</v>
      </c>
      <c r="C22" s="141" t="n">
        <v>6</v>
      </c>
      <c r="D22" s="141" t="n">
        <v>3</v>
      </c>
      <c r="E22" s="141" t="n">
        <v>6</v>
      </c>
      <c r="F22" s="141" t="n">
        <v>6</v>
      </c>
      <c r="G22" s="141" t="n">
        <v>6</v>
      </c>
      <c r="H22" s="141" t="n">
        <v>1</v>
      </c>
      <c r="I22" s="141"/>
      <c r="J22" s="141" t="n">
        <v>3</v>
      </c>
      <c r="K22" s="141" t="n">
        <v>6</v>
      </c>
    </row>
    <row r="23" customFormat="false" ht="12.75" hidden="false" customHeight="false" outlineLevel="0" collapsed="false">
      <c r="A23" s="138" t="n">
        <v>42552</v>
      </c>
      <c r="B23" s="141" t="n">
        <v>2</v>
      </c>
      <c r="C23" s="141" t="n">
        <v>5</v>
      </c>
      <c r="D23" s="141" t="n">
        <v>4</v>
      </c>
      <c r="E23" s="141" t="n">
        <v>5</v>
      </c>
      <c r="F23" s="141" t="n">
        <v>5</v>
      </c>
      <c r="G23" s="141" t="n">
        <v>5</v>
      </c>
      <c r="H23" s="141" t="n">
        <v>1</v>
      </c>
      <c r="I23" s="141"/>
      <c r="J23" s="141" t="n">
        <v>4</v>
      </c>
      <c r="K23" s="141" t="n">
        <v>5</v>
      </c>
    </row>
    <row r="24" customFormat="false" ht="12.75" hidden="false" customHeight="false" outlineLevel="0" collapsed="false">
      <c r="A24" s="138" t="n">
        <v>42598</v>
      </c>
      <c r="B24" s="141"/>
      <c r="C24" s="141"/>
      <c r="D24" s="141"/>
      <c r="E24" s="141"/>
      <c r="F24" s="141"/>
      <c r="G24" s="141"/>
      <c r="H24" s="141"/>
      <c r="I24" s="141"/>
      <c r="J24" s="141"/>
      <c r="K24" s="141"/>
    </row>
    <row r="25" customFormat="false" ht="12.75" hidden="false" customHeight="false" outlineLevel="0" collapsed="false">
      <c r="A25" s="138"/>
      <c r="B25" s="30"/>
      <c r="C25" s="26"/>
      <c r="D25" s="26"/>
      <c r="E25" s="26"/>
      <c r="F25" s="26"/>
      <c r="G25" s="26"/>
      <c r="H25" s="26"/>
      <c r="I25" s="26"/>
      <c r="J25" s="26"/>
      <c r="K25" s="26"/>
    </row>
    <row r="26" customFormat="false" ht="34.5" hidden="false" customHeight="true" outlineLevel="0" collapsed="false">
      <c r="A26" s="143" t="s">
        <v>176</v>
      </c>
      <c r="B26" s="144" t="n">
        <f aca="false">+B9+D9+E9</f>
        <v>241225</v>
      </c>
      <c r="C26" s="145"/>
      <c r="D26" s="145"/>
      <c r="E26" s="145"/>
      <c r="F26" s="145"/>
      <c r="G26" s="145"/>
      <c r="H26" s="145"/>
      <c r="I26" s="145"/>
      <c r="J26" s="145"/>
      <c r="K26" s="145"/>
    </row>
    <row r="27" customFormat="false" ht="12.75" hidden="false" customHeight="false" outlineLevel="0" collapsed="false">
      <c r="H27" s="0"/>
    </row>
    <row r="28" customFormat="false" ht="12.75" hidden="false" customHeight="false" outlineLevel="0" collapsed="false">
      <c r="H28" s="0"/>
    </row>
    <row r="29" customFormat="false" ht="12.75" hidden="false" customHeight="false" outlineLevel="0" collapsed="false">
      <c r="H29" s="0"/>
    </row>
    <row r="30" customFormat="false" ht="12.75" hidden="false" customHeight="false" outlineLevel="0" collapsed="false">
      <c r="H30" s="0"/>
    </row>
    <row r="31" customFormat="false" ht="12.75" hidden="false" customHeight="false" outlineLevel="0" collapsed="false">
      <c r="H31" s="0"/>
    </row>
    <row r="32" customFormat="false" ht="12.75" hidden="false" customHeight="false" outlineLevel="0" collapsed="false">
      <c r="H32" s="0"/>
    </row>
    <row r="33" customFormat="false" ht="12.75" hidden="false" customHeight="false" outlineLevel="0" collapsed="false">
      <c r="H33" s="0"/>
    </row>
    <row r="34" customFormat="false" ht="12.75" hidden="false" customHeight="false" outlineLevel="0" collapsed="false">
      <c r="H34" s="0"/>
    </row>
    <row r="35" customFormat="false" ht="12.75" hidden="false" customHeight="false" outlineLevel="0" collapsed="false">
      <c r="H35" s="0"/>
    </row>
    <row r="36" customFormat="false" ht="12.75" hidden="false" customHeight="false" outlineLevel="0" collapsed="false">
      <c r="H36" s="0"/>
    </row>
    <row r="37" customFormat="false" ht="12.75" hidden="false" customHeight="false" outlineLevel="0" collapsed="false">
      <c r="H37" s="120" t="n">
        <f aca="false">2877350-10350-1372524</f>
        <v>1494476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0"/>
  <sheetViews>
    <sheetView windowProtection="false"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10" activeCellId="0" sqref="F10"/>
    </sheetView>
  </sheetViews>
  <sheetFormatPr defaultRowHeight="15"/>
  <cols>
    <col collapsed="false" hidden="false" max="1025" min="1" style="0" width="8.57085020242915"/>
  </cols>
  <sheetData>
    <row r="1" customFormat="false" ht="15" hidden="false" customHeight="false" outlineLevel="0" collapsed="false">
      <c r="A1" s="8" t="s">
        <v>3</v>
      </c>
      <c r="B1" s="9" t="s">
        <v>4</v>
      </c>
    </row>
    <row r="2" customFormat="false" ht="15" hidden="false" customHeight="false" outlineLevel="0" collapsed="false">
      <c r="A2" s="6"/>
      <c r="B2" s="6"/>
    </row>
    <row r="3" customFormat="false" ht="15" hidden="false" customHeight="false" outlineLevel="0" collapsed="false">
      <c r="A3" s="6"/>
      <c r="B3" s="6"/>
    </row>
    <row r="4" customFormat="false" ht="15" hidden="false" customHeight="false" outlineLevel="0" collapsed="false">
      <c r="A4" s="6"/>
      <c r="B4" s="6"/>
    </row>
    <row r="5" customFormat="false" ht="15" hidden="false" customHeight="false" outlineLevel="0" collapsed="false">
      <c r="A5" s="6"/>
      <c r="B5" s="6"/>
    </row>
    <row r="6" customFormat="false" ht="15" hidden="false" customHeight="false" outlineLevel="0" collapsed="false">
      <c r="A6" s="6"/>
      <c r="B6" s="6"/>
    </row>
    <row r="7" customFormat="false" ht="15" hidden="false" customHeight="false" outlineLevel="0" collapsed="false">
      <c r="A7" s="6"/>
      <c r="B7" s="6"/>
    </row>
    <row r="8" customFormat="false" ht="15" hidden="false" customHeight="false" outlineLevel="0" collapsed="false">
      <c r="A8" s="6"/>
      <c r="B8" s="6"/>
      <c r="D8" s="10"/>
    </row>
    <row r="9" customFormat="false" ht="15" hidden="false" customHeight="false" outlineLevel="0" collapsed="false">
      <c r="A9" s="6"/>
      <c r="B9" s="6"/>
    </row>
    <row r="10" customFormat="false" ht="15" hidden="false" customHeight="false" outlineLevel="0" collapsed="false">
      <c r="A10" s="6"/>
      <c r="B10" s="6"/>
    </row>
    <row r="11" customFormat="false" ht="15" hidden="false" customHeight="false" outlineLevel="0" collapsed="false">
      <c r="A11" s="6"/>
      <c r="B11" s="6"/>
    </row>
    <row r="12" customFormat="false" ht="15" hidden="false" customHeight="false" outlineLevel="0" collapsed="false">
      <c r="A12" s="6"/>
      <c r="B12" s="6"/>
    </row>
    <row r="13" customFormat="false" ht="15" hidden="false" customHeight="false" outlineLevel="0" collapsed="false">
      <c r="A13" s="6"/>
      <c r="B13" s="6"/>
    </row>
    <row r="14" customFormat="false" ht="15" hidden="false" customHeight="false" outlineLevel="0" collapsed="false">
      <c r="A14" s="6"/>
      <c r="B14" s="6"/>
    </row>
    <row r="15" customFormat="false" ht="15" hidden="false" customHeight="false" outlineLevel="0" collapsed="false">
      <c r="A15" s="6"/>
      <c r="B15" s="6"/>
    </row>
    <row r="16" customFormat="false" ht="15" hidden="false" customHeight="false" outlineLevel="0" collapsed="false">
      <c r="A16" s="6"/>
      <c r="B16" s="6"/>
    </row>
    <row r="17" customFormat="false" ht="15" hidden="false" customHeight="false" outlineLevel="0" collapsed="false">
      <c r="A17" s="6"/>
      <c r="B17" s="6"/>
    </row>
    <row r="18" customFormat="false" ht="15" hidden="false" customHeight="false" outlineLevel="0" collapsed="false">
      <c r="A18" s="6"/>
      <c r="B18" s="6"/>
    </row>
    <row r="19" customFormat="false" ht="15" hidden="false" customHeight="false" outlineLevel="0" collapsed="false">
      <c r="A19" s="6"/>
      <c r="B19" s="6"/>
    </row>
    <row r="20" customFormat="false" ht="15" hidden="false" customHeight="false" outlineLevel="0" collapsed="false">
      <c r="A20" s="6"/>
      <c r="B20"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I30"/>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G15" activeCellId="0" sqref="G15"/>
    </sheetView>
  </sheetViews>
  <sheetFormatPr defaultRowHeight="12.75"/>
  <cols>
    <col collapsed="false" hidden="false" max="1" min="1" style="11" width="5.46153846153846"/>
    <col collapsed="false" hidden="false" max="2" min="2" style="11" width="48.2024291497976"/>
    <col collapsed="false" hidden="false" max="3" min="3" style="11" width="14.5668016194332"/>
    <col collapsed="false" hidden="false" max="4" min="4" style="12" width="13.6032388663968"/>
    <col collapsed="false" hidden="false" max="5" min="5" style="11" width="12.1052631578947"/>
    <col collapsed="false" hidden="false" max="6" min="6" style="11" width="9.31983805668016"/>
    <col collapsed="false" hidden="false" max="1025" min="7" style="11" width="12.2105263157895"/>
  </cols>
  <sheetData>
    <row r="1" customFormat="false" ht="12.75" hidden="false" customHeight="false" outlineLevel="0" collapsed="false">
      <c r="B1" s="13"/>
      <c r="C1" s="13"/>
      <c r="D1" s="14"/>
      <c r="E1" s="15"/>
      <c r="F1" s="15"/>
      <c r="G1" s="15"/>
      <c r="I1" s="0"/>
    </row>
    <row r="2" customFormat="false" ht="15.75" hidden="false" customHeight="true" outlineLevel="0" collapsed="false">
      <c r="B2" s="16" t="s">
        <v>5</v>
      </c>
      <c r="C2" s="17" t="s">
        <v>6</v>
      </c>
      <c r="D2" s="17" t="s">
        <v>7</v>
      </c>
      <c r="E2" s="18"/>
      <c r="F2" s="18"/>
      <c r="G2" s="18"/>
      <c r="I2" s="0"/>
    </row>
    <row r="3" customFormat="false" ht="14.25" hidden="false" customHeight="false" outlineLevel="0" collapsed="false">
      <c r="B3" s="19" t="s">
        <v>8</v>
      </c>
      <c r="C3" s="20" t="s">
        <v>9</v>
      </c>
      <c r="D3" s="20" t="n">
        <v>41741</v>
      </c>
      <c r="E3" s="18"/>
      <c r="F3" s="18"/>
      <c r="G3" s="18"/>
      <c r="I3" s="0"/>
    </row>
    <row r="4" customFormat="false" ht="14.25" hidden="false" customHeight="false" outlineLevel="0" collapsed="false">
      <c r="B4" s="21" t="s">
        <v>10</v>
      </c>
      <c r="C4" s="22" t="n">
        <v>122612639</v>
      </c>
      <c r="D4" s="22" t="n">
        <f aca="false">+'RATIO '!D3*100000</f>
        <v>117700096.03</v>
      </c>
      <c r="E4" s="18"/>
      <c r="F4" s="18"/>
      <c r="G4" s="18"/>
      <c r="I4" s="0"/>
    </row>
    <row r="5" customFormat="false" ht="14.25" hidden="false" customHeight="false" outlineLevel="0" collapsed="false">
      <c r="B5" s="21"/>
      <c r="C5" s="23"/>
      <c r="D5" s="23"/>
      <c r="E5" s="18"/>
      <c r="F5" s="18"/>
      <c r="G5" s="18"/>
      <c r="I5" s="0"/>
    </row>
    <row r="6" customFormat="false" ht="12.75" hidden="false" customHeight="true" outlineLevel="0" collapsed="false">
      <c r="B6" s="21" t="s">
        <v>11</v>
      </c>
      <c r="C6" s="24"/>
      <c r="D6" s="25" t="n">
        <f aca="false">(C4+D4)/2</f>
        <v>120156367.515</v>
      </c>
      <c r="E6" s="18"/>
      <c r="F6" s="18"/>
      <c r="G6" s="18"/>
      <c r="I6" s="0"/>
    </row>
    <row r="7" customFormat="false" ht="14.25" hidden="false" customHeight="false" outlineLevel="0" collapsed="false">
      <c r="B7" s="21" t="s">
        <v>12</v>
      </c>
      <c r="C7" s="26"/>
      <c r="D7" s="27" t="n">
        <v>0.15</v>
      </c>
      <c r="E7" s="18"/>
      <c r="F7" s="28"/>
      <c r="G7" s="18"/>
      <c r="I7" s="0"/>
    </row>
    <row r="8" customFormat="false" ht="14.25" hidden="false" customHeight="false" outlineLevel="0" collapsed="false">
      <c r="B8" s="29" t="s">
        <v>13</v>
      </c>
      <c r="C8" s="30"/>
      <c r="D8" s="31" t="n">
        <f aca="false">D6*D7</f>
        <v>18023455.12725</v>
      </c>
      <c r="E8" s="18"/>
      <c r="F8" s="18"/>
      <c r="G8" s="18"/>
      <c r="I8" s="0"/>
    </row>
    <row r="9" customFormat="false" ht="14.25" hidden="false" customHeight="false" outlineLevel="0" collapsed="false">
      <c r="B9" s="29" t="s">
        <v>14</v>
      </c>
      <c r="C9" s="30"/>
      <c r="D9" s="25" t="n">
        <v>0</v>
      </c>
      <c r="E9" s="18"/>
      <c r="F9" s="18"/>
      <c r="G9" s="18"/>
      <c r="I9" s="0"/>
    </row>
    <row r="10" customFormat="false" ht="14.25" hidden="false" customHeight="false" outlineLevel="0" collapsed="false">
      <c r="B10" s="29" t="s">
        <v>15</v>
      </c>
      <c r="C10" s="30"/>
      <c r="D10" s="32" t="n">
        <f aca="false">D8-D9</f>
        <v>18023455.12725</v>
      </c>
      <c r="E10" s="18"/>
      <c r="F10" s="18"/>
      <c r="G10" s="18"/>
      <c r="I10" s="0"/>
    </row>
    <row r="11" customFormat="false" ht="14.25" hidden="false" customHeight="false" outlineLevel="0" collapsed="false">
      <c r="B11" s="33" t="s">
        <v>16</v>
      </c>
      <c r="C11" s="34"/>
      <c r="D11" s="25" t="n">
        <v>1517942</v>
      </c>
      <c r="E11" s="18"/>
      <c r="F11" s="18"/>
      <c r="G11" s="18"/>
      <c r="I11" s="0"/>
    </row>
    <row r="12" customFormat="false" ht="14.25" hidden="false" customHeight="false" outlineLevel="0" collapsed="false">
      <c r="B12" s="29" t="s">
        <v>17</v>
      </c>
      <c r="C12" s="30"/>
      <c r="D12" s="32" t="n">
        <f aca="false">(D10-D11)</f>
        <v>16505513.12725</v>
      </c>
      <c r="E12" s="18"/>
      <c r="F12" s="35"/>
      <c r="G12" s="18"/>
      <c r="I12" s="0"/>
    </row>
    <row r="13" customFormat="false" ht="14.25" hidden="false" customHeight="false" outlineLevel="0" collapsed="false">
      <c r="B13" s="29" t="s">
        <v>18</v>
      </c>
      <c r="C13" s="30"/>
      <c r="D13" s="32" t="n">
        <f aca="false">(D12/12)</f>
        <v>1375459.42727083</v>
      </c>
      <c r="E13" s="18"/>
      <c r="F13" s="18"/>
      <c r="G13" s="18"/>
      <c r="I13" s="0"/>
    </row>
    <row r="14" customFormat="false" ht="14.25" hidden="false" customHeight="false" outlineLevel="0" collapsed="false">
      <c r="B14" s="29"/>
      <c r="C14" s="30"/>
      <c r="D14" s="32"/>
      <c r="E14" s="18"/>
      <c r="F14" s="18"/>
      <c r="G14" s="18"/>
      <c r="I14" s="0"/>
    </row>
    <row r="15" customFormat="false" ht="14.25" hidden="false" customHeight="false" outlineLevel="0" collapsed="false">
      <c r="B15" s="29" t="s">
        <v>19</v>
      </c>
      <c r="C15" s="30"/>
      <c r="D15" s="32" t="n">
        <f aca="false">D13</f>
        <v>1375459.42727083</v>
      </c>
      <c r="E15" s="18"/>
      <c r="F15" s="18"/>
      <c r="G15" s="18"/>
      <c r="I15" s="0"/>
    </row>
    <row r="16" customFormat="false" ht="14.25" hidden="false" customHeight="false" outlineLevel="0" collapsed="false">
      <c r="B16" s="29" t="s">
        <v>20</v>
      </c>
      <c r="C16" s="30"/>
      <c r="D16" s="36" t="n">
        <v>0.7</v>
      </c>
      <c r="E16" s="18"/>
      <c r="F16" s="37"/>
      <c r="G16" s="18"/>
      <c r="I16" s="0"/>
    </row>
    <row r="17" customFormat="false" ht="14.25" hidden="false" customHeight="false" outlineLevel="0" collapsed="false">
      <c r="B17" s="29" t="s">
        <v>21</v>
      </c>
      <c r="C17" s="30"/>
      <c r="D17" s="32" t="n">
        <f aca="false">D15*D16</f>
        <v>962821.599089584</v>
      </c>
      <c r="E17" s="18"/>
      <c r="F17" s="18"/>
      <c r="G17" s="18"/>
      <c r="I17" s="0"/>
    </row>
    <row r="18" customFormat="false" ht="14.25" hidden="false" customHeight="false" outlineLevel="0" collapsed="false">
      <c r="B18" s="38" t="s">
        <v>22</v>
      </c>
      <c r="C18" s="39"/>
      <c r="D18" s="25" t="n">
        <v>421359</v>
      </c>
      <c r="E18" s="14"/>
      <c r="F18" s="18"/>
      <c r="G18" s="18"/>
      <c r="I18" s="0"/>
    </row>
    <row r="19" customFormat="false" ht="14.25" hidden="false" customHeight="false" outlineLevel="0" collapsed="false">
      <c r="B19" s="40" t="s">
        <v>23</v>
      </c>
      <c r="C19" s="40"/>
      <c r="D19" s="32" t="n">
        <f aca="false">D17-D18</f>
        <v>541462.599089584</v>
      </c>
      <c r="E19" s="18"/>
      <c r="F19" s="18"/>
      <c r="G19" s="18"/>
      <c r="I19" s="0"/>
    </row>
    <row r="20" customFormat="false" ht="14.25" hidden="false" customHeight="false" outlineLevel="0" collapsed="false">
      <c r="B20" s="29" t="s">
        <v>24</v>
      </c>
      <c r="C20" s="30"/>
      <c r="D20" s="41" t="n">
        <f aca="false">18*12</f>
        <v>216</v>
      </c>
      <c r="E20" s="18"/>
      <c r="F20" s="18"/>
      <c r="G20" s="18"/>
      <c r="I20" s="0"/>
    </row>
    <row r="21" customFormat="false" ht="14.25" hidden="false" customHeight="false" outlineLevel="0" collapsed="false">
      <c r="B21" s="29" t="s">
        <v>25</v>
      </c>
      <c r="C21" s="30"/>
      <c r="D21" s="42" t="n">
        <v>0.116</v>
      </c>
      <c r="E21" s="18"/>
      <c r="F21" s="18"/>
      <c r="G21" s="18"/>
      <c r="I21" s="0"/>
    </row>
    <row r="22" customFormat="false" ht="14.25" hidden="false" customHeight="false" outlineLevel="0" collapsed="false">
      <c r="B22" s="29" t="s">
        <v>26</v>
      </c>
      <c r="C22" s="30"/>
      <c r="D22" s="32" t="n">
        <f aca="false">PMT(D21/12,D20,-100000)</f>
        <v>1104.99396165788</v>
      </c>
      <c r="E22" s="18"/>
      <c r="F22" s="18"/>
      <c r="G22" s="18"/>
      <c r="I22" s="0"/>
    </row>
    <row r="23" customFormat="false" ht="14.25" hidden="false" customHeight="false" outlineLevel="0" collapsed="false">
      <c r="B23" s="21" t="s">
        <v>27</v>
      </c>
      <c r="C23" s="30"/>
      <c r="D23" s="43" t="n">
        <f aca="false">D19/D22</f>
        <v>490.014079603836</v>
      </c>
      <c r="E23" s="18"/>
      <c r="F23" s="18"/>
      <c r="G23" s="18"/>
      <c r="I23" s="0"/>
    </row>
    <row r="24" customFormat="false" ht="14.25" hidden="false" customHeight="false" outlineLevel="0" collapsed="false">
      <c r="B24" s="29" t="s">
        <v>28</v>
      </c>
      <c r="C24" s="30"/>
      <c r="D24" s="41" t="n">
        <v>450</v>
      </c>
      <c r="E24" s="18"/>
      <c r="F24" s="18"/>
      <c r="G24" s="18"/>
      <c r="I24" s="0"/>
    </row>
    <row r="25" customFormat="false" ht="14.25" hidden="false" customHeight="false" outlineLevel="0" collapsed="false">
      <c r="B25" s="29" t="s">
        <v>29</v>
      </c>
      <c r="C25" s="30"/>
      <c r="D25" s="44" t="n">
        <f aca="false">D24*D22</f>
        <v>497247.282746047</v>
      </c>
      <c r="E25" s="18"/>
      <c r="F25" s="18"/>
      <c r="G25" s="18"/>
      <c r="I25" s="0"/>
    </row>
    <row r="26" customFormat="false" ht="14.25" hidden="false" customHeight="false" outlineLevel="0" collapsed="false">
      <c r="B26" s="45" t="s">
        <v>30</v>
      </c>
      <c r="C26" s="46"/>
      <c r="D26" s="47" t="n">
        <f aca="false">(D25+D18)/D13</f>
        <v>0.66785414715484</v>
      </c>
      <c r="E26" s="18"/>
      <c r="F26" s="18"/>
      <c r="G26" s="18"/>
      <c r="I26" s="0"/>
    </row>
    <row r="27" customFormat="false" ht="12.75" hidden="false" customHeight="false" outlineLevel="0" collapsed="false">
      <c r="G27" s="12"/>
      <c r="I27" s="0"/>
    </row>
    <row r="28" customFormat="false" ht="12.75" hidden="false" customHeight="false" outlineLevel="0" collapsed="false">
      <c r="G28" s="12"/>
      <c r="I28" s="0"/>
    </row>
    <row r="29" customFormat="false" ht="12.75" hidden="false" customHeight="false" outlineLevel="0" collapsed="false">
      <c r="I29" s="0"/>
    </row>
    <row r="30" customFormat="false" ht="12.75" hidden="false" customHeight="false" outlineLevel="0" collapsed="false">
      <c r="I30" s="11" t="n">
        <f aca="false">3889612-3744306</f>
        <v>145306</v>
      </c>
    </row>
  </sheetData>
  <mergeCells count="1">
    <mergeCell ref="B19:C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30"/>
  <sheetViews>
    <sheetView windowProtection="false" showFormulas="false" showGridLines="true" showRowColHeaders="true" showZeros="true" rightToLeft="false" tabSelected="false" showOutlineSymbols="true" defaultGridColor="true" view="normal" topLeftCell="A28" colorId="64" zoomScale="120" zoomScaleNormal="120" zoomScalePageLayoutView="100" workbookViewId="0">
      <selection pane="topLeft" activeCell="B35" activeCellId="0" sqref="B35"/>
    </sheetView>
  </sheetViews>
  <sheetFormatPr defaultRowHeight="12"/>
  <cols>
    <col collapsed="false" hidden="false" max="1" min="1" style="48" width="44.668016194332"/>
    <col collapsed="false" hidden="false" max="2" min="2" style="48" width="14.6761133603239"/>
    <col collapsed="false" hidden="false" max="3" min="3" style="49" width="9.10526315789474"/>
    <col collapsed="false" hidden="false" max="4" min="4" style="48" width="13.3886639676113"/>
    <col collapsed="false" hidden="false" max="6" min="5" style="48" width="9.10526315789474"/>
    <col collapsed="false" hidden="false" max="7" min="7" style="48" width="10.497975708502"/>
    <col collapsed="false" hidden="false" max="1025" min="8" style="48" width="9.10526315789474"/>
  </cols>
  <sheetData>
    <row r="1" customFormat="false" ht="28.5" hidden="false" customHeight="true" outlineLevel="0" collapsed="false">
      <c r="A1" s="50" t="s">
        <v>31</v>
      </c>
      <c r="B1" s="50"/>
      <c r="C1" s="50"/>
      <c r="D1" s="50"/>
      <c r="F1" s="0"/>
      <c r="G1" s="0"/>
      <c r="I1" s="0"/>
    </row>
    <row r="2" customFormat="false" ht="25.5" hidden="false" customHeight="false" outlineLevel="0" collapsed="false">
      <c r="A2" s="51" t="s">
        <v>32</v>
      </c>
      <c r="B2" s="52" t="s">
        <v>33</v>
      </c>
      <c r="C2" s="52" t="s">
        <v>34</v>
      </c>
      <c r="D2" s="52" t="s">
        <v>35</v>
      </c>
      <c r="F2" s="0"/>
      <c r="G2" s="0"/>
      <c r="I2" s="0"/>
    </row>
    <row r="3" customFormat="false" ht="12.75" hidden="false" customHeight="false" outlineLevel="0" collapsed="false">
      <c r="A3" s="53" t="s">
        <v>36</v>
      </c>
      <c r="B3" s="54" t="n">
        <f aca="false">(102408668.5+20203772.15)/100000</f>
        <v>1226.1244065</v>
      </c>
      <c r="C3" s="55" t="n">
        <f aca="false">(B3-D3)/D3%</f>
        <v>4.17361139514102</v>
      </c>
      <c r="D3" s="56" t="n">
        <f aca="false">(104310234+13389862.03)/100000</f>
        <v>1177.0009603</v>
      </c>
      <c r="F3" s="0"/>
      <c r="G3" s="0"/>
      <c r="I3" s="0"/>
    </row>
    <row r="4" customFormat="false" ht="12.75" hidden="false" customHeight="false" outlineLevel="0" collapsed="false">
      <c r="A4" s="57" t="s">
        <v>37</v>
      </c>
      <c r="B4" s="54" t="n">
        <v>0</v>
      </c>
      <c r="C4" s="55" t="n">
        <f aca="false">(B4-D4)/D4%</f>
        <v>-100</v>
      </c>
      <c r="D4" s="54" t="n">
        <f aca="false">19499/100000</f>
        <v>0.19499</v>
      </c>
      <c r="F4" s="0"/>
      <c r="G4" s="0"/>
      <c r="I4" s="0"/>
    </row>
    <row r="5" customFormat="false" ht="12.75" hidden="false" customHeight="false" outlineLevel="0" collapsed="false">
      <c r="A5" s="57" t="s">
        <v>38</v>
      </c>
      <c r="B5" s="54" t="n">
        <v>0</v>
      </c>
      <c r="C5" s="55" t="e">
        <f aca="false">(B5-D5)/D5%</f>
        <v>#DIV/0!</v>
      </c>
      <c r="D5" s="54" t="n">
        <v>0</v>
      </c>
      <c r="F5" s="0"/>
      <c r="G5" s="0"/>
      <c r="I5" s="0"/>
    </row>
    <row r="6" customFormat="false" ht="12.75" hidden="false" customHeight="false" outlineLevel="0" collapsed="false">
      <c r="A6" s="58" t="s">
        <v>19</v>
      </c>
      <c r="B6" s="59" t="n">
        <f aca="false">B3+B4+B5</f>
        <v>1226.1244065</v>
      </c>
      <c r="C6" s="60" t="n">
        <f aca="false">(B6-D6)/D6%</f>
        <v>4.15635614338726</v>
      </c>
      <c r="D6" s="59" t="n">
        <f aca="false">D3+D4+D5</f>
        <v>1177.1959503</v>
      </c>
      <c r="F6" s="0"/>
      <c r="G6" s="0"/>
      <c r="I6" s="0"/>
    </row>
    <row r="7" customFormat="false" ht="12.75" hidden="false" customHeight="false" outlineLevel="0" collapsed="false">
      <c r="A7" s="53" t="s">
        <v>39</v>
      </c>
      <c r="B7" s="54" t="n">
        <f aca="false">(1542630+23968032.7-1859760)/100000</f>
        <v>236.509027</v>
      </c>
      <c r="C7" s="55" t="n">
        <f aca="false">B7/$B$3%</f>
        <v>19.2891541630038</v>
      </c>
      <c r="D7" s="54" t="n">
        <f aca="false">(587900+16989961.18-1542630)/100000</f>
        <v>160.3523118</v>
      </c>
      <c r="F7" s="0"/>
      <c r="G7" s="61"/>
      <c r="I7" s="0"/>
    </row>
    <row r="8" customFormat="false" ht="12.75" hidden="false" customHeight="false" outlineLevel="0" collapsed="false">
      <c r="A8" s="53" t="s">
        <v>40</v>
      </c>
      <c r="B8" s="54" t="n">
        <v>0</v>
      </c>
      <c r="C8" s="55" t="n">
        <f aca="false">B8/$B$3%</f>
        <v>0</v>
      </c>
      <c r="D8" s="54"/>
      <c r="F8" s="48" t="s">
        <v>41</v>
      </c>
      <c r="I8" s="0"/>
    </row>
    <row r="9" customFormat="false" ht="12.75" hidden="false" customHeight="false" outlineLevel="0" collapsed="false">
      <c r="A9" s="53" t="s">
        <v>42</v>
      </c>
      <c r="B9" s="54"/>
      <c r="C9" s="55" t="n">
        <f aca="false">B9/$B$3%</f>
        <v>0</v>
      </c>
      <c r="D9" s="54"/>
      <c r="F9" s="0"/>
      <c r="I9" s="0"/>
    </row>
    <row r="10" customFormat="false" ht="12.75" hidden="false" customHeight="false" outlineLevel="0" collapsed="false">
      <c r="A10" s="53" t="s">
        <v>43</v>
      </c>
      <c r="B10" s="54"/>
      <c r="C10" s="55" t="n">
        <f aca="false">B10/$B$3%</f>
        <v>0</v>
      </c>
      <c r="D10" s="54"/>
      <c r="F10" s="0"/>
      <c r="I10" s="0"/>
    </row>
    <row r="11" customFormat="false" ht="12.75" hidden="false" customHeight="false" outlineLevel="0" collapsed="false">
      <c r="A11" s="62" t="s">
        <v>44</v>
      </c>
      <c r="B11" s="63" t="n">
        <f aca="false">B6-B7-B8-B9-B10</f>
        <v>989.6153795</v>
      </c>
      <c r="C11" s="64" t="n">
        <f aca="false">B11/$B$3%</f>
        <v>80.7108458369962</v>
      </c>
      <c r="D11" s="63" t="n">
        <f aca="false">D6-D7-D8-D9-D10</f>
        <v>1016.8436385</v>
      </c>
      <c r="F11" s="0"/>
      <c r="I11" s="0"/>
    </row>
    <row r="12" customFormat="false" ht="13.5" hidden="false" customHeight="true" outlineLevel="0" collapsed="false">
      <c r="A12" s="65" t="s">
        <v>45</v>
      </c>
      <c r="B12" s="54" t="n">
        <f aca="false">1244.73-255.05-21.28-0.27-13.2-40.73</f>
        <v>914.2</v>
      </c>
      <c r="C12" s="55" t="n">
        <f aca="false">B12/$B$3%</f>
        <v>74.5601339597835</v>
      </c>
      <c r="D12" s="54" t="n">
        <f aca="false">1192.63-17.42-176-7.52-35.12</f>
        <v>956.57</v>
      </c>
      <c r="F12" s="0"/>
      <c r="I12" s="0"/>
    </row>
    <row r="13" customFormat="false" ht="12.75" hidden="false" customHeight="false" outlineLevel="0" collapsed="false">
      <c r="A13" s="65" t="s">
        <v>46</v>
      </c>
      <c r="B13" s="54" t="n">
        <v>0.28</v>
      </c>
      <c r="C13" s="55" t="n">
        <f aca="false">B13/$B$3%</f>
        <v>0.0228361819172384</v>
      </c>
      <c r="D13" s="54" t="n">
        <v>0.07</v>
      </c>
      <c r="F13" s="0"/>
      <c r="I13" s="0"/>
    </row>
    <row r="14" customFormat="false" ht="12.75" hidden="false" customHeight="false" outlineLevel="0" collapsed="false">
      <c r="A14" s="58" t="s">
        <v>47</v>
      </c>
      <c r="B14" s="59" t="n">
        <f aca="false">B11-B12-B13</f>
        <v>75.1353795</v>
      </c>
      <c r="C14" s="60" t="n">
        <f aca="false">B14/$B$3%</f>
        <v>6.12787569529552</v>
      </c>
      <c r="D14" s="59" t="n">
        <f aca="false">D11-D12-D13</f>
        <v>60.2036384999999</v>
      </c>
      <c r="F14" s="66"/>
      <c r="I14" s="0"/>
    </row>
    <row r="15" customFormat="false" ht="12.75" hidden="false" customHeight="false" outlineLevel="0" collapsed="false">
      <c r="A15" s="53" t="s">
        <v>48</v>
      </c>
      <c r="B15" s="54" t="n">
        <f aca="false">1319586/100000</f>
        <v>13.19586</v>
      </c>
      <c r="C15" s="55" t="n">
        <f aca="false">B15/$B$3%</f>
        <v>1.07622521255146</v>
      </c>
      <c r="D15" s="54" t="n">
        <f aca="false">751787/100000</f>
        <v>7.51787</v>
      </c>
      <c r="F15" s="0"/>
      <c r="I15" s="48" t="n">
        <f aca="false">587900+16989961</f>
        <v>17577861</v>
      </c>
    </row>
    <row r="16" customFormat="false" ht="12.75" hidden="false" customHeight="false" outlineLevel="0" collapsed="false">
      <c r="A16" s="53" t="s">
        <v>49</v>
      </c>
      <c r="B16" s="54" t="n">
        <f aca="false">4072806/100000</f>
        <v>40.72806</v>
      </c>
      <c r="C16" s="55" t="n">
        <f aca="false">B16/$B$3%</f>
        <v>3.32169066891501</v>
      </c>
      <c r="D16" s="54" t="n">
        <f aca="false">3511673.57/100000</f>
        <v>35.1167357</v>
      </c>
      <c r="F16" s="0"/>
    </row>
    <row r="17" customFormat="false" ht="12.75" hidden="false" customHeight="false" outlineLevel="0" collapsed="false">
      <c r="A17" s="53" t="s">
        <v>50</v>
      </c>
      <c r="B17" s="54"/>
      <c r="C17" s="55" t="n">
        <f aca="false">B17/$B$3%</f>
        <v>0</v>
      </c>
      <c r="D17" s="54"/>
      <c r="F17" s="0"/>
    </row>
    <row r="18" customFormat="false" ht="12.75" hidden="false" customHeight="false" outlineLevel="0" collapsed="false">
      <c r="A18" s="67" t="s">
        <v>51</v>
      </c>
      <c r="B18" s="68" t="n">
        <f aca="false">B14-B15-B16-B17</f>
        <v>21.2114595</v>
      </c>
      <c r="C18" s="55" t="n">
        <f aca="false">B18/$B$3%</f>
        <v>1.72995981382905</v>
      </c>
      <c r="D18" s="68" t="n">
        <f aca="false">D14-D15-D16-D17</f>
        <v>17.5690327999999</v>
      </c>
      <c r="F18" s="48" t="n">
        <f aca="false">239.68032+15.4263</f>
        <v>255.10662</v>
      </c>
    </row>
    <row r="19" customFormat="false" ht="12.75" hidden="false" customHeight="false" outlineLevel="0" collapsed="false">
      <c r="A19" s="57" t="s">
        <v>52</v>
      </c>
      <c r="B19" s="54" t="n">
        <f aca="false">1517942/100000</f>
        <v>15.17942</v>
      </c>
      <c r="C19" s="55" t="n">
        <f aca="false">B19/$B$3%</f>
        <v>1.23799998756488</v>
      </c>
      <c r="D19" s="54" t="n">
        <f aca="false">2270321/100000</f>
        <v>22.70321</v>
      </c>
    </row>
    <row r="20" customFormat="false" ht="12.75" hidden="false" customHeight="false" outlineLevel="0" collapsed="false">
      <c r="A20" s="69" t="s">
        <v>53</v>
      </c>
      <c r="B20" s="68" t="n">
        <f aca="false">B18-B19</f>
        <v>6.03203949999998</v>
      </c>
      <c r="C20" s="55" t="n">
        <f aca="false">B20/$B$3%</f>
        <v>0.491959826264169</v>
      </c>
      <c r="D20" s="68" t="n">
        <f aca="false">D18-D19</f>
        <v>-5.13417720000005</v>
      </c>
    </row>
    <row r="21" customFormat="false" ht="12.75" hidden="false" customHeight="false" outlineLevel="0" collapsed="false">
      <c r="A21" s="58" t="s">
        <v>54</v>
      </c>
      <c r="B21" s="59" t="n">
        <f aca="false">B20+B15+B17</f>
        <v>19.2278995</v>
      </c>
      <c r="C21" s="60" t="n">
        <f aca="false">B21/$B$3%</f>
        <v>1.56818503881563</v>
      </c>
      <c r="D21" s="59" t="n">
        <f aca="false">D20+D15+D17</f>
        <v>2.38369279999995</v>
      </c>
    </row>
    <row r="22" customFormat="false" ht="12.75" hidden="false" customHeight="false" outlineLevel="0" collapsed="false">
      <c r="A22" s="70" t="s">
        <v>55</v>
      </c>
      <c r="B22" s="54"/>
      <c r="C22" s="55" t="n">
        <f aca="false">B22/$B$3%</f>
        <v>0</v>
      </c>
      <c r="D22" s="54"/>
    </row>
    <row r="23" customFormat="false" ht="12.75" hidden="false" customHeight="false" outlineLevel="0" collapsed="false">
      <c r="A23" s="70" t="s">
        <v>56</v>
      </c>
      <c r="B23" s="54"/>
      <c r="C23" s="55" t="n">
        <f aca="false">B23/$B$3%</f>
        <v>0</v>
      </c>
      <c r="D23" s="54"/>
    </row>
    <row r="24" customFormat="false" ht="12.75" hidden="false" customHeight="false" outlineLevel="0" collapsed="false">
      <c r="A24" s="58" t="s">
        <v>57</v>
      </c>
      <c r="B24" s="71" t="n">
        <f aca="false">B21+B22+B23</f>
        <v>19.2278995</v>
      </c>
      <c r="C24" s="55" t="n">
        <f aca="false">B24/$B$3%</f>
        <v>1.56818503881563</v>
      </c>
      <c r="D24" s="71" t="n">
        <f aca="false">D21+D22+D23</f>
        <v>2.38369279999995</v>
      </c>
    </row>
    <row r="25" customFormat="false" ht="12.75" hidden="false" customHeight="false" outlineLevel="0" collapsed="false">
      <c r="A25" s="72"/>
      <c r="B25" s="73"/>
      <c r="C25" s="74"/>
      <c r="D25" s="73"/>
    </row>
    <row r="26" customFormat="false" ht="25.5" hidden="false" customHeight="false" outlineLevel="0" collapsed="false">
      <c r="A26" s="51" t="s">
        <v>58</v>
      </c>
      <c r="B26" s="52" t="str">
        <f aca="false">+B2</f>
        <v>31.03.15 (In Lacs)</v>
      </c>
      <c r="C26" s="52" t="s">
        <v>34</v>
      </c>
      <c r="D26" s="52" t="s">
        <v>35</v>
      </c>
    </row>
    <row r="27" customFormat="false" ht="12.75" hidden="false" customHeight="false" outlineLevel="0" collapsed="false">
      <c r="A27" s="75" t="s">
        <v>59</v>
      </c>
      <c r="B27" s="54" t="n">
        <f aca="false">21698624.26/100000</f>
        <v>216.9862426</v>
      </c>
      <c r="C27" s="55" t="n">
        <f aca="false">(B27-D27)/D27%</f>
        <v>251.26264100374</v>
      </c>
      <c r="D27" s="54" t="n">
        <f aca="false">6177321.96/100000</f>
        <v>61.7732196</v>
      </c>
    </row>
    <row r="28" customFormat="false" ht="12.75" hidden="false" customHeight="false" outlineLevel="0" collapsed="false">
      <c r="A28" s="75" t="s">
        <v>60</v>
      </c>
      <c r="B28" s="54" t="n">
        <v>0</v>
      </c>
      <c r="C28" s="55" t="e">
        <f aca="false">(B28-D28)/D28%</f>
        <v>#DIV/0!</v>
      </c>
      <c r="D28" s="54"/>
    </row>
    <row r="29" customFormat="false" ht="12.75" hidden="false" customHeight="false" outlineLevel="0" collapsed="false">
      <c r="A29" s="76" t="s">
        <v>61</v>
      </c>
      <c r="B29" s="59" t="n">
        <f aca="false">SUM(B27:B28)</f>
        <v>216.9862426</v>
      </c>
      <c r="C29" s="60" t="n">
        <f aca="false">(B29-D29)/D29%</f>
        <v>251.26264100374</v>
      </c>
      <c r="D29" s="59" t="n">
        <f aca="false">SUM(D27:D28)</f>
        <v>61.7732196</v>
      </c>
    </row>
    <row r="30" customFormat="false" ht="12.75" hidden="false" customHeight="false" outlineLevel="0" collapsed="false">
      <c r="A30" s="75" t="s">
        <v>62</v>
      </c>
      <c r="B30" s="54" t="n">
        <v>0</v>
      </c>
      <c r="C30" s="55" t="e">
        <f aca="false">(B30-D30)/D30%</f>
        <v>#DIV/0!</v>
      </c>
      <c r="D30" s="54"/>
    </row>
    <row r="31" customFormat="false" ht="12.75" hidden="false" customHeight="false" outlineLevel="0" collapsed="false">
      <c r="A31" s="76" t="s">
        <v>63</v>
      </c>
      <c r="B31" s="59" t="n">
        <f aca="false">B27+B28+B36-B55-B57-B45</f>
        <v>616.9862426</v>
      </c>
      <c r="C31" s="60" t="n">
        <f aca="false">(B31-D31)/D31%</f>
        <v>898.792432376311</v>
      </c>
      <c r="D31" s="59" t="n">
        <f aca="false">D27+D28+D36-D55-D57-D45</f>
        <v>61.7732196</v>
      </c>
    </row>
    <row r="32" customFormat="false" ht="12.75" hidden="false" customHeight="false" outlineLevel="0" collapsed="false">
      <c r="A32" s="75" t="s">
        <v>64</v>
      </c>
      <c r="B32" s="54" t="n">
        <f aca="false">(28280868)/100000</f>
        <v>282.80868</v>
      </c>
      <c r="C32" s="55" t="n">
        <f aca="false">(B32-D32)/D32%</f>
        <v>149.386705441405</v>
      </c>
      <c r="D32" s="54" t="n">
        <f aca="false">11340166.65/100000</f>
        <v>113.4016665</v>
      </c>
    </row>
    <row r="33" customFormat="false" ht="12.75" hidden="false" customHeight="false" outlineLevel="0" collapsed="false">
      <c r="A33" s="75" t="s">
        <v>65</v>
      </c>
      <c r="B33" s="54"/>
      <c r="C33" s="55" t="e">
        <f aca="false">(B33-D33)/D33%</f>
        <v>#DIV/0!</v>
      </c>
      <c r="D33" s="54"/>
    </row>
    <row r="34" customFormat="false" ht="12.75" hidden="false" customHeight="false" outlineLevel="0" collapsed="false">
      <c r="A34" s="77" t="s">
        <v>66</v>
      </c>
      <c r="B34" s="63" t="n">
        <f aca="false">B32+B33</f>
        <v>282.80868</v>
      </c>
      <c r="C34" s="64" t="n">
        <f aca="false">(B34-D34)/D34%</f>
        <v>149.386705441405</v>
      </c>
      <c r="D34" s="63" t="n">
        <f aca="false">D32+D33</f>
        <v>113.4016665</v>
      </c>
    </row>
    <row r="35" customFormat="false" ht="12.75" hidden="false" customHeight="false" outlineLevel="0" collapsed="false">
      <c r="A35" s="75" t="s">
        <v>67</v>
      </c>
      <c r="B35" s="54" t="n">
        <f aca="false">(2181520+1092207+1382296+2300680+451062+4510893+1644355+1388409)/100000</f>
        <v>149.51422</v>
      </c>
      <c r="C35" s="55" t="n">
        <f aca="false">(B35-D35)/D35%</f>
        <v>-3.45102600472342</v>
      </c>
      <c r="D35" s="54" t="n">
        <f aca="false">15485842.45/100000</f>
        <v>154.8584245</v>
      </c>
    </row>
    <row r="36" customFormat="false" ht="12.75" hidden="false" customHeight="false" outlineLevel="0" collapsed="false">
      <c r="A36" s="78" t="s">
        <v>68</v>
      </c>
      <c r="B36" s="54" t="n">
        <f aca="false">(1500000+6000000+12500000+20000000)/100000</f>
        <v>400</v>
      </c>
      <c r="C36" s="55" t="e">
        <f aca="false">(B36-D36)/D36%</f>
        <v>#DIV/0!</v>
      </c>
      <c r="D36" s="54"/>
    </row>
    <row r="37" customFormat="false" ht="12.75" hidden="false" customHeight="false" outlineLevel="0" collapsed="false">
      <c r="A37" s="79" t="s">
        <v>69</v>
      </c>
      <c r="B37" s="80" t="n">
        <f aca="false">B38+B39</f>
        <v>287.7761889</v>
      </c>
      <c r="C37" s="55" t="n">
        <f aca="false">(B37-D37)/D37%</f>
        <v>-6.67146956169371</v>
      </c>
      <c r="D37" s="80" t="n">
        <f aca="false">D38+D39</f>
        <v>308.3474984</v>
      </c>
    </row>
    <row r="38" customFormat="false" ht="12.75" hidden="false" customHeight="false" outlineLevel="0" collapsed="false">
      <c r="A38" s="75" t="s">
        <v>70</v>
      </c>
      <c r="B38" s="54" t="n">
        <f aca="false">(4621545.05+24156073.84)/100000</f>
        <v>287.7761889</v>
      </c>
      <c r="C38" s="55" t="n">
        <f aca="false">(B38-D38)/D38%</f>
        <v>-6.67146956169371</v>
      </c>
      <c r="D38" s="54" t="n">
        <f aca="false">30834749.84/100000</f>
        <v>308.3474984</v>
      </c>
    </row>
    <row r="39" customFormat="false" ht="12.75" hidden="false" customHeight="false" outlineLevel="0" collapsed="false">
      <c r="A39" s="75" t="s">
        <v>71</v>
      </c>
      <c r="B39" s="54"/>
      <c r="C39" s="55" t="e">
        <f aca="false">(B39-D39)/D39%</f>
        <v>#DIV/0!</v>
      </c>
      <c r="D39" s="54"/>
    </row>
    <row r="40" customFormat="false" ht="12.75" hidden="false" customHeight="false" outlineLevel="0" collapsed="false">
      <c r="A40" s="76" t="s">
        <v>72</v>
      </c>
      <c r="B40" s="59" t="n">
        <f aca="false">B34+B35+B37</f>
        <v>720.0990889</v>
      </c>
      <c r="C40" s="60" t="n">
        <f aca="false">(B40-D40)/D40%</f>
        <v>24.8854684083005</v>
      </c>
      <c r="D40" s="59" t="n">
        <f aca="false">D34+D35+D37</f>
        <v>576.6075894</v>
      </c>
    </row>
    <row r="41" customFormat="false" ht="16.5" hidden="false" customHeight="true" outlineLevel="0" collapsed="false">
      <c r="A41" s="81" t="s">
        <v>73</v>
      </c>
      <c r="B41" s="82" t="n">
        <f aca="false">B29+B30+B34+B35+B36+B37</f>
        <v>1337.0853315</v>
      </c>
      <c r="C41" s="83" t="n">
        <f aca="false">(B41-D41)/D41%</f>
        <v>109.449487304372</v>
      </c>
      <c r="D41" s="82" t="n">
        <f aca="false">D29+D30+D34+D35+D36+D37</f>
        <v>638.380809</v>
      </c>
    </row>
    <row r="42" customFormat="false" ht="17.25" hidden="false" customHeight="true" outlineLevel="0" collapsed="false">
      <c r="A42" s="78" t="s">
        <v>74</v>
      </c>
      <c r="B42" s="54" t="n">
        <f aca="false">14260471/100000</f>
        <v>142.60471</v>
      </c>
      <c r="C42" s="55" t="n">
        <f aca="false">(B42-D42)/D42%</f>
        <v>37.7848046351364</v>
      </c>
      <c r="D42" s="54" t="n">
        <f aca="false">10349814/100000</f>
        <v>103.49814</v>
      </c>
    </row>
    <row r="43" customFormat="false" ht="12.75" hidden="false" customHeight="false" outlineLevel="0" collapsed="false">
      <c r="A43" s="84" t="s">
        <v>75</v>
      </c>
      <c r="B43" s="59" t="n">
        <f aca="false">B44+B45+B46</f>
        <v>27.032605</v>
      </c>
      <c r="C43" s="60" t="n">
        <f aca="false">(B43-D43)/D43%</f>
        <v>0</v>
      </c>
      <c r="D43" s="59" t="n">
        <f aca="false">D44+D45+D46</f>
        <v>27.032605</v>
      </c>
    </row>
    <row r="44" customFormat="false" ht="12.75" hidden="false" customHeight="false" outlineLevel="0" collapsed="false">
      <c r="A44" s="85" t="s">
        <v>76</v>
      </c>
      <c r="B44" s="54" t="n">
        <f aca="false">2703260.5/100000</f>
        <v>27.032605</v>
      </c>
      <c r="C44" s="55" t="n">
        <f aca="false">(B44-D44)/D44%</f>
        <v>0</v>
      </c>
      <c r="D44" s="54" t="n">
        <f aca="false">2703260.5/100000</f>
        <v>27.032605</v>
      </c>
    </row>
    <row r="45" customFormat="false" ht="12.75" hidden="false" customHeight="false" outlineLevel="0" collapsed="false">
      <c r="A45" s="85" t="s">
        <v>77</v>
      </c>
      <c r="B45" s="54" t="n">
        <v>0</v>
      </c>
      <c r="C45" s="55" t="e">
        <f aca="false">(B45-D45)/D45%</f>
        <v>#DIV/0!</v>
      </c>
      <c r="D45" s="54"/>
    </row>
    <row r="46" customFormat="false" ht="12.75" hidden="false" customHeight="false" outlineLevel="0" collapsed="false">
      <c r="A46" s="85" t="s">
        <v>78</v>
      </c>
      <c r="B46" s="54" t="n">
        <v>0</v>
      </c>
      <c r="C46" s="55" t="e">
        <f aca="false">(B46-D46)/D46%</f>
        <v>#DIV/0!</v>
      </c>
      <c r="D46" s="54"/>
    </row>
    <row r="47" customFormat="false" ht="12.75" hidden="false" customHeight="false" outlineLevel="0" collapsed="false">
      <c r="A47" s="86" t="s">
        <v>79</v>
      </c>
      <c r="B47" s="87" t="n">
        <f aca="false">B49+B50+B53+B54+B48</f>
        <v>1167.4480338</v>
      </c>
      <c r="C47" s="60" t="n">
        <f aca="false">(B47-D47)/D47%</f>
        <v>129.880454204294</v>
      </c>
      <c r="D47" s="87" t="n">
        <f aca="false">D49+D50+D53+D54+D48</f>
        <v>507.850064</v>
      </c>
    </row>
    <row r="48" customFormat="false" ht="12.75" hidden="false" customHeight="false" outlineLevel="0" collapsed="false">
      <c r="A48" s="78" t="s">
        <v>80</v>
      </c>
      <c r="B48" s="54"/>
      <c r="C48" s="55" t="e">
        <f aca="false">(B48-D48)/D48%</f>
        <v>#DIV/0!</v>
      </c>
      <c r="D48" s="54"/>
    </row>
    <row r="49" customFormat="false" ht="12.75" hidden="false" customHeight="false" outlineLevel="0" collapsed="false">
      <c r="A49" s="78" t="s">
        <v>81</v>
      </c>
      <c r="B49" s="54" t="n">
        <f aca="false">1859760/100000</f>
        <v>18.5976</v>
      </c>
      <c r="C49" s="55" t="n">
        <f aca="false">(B49-D49)/D49%</f>
        <v>20.5577487796815</v>
      </c>
      <c r="D49" s="54" t="n">
        <f aca="false">1542630/100000</f>
        <v>15.4263</v>
      </c>
    </row>
    <row r="50" customFormat="false" ht="12.75" hidden="false" customHeight="false" outlineLevel="0" collapsed="false">
      <c r="A50" s="86" t="s">
        <v>82</v>
      </c>
      <c r="B50" s="87" t="n">
        <f aca="false">B51+B52</f>
        <v>359.8408684</v>
      </c>
      <c r="C50" s="60" t="n">
        <f aca="false">(B50-D50)/D50%</f>
        <v>10.5976805947086</v>
      </c>
      <c r="D50" s="87" t="n">
        <f aca="false">D51+D52</f>
        <v>325.3602304</v>
      </c>
    </row>
    <row r="51" customFormat="false" ht="12.75" hidden="false" customHeight="false" outlineLevel="0" collapsed="false">
      <c r="A51" s="78" t="s">
        <v>83</v>
      </c>
      <c r="B51" s="54"/>
      <c r="C51" s="55" t="e">
        <f aca="false">(B51-D51)/D51%</f>
        <v>#DIV/0!</v>
      </c>
      <c r="D51" s="54"/>
    </row>
    <row r="52" customFormat="false" ht="12.75" hidden="false" customHeight="false" outlineLevel="0" collapsed="false">
      <c r="A52" s="78" t="s">
        <v>84</v>
      </c>
      <c r="B52" s="54" t="n">
        <f aca="false">35984086.84/100000</f>
        <v>359.8408684</v>
      </c>
      <c r="C52" s="55" t="n">
        <f aca="false">(B52-D52)/D52%</f>
        <v>10.5976805947086</v>
      </c>
      <c r="D52" s="54" t="n">
        <f aca="false">32536023.04/100000</f>
        <v>325.3602304</v>
      </c>
    </row>
    <row r="53" customFormat="false" ht="12.75" hidden="false" customHeight="false" outlineLevel="0" collapsed="false">
      <c r="A53" s="78" t="s">
        <v>85</v>
      </c>
      <c r="B53" s="54" t="n">
        <f aca="false">23006621.54/100000</f>
        <v>230.0662154</v>
      </c>
      <c r="C53" s="55" t="n">
        <f aca="false">(B53-D53)/D53%</f>
        <v>250.48440950478</v>
      </c>
      <c r="D53" s="54" t="n">
        <f aca="false">6564235.36/100000</f>
        <v>65.6423536</v>
      </c>
    </row>
    <row r="54" customFormat="false" ht="12.75" hidden="false" customHeight="false" outlineLevel="0" collapsed="false">
      <c r="A54" s="79" t="s">
        <v>86</v>
      </c>
      <c r="B54" s="88" t="n">
        <f aca="false">B55+B56</f>
        <v>558.94335</v>
      </c>
      <c r="C54" s="89" t="n">
        <f aca="false">(B54-D54)/D54%</f>
        <v>451.111069699643</v>
      </c>
      <c r="D54" s="88" t="n">
        <f aca="false">D55+D56</f>
        <v>101.42118</v>
      </c>
    </row>
    <row r="55" customFormat="false" ht="24" hidden="false" customHeight="false" outlineLevel="0" collapsed="false">
      <c r="A55" s="75" t="s">
        <v>87</v>
      </c>
      <c r="B55" s="54" t="n">
        <v>0</v>
      </c>
      <c r="C55" s="55" t="e">
        <f aca="false">(B55-D55)/D55%</f>
        <v>#DIV/0!</v>
      </c>
      <c r="D55" s="54"/>
    </row>
    <row r="56" customFormat="false" ht="12.75" hidden="false" customHeight="false" outlineLevel="0" collapsed="false">
      <c r="A56" s="75" t="s">
        <v>88</v>
      </c>
      <c r="B56" s="54" t="n">
        <f aca="false">(55894335)/100000</f>
        <v>558.94335</v>
      </c>
      <c r="C56" s="55" t="n">
        <f aca="false">(B56-D56)/D56%</f>
        <v>451.111069699643</v>
      </c>
      <c r="D56" s="54" t="n">
        <f aca="false">(10142118)/100000</f>
        <v>101.42118</v>
      </c>
    </row>
    <row r="57" customFormat="false" ht="12.75" hidden="false" customHeight="false" outlineLevel="0" collapsed="false">
      <c r="A57" s="75" t="s">
        <v>89</v>
      </c>
      <c r="B57" s="54"/>
      <c r="C57" s="55" t="e">
        <f aca="false">(B57-D57)/D57%</f>
        <v>#DIV/0!</v>
      </c>
      <c r="D57" s="54"/>
    </row>
    <row r="58" customFormat="false" ht="12.75" hidden="false" customHeight="false" outlineLevel="0" collapsed="false">
      <c r="A58" s="81" t="s">
        <v>73</v>
      </c>
      <c r="B58" s="90" t="n">
        <f aca="false">B42+B43+B47+B57</f>
        <v>1337.0853488</v>
      </c>
      <c r="C58" s="91" t="n">
        <f aca="false">(B58-D58)/D58%</f>
        <v>109.449490014353</v>
      </c>
      <c r="D58" s="90" t="n">
        <f aca="false">D42+D43+D47+D57</f>
        <v>638.380809</v>
      </c>
    </row>
    <row r="59" customFormat="false" ht="12.75" hidden="false" customHeight="false" outlineLevel="0" collapsed="false">
      <c r="A59" s="92"/>
      <c r="B59" s="93" t="n">
        <f aca="false">B58-B41</f>
        <v>1.72999998540035E-005</v>
      </c>
      <c r="C59" s="94"/>
      <c r="D59" s="93" t="n">
        <f aca="false">D58-D41</f>
        <v>0</v>
      </c>
    </row>
    <row r="60" customFormat="false" ht="14.1" hidden="false" customHeight="true" outlineLevel="0" collapsed="false">
      <c r="A60" s="95" t="s">
        <v>90</v>
      </c>
      <c r="B60" s="95"/>
      <c r="C60" s="95"/>
      <c r="D60" s="95"/>
    </row>
    <row r="61" customFormat="false" ht="12" hidden="false" customHeight="false" outlineLevel="0" collapsed="false">
      <c r="A61" s="96" t="s">
        <v>91</v>
      </c>
      <c r="B61" s="97" t="n">
        <f aca="false">B50/B3*365</f>
        <v>107.119568185514</v>
      </c>
      <c r="C61" s="98"/>
      <c r="D61" s="99" t="n">
        <f aca="false">D50/D3*365</f>
        <v>100.897525237134</v>
      </c>
    </row>
    <row r="62" customFormat="false" ht="12" hidden="false" customHeight="false" outlineLevel="0" collapsed="false">
      <c r="A62" s="100" t="s">
        <v>92</v>
      </c>
      <c r="B62" s="100" t="n">
        <f aca="false">B49/(B7+B9+B10)*365</f>
        <v>28.7013315563638</v>
      </c>
      <c r="C62" s="101"/>
      <c r="D62" s="102" t="n">
        <f aca="false">D49/(D7+D9+D10)*365</f>
        <v>35.113927805561</v>
      </c>
    </row>
    <row r="63" customFormat="false" ht="12" hidden="false" customHeight="false" outlineLevel="0" collapsed="false">
      <c r="A63" s="100" t="s">
        <v>93</v>
      </c>
      <c r="B63" s="100" t="n">
        <f aca="false">B49/(B9+B7+B10)</f>
        <v>0.0786337850859282</v>
      </c>
      <c r="C63" s="101"/>
      <c r="D63" s="102" t="n">
        <f aca="false">D49/(D9+D7+D10)</f>
        <v>0.0962025419330437</v>
      </c>
    </row>
    <row r="64" customFormat="false" ht="12" hidden="false" customHeight="false" outlineLevel="0" collapsed="false">
      <c r="A64" s="100" t="s">
        <v>94</v>
      </c>
      <c r="B64" s="100" t="n">
        <f aca="false">B47/B37</f>
        <v>4.05679162776625</v>
      </c>
      <c r="C64" s="101"/>
      <c r="D64" s="102" t="n">
        <f aca="false">D47/D37</f>
        <v>1.6470056239639</v>
      </c>
    </row>
    <row r="65" customFormat="false" ht="12" hidden="false" customHeight="false" outlineLevel="0" collapsed="false">
      <c r="A65" s="100" t="s">
        <v>95</v>
      </c>
      <c r="B65" s="100" t="n">
        <f aca="false">(B47-B49)/(B37+B33)</f>
        <v>3.99216640609281</v>
      </c>
      <c r="C65" s="101"/>
      <c r="D65" s="102" t="n">
        <f aca="false">(D47-D49)/(D37+D33)</f>
        <v>1.59697667908825</v>
      </c>
    </row>
    <row r="66" customFormat="false" ht="12" hidden="false" customHeight="false" outlineLevel="0" collapsed="false">
      <c r="A66" s="100" t="s">
        <v>96</v>
      </c>
      <c r="B66" s="100" t="n">
        <f aca="false">(B32+B33+B35)/B29</f>
        <v>1.99239774291571</v>
      </c>
      <c r="C66" s="101"/>
      <c r="D66" s="102" t="n">
        <f aca="false">(D32+D33+D35)/D29</f>
        <v>4.34266001897042</v>
      </c>
    </row>
    <row r="67" customFormat="false" ht="12" hidden="false" customHeight="false" outlineLevel="0" collapsed="false">
      <c r="A67" s="100" t="s">
        <v>97</v>
      </c>
      <c r="B67" s="100" t="n">
        <f aca="false">B14/B16</f>
        <v>1.84480624660246</v>
      </c>
      <c r="C67" s="101"/>
      <c r="D67" s="102" t="n">
        <f aca="false">D14/D16</f>
        <v>1.71438595586776</v>
      </c>
    </row>
    <row r="68" customFormat="false" ht="12" hidden="false" customHeight="false" outlineLevel="0" collapsed="false">
      <c r="A68" s="100" t="s">
        <v>98</v>
      </c>
      <c r="B68" s="100" t="n">
        <f aca="false">$B$14/($B$16+($B$32+$B$35)/5)</f>
        <v>0.590721125845017</v>
      </c>
      <c r="C68" s="101"/>
      <c r="D68" s="102" t="n">
        <f aca="false">$B$14/($B$16+($B$32+$B$35)/5)</f>
        <v>0.590721125845017</v>
      </c>
    </row>
    <row r="69" customFormat="false" ht="12" hidden="false" customHeight="false" outlineLevel="0" collapsed="false">
      <c r="A69" s="100" t="s">
        <v>99</v>
      </c>
      <c r="B69" s="100" t="n">
        <f aca="false">$B$14/($B$16+((($B$32+$B$35)/5)+(3.2267*12)))</f>
        <v>0.452860001239203</v>
      </c>
      <c r="C69" s="101"/>
      <c r="D69" s="102" t="n">
        <f aca="false">$B$14/($B$16+((($B$32+$B$35)/5)+(3.2267*12)))</f>
        <v>0.452860001239203</v>
      </c>
    </row>
    <row r="70" customFormat="false" ht="12" hidden="false" customHeight="false" outlineLevel="0" collapsed="false">
      <c r="A70" s="100" t="s">
        <v>100</v>
      </c>
      <c r="B70" s="100" t="n">
        <f aca="false">B11/B3*100</f>
        <v>80.7108458369962</v>
      </c>
      <c r="C70" s="101"/>
      <c r="D70" s="102" t="n">
        <f aca="false">D11/D3*100</f>
        <v>86.3927620110711</v>
      </c>
    </row>
    <row r="71" customFormat="false" ht="12" hidden="false" customHeight="false" outlineLevel="0" collapsed="false">
      <c r="A71" s="100" t="s">
        <v>101</v>
      </c>
      <c r="B71" s="100" t="n">
        <f aca="false">B20/B3*100</f>
        <v>0.491959826264169</v>
      </c>
      <c r="C71" s="101"/>
      <c r="D71" s="102" t="n">
        <f aca="false">D20/D3*100</f>
        <v>-0.436208412157236</v>
      </c>
    </row>
    <row r="72" customFormat="false" ht="12" hidden="false" customHeight="false" outlineLevel="0" collapsed="false">
      <c r="A72" s="100" t="s">
        <v>102</v>
      </c>
      <c r="B72" s="100" t="n">
        <f aca="false">B21/B3*100</f>
        <v>1.56818503881563</v>
      </c>
      <c r="C72" s="101"/>
      <c r="D72" s="102" t="n">
        <f aca="false">D21/D3*100</f>
        <v>0.202522587525534</v>
      </c>
    </row>
    <row r="73" customFormat="false" ht="12" hidden="false" customHeight="false" outlineLevel="0" collapsed="false">
      <c r="A73" s="100" t="s">
        <v>103</v>
      </c>
      <c r="B73" s="103" t="n">
        <f aca="false">(B3-D3)/D3*100</f>
        <v>4.17361139514102</v>
      </c>
      <c r="C73" s="104"/>
      <c r="D73" s="105" t="e">
        <f aca="false">(D3-F3)/F3*100</f>
        <v>#DIV/0!</v>
      </c>
    </row>
    <row r="74" customFormat="false" ht="12" hidden="false" customHeight="false" outlineLevel="0" collapsed="false">
      <c r="A74" s="100" t="s">
        <v>104</v>
      </c>
      <c r="B74" s="103" t="n">
        <f aca="false">(B20-D20)/D20*100</f>
        <v>-217.487949188819</v>
      </c>
      <c r="C74" s="104"/>
      <c r="D74" s="105" t="e">
        <f aca="false">(D20-F20)/F20*100</f>
        <v>#DIV/0!</v>
      </c>
    </row>
    <row r="75" customFormat="false" ht="12" hidden="false" customHeight="false" outlineLevel="0" collapsed="false">
      <c r="A75" s="106" t="s">
        <v>105</v>
      </c>
      <c r="B75" s="107" t="n">
        <f aca="false">B7/B49</f>
        <v>12.7171800124747</v>
      </c>
      <c r="C75" s="108"/>
      <c r="D75" s="107" t="n">
        <f aca="false">D7/D49</f>
        <v>10.3947357305381</v>
      </c>
    </row>
    <row r="76" customFormat="false" ht="12" hidden="false" customHeight="false" outlineLevel="0" collapsed="false">
      <c r="A76" s="109"/>
      <c r="B76" s="109"/>
      <c r="C76" s="110"/>
      <c r="D76" s="109"/>
    </row>
    <row r="77" customFormat="false" ht="24" hidden="false" customHeight="false" outlineLevel="0" collapsed="false">
      <c r="A77" s="111" t="s">
        <v>32</v>
      </c>
      <c r="B77" s="112" t="s">
        <v>106</v>
      </c>
      <c r="C77" s="112"/>
      <c r="D77" s="112" t="s">
        <v>106</v>
      </c>
    </row>
    <row r="78" customFormat="false" ht="12" hidden="false" customHeight="false" outlineLevel="0" collapsed="false">
      <c r="A78" s="113" t="s">
        <v>107</v>
      </c>
      <c r="B78" s="113" t="n">
        <f aca="false">B3</f>
        <v>1226.1244065</v>
      </c>
      <c r="C78" s="114"/>
      <c r="D78" s="113" t="n">
        <f aca="false">D3</f>
        <v>1177.0009603</v>
      </c>
    </row>
    <row r="79" customFormat="false" ht="12" hidden="false" customHeight="false" outlineLevel="0" collapsed="false">
      <c r="A79" s="57" t="s">
        <v>37</v>
      </c>
      <c r="B79" s="113" t="n">
        <f aca="false">B4</f>
        <v>0</v>
      </c>
      <c r="C79" s="114"/>
      <c r="D79" s="113" t="n">
        <f aca="false">D4</f>
        <v>0.19499</v>
      </c>
    </row>
    <row r="80" customFormat="false" ht="12" hidden="false" customHeight="false" outlineLevel="0" collapsed="false">
      <c r="A80" s="57" t="s">
        <v>38</v>
      </c>
      <c r="B80" s="113" t="n">
        <f aca="false">B5</f>
        <v>0</v>
      </c>
      <c r="C80" s="114"/>
      <c r="D80" s="113" t="n">
        <f aca="false">D5</f>
        <v>0</v>
      </c>
    </row>
    <row r="81" customFormat="false" ht="12" hidden="false" customHeight="false" outlineLevel="0" collapsed="false">
      <c r="A81" s="113" t="s">
        <v>108</v>
      </c>
      <c r="B81" s="113" t="n">
        <f aca="false">SUM(B78:B80)</f>
        <v>1226.1244065</v>
      </c>
      <c r="C81" s="114"/>
      <c r="D81" s="113" t="n">
        <f aca="false">SUM(D78:D80)</f>
        <v>1177.1959503</v>
      </c>
    </row>
    <row r="82" customFormat="false" ht="12" hidden="false" customHeight="false" outlineLevel="0" collapsed="false">
      <c r="A82" s="113" t="s">
        <v>47</v>
      </c>
      <c r="B82" s="113" t="n">
        <f aca="false">B14</f>
        <v>75.1353795</v>
      </c>
      <c r="C82" s="114"/>
      <c r="D82" s="113" t="n">
        <f aca="false">D14</f>
        <v>60.2036384999999</v>
      </c>
    </row>
    <row r="83" customFormat="false" ht="12" hidden="false" customHeight="false" outlineLevel="0" collapsed="false">
      <c r="A83" s="113" t="s">
        <v>48</v>
      </c>
      <c r="B83" s="113" t="n">
        <f aca="false">B15</f>
        <v>13.19586</v>
      </c>
      <c r="C83" s="114"/>
      <c r="D83" s="113" t="n">
        <f aca="false">D15</f>
        <v>7.51787</v>
      </c>
    </row>
    <row r="84" customFormat="false" ht="12" hidden="false" customHeight="false" outlineLevel="0" collapsed="false">
      <c r="A84" s="113" t="s">
        <v>49</v>
      </c>
      <c r="B84" s="113" t="n">
        <f aca="false">B16</f>
        <v>40.72806</v>
      </c>
      <c r="C84" s="114"/>
      <c r="D84" s="113" t="n">
        <f aca="false">D16</f>
        <v>35.1167357</v>
      </c>
    </row>
    <row r="85" customFormat="false" ht="12" hidden="false" customHeight="false" outlineLevel="0" collapsed="false">
      <c r="A85" s="113" t="s">
        <v>51</v>
      </c>
      <c r="B85" s="113" t="n">
        <f aca="false">B18</f>
        <v>21.2114595</v>
      </c>
      <c r="C85" s="114"/>
      <c r="D85" s="113" t="n">
        <f aca="false">D18</f>
        <v>17.5690327999999</v>
      </c>
    </row>
    <row r="86" customFormat="false" ht="12" hidden="false" customHeight="false" outlineLevel="0" collapsed="false">
      <c r="A86" s="113" t="s">
        <v>109</v>
      </c>
      <c r="B86" s="113" t="n">
        <f aca="false">B20</f>
        <v>6.03203949999998</v>
      </c>
      <c r="C86" s="114"/>
      <c r="D86" s="113" t="n">
        <f aca="false">D20</f>
        <v>-5.13417720000005</v>
      </c>
    </row>
    <row r="87" customFormat="false" ht="12" hidden="false" customHeight="false" outlineLevel="0" collapsed="false">
      <c r="A87" s="113" t="s">
        <v>57</v>
      </c>
      <c r="B87" s="113" t="n">
        <f aca="false">B24</f>
        <v>19.2278995</v>
      </c>
      <c r="C87" s="114"/>
      <c r="D87" s="113" t="n">
        <f aca="false">D24</f>
        <v>2.38369279999995</v>
      </c>
    </row>
    <row r="88" customFormat="false" ht="12" hidden="false" customHeight="false" outlineLevel="0" collapsed="false">
      <c r="A88" s="113"/>
      <c r="B88" s="113"/>
      <c r="C88" s="114"/>
      <c r="D88" s="113"/>
    </row>
    <row r="89" customFormat="false" ht="12" hidden="false" customHeight="false" outlineLevel="0" collapsed="false">
      <c r="A89" s="111" t="s">
        <v>58</v>
      </c>
      <c r="B89" s="113"/>
      <c r="C89" s="114"/>
      <c r="D89" s="113"/>
    </row>
    <row r="90" customFormat="false" ht="12" hidden="false" customHeight="false" outlineLevel="0" collapsed="false">
      <c r="A90" s="113" t="s">
        <v>110</v>
      </c>
      <c r="B90" s="113" t="n">
        <f aca="false">B31</f>
        <v>616.9862426</v>
      </c>
      <c r="C90" s="114"/>
      <c r="D90" s="113" t="n">
        <f aca="false">D31</f>
        <v>61.7732196</v>
      </c>
    </row>
    <row r="91" customFormat="false" ht="12" hidden="false" customHeight="false" outlineLevel="0" collapsed="false">
      <c r="A91" s="113" t="s">
        <v>64</v>
      </c>
      <c r="B91" s="113" t="n">
        <f aca="false">B32</f>
        <v>282.80868</v>
      </c>
      <c r="C91" s="114"/>
      <c r="D91" s="113" t="n">
        <f aca="false">D32</f>
        <v>113.4016665</v>
      </c>
    </row>
    <row r="92" customFormat="false" ht="12" hidden="false" customHeight="false" outlineLevel="0" collapsed="false">
      <c r="A92" s="113" t="s">
        <v>65</v>
      </c>
      <c r="B92" s="113" t="n">
        <f aca="false">B33</f>
        <v>0</v>
      </c>
      <c r="C92" s="114"/>
      <c r="D92" s="113" t="n">
        <f aca="false">D33</f>
        <v>0</v>
      </c>
    </row>
    <row r="93" customFormat="false" ht="12" hidden="false" customHeight="false" outlineLevel="0" collapsed="false">
      <c r="A93" s="113" t="s">
        <v>111</v>
      </c>
      <c r="B93" s="113" t="n">
        <f aca="false">B35</f>
        <v>149.51422</v>
      </c>
      <c r="C93" s="114"/>
      <c r="D93" s="113" t="n">
        <f aca="false">D35</f>
        <v>154.8584245</v>
      </c>
    </row>
    <row r="94" customFormat="false" ht="12" hidden="false" customHeight="false" outlineLevel="0" collapsed="false">
      <c r="A94" s="113" t="s">
        <v>112</v>
      </c>
      <c r="B94" s="113" t="n">
        <f aca="false">B37</f>
        <v>287.7761889</v>
      </c>
      <c r="C94" s="114"/>
      <c r="D94" s="113" t="n">
        <f aca="false">D37</f>
        <v>308.3474984</v>
      </c>
    </row>
    <row r="95" customFormat="false" ht="12" hidden="false" customHeight="false" outlineLevel="0" collapsed="false">
      <c r="A95" s="113" t="s">
        <v>113</v>
      </c>
      <c r="B95" s="115" t="n">
        <f aca="false">SUM(B90:B94)</f>
        <v>1337.0853315</v>
      </c>
      <c r="C95" s="116"/>
      <c r="D95" s="115" t="n">
        <f aca="false">SUM(D90:D94)</f>
        <v>638.380809</v>
      </c>
    </row>
    <row r="96" customFormat="false" ht="12" hidden="false" customHeight="false" outlineLevel="0" collapsed="false">
      <c r="A96" s="113"/>
      <c r="B96" s="113"/>
      <c r="C96" s="114"/>
      <c r="D96" s="113"/>
    </row>
    <row r="97" customFormat="false" ht="12" hidden="false" customHeight="false" outlineLevel="0" collapsed="false">
      <c r="A97" s="113" t="s">
        <v>114</v>
      </c>
      <c r="B97" s="113" t="n">
        <f aca="false">B42</f>
        <v>142.60471</v>
      </c>
      <c r="C97" s="114"/>
      <c r="D97" s="113" t="n">
        <f aca="false">D42</f>
        <v>103.49814</v>
      </c>
    </row>
    <row r="98" customFormat="false" ht="12" hidden="false" customHeight="false" outlineLevel="0" collapsed="false">
      <c r="A98" s="113" t="s">
        <v>115</v>
      </c>
      <c r="B98" s="113" t="n">
        <f aca="false">B44</f>
        <v>27.032605</v>
      </c>
      <c r="C98" s="114"/>
      <c r="D98" s="113" t="n">
        <f aca="false">D44</f>
        <v>27.032605</v>
      </c>
    </row>
    <row r="99" customFormat="false" ht="12" hidden="false" customHeight="false" outlineLevel="0" collapsed="false">
      <c r="A99" s="113" t="s">
        <v>116</v>
      </c>
      <c r="B99" s="113"/>
      <c r="C99" s="114"/>
      <c r="D99" s="113"/>
    </row>
    <row r="100" customFormat="false" ht="12" hidden="false" customHeight="false" outlineLevel="0" collapsed="false">
      <c r="A100" s="113" t="s">
        <v>81</v>
      </c>
      <c r="B100" s="113" t="n">
        <f aca="false">B49</f>
        <v>18.5976</v>
      </c>
      <c r="C100" s="114"/>
      <c r="D100" s="113" t="n">
        <f aca="false">D49</f>
        <v>15.4263</v>
      </c>
    </row>
    <row r="101" customFormat="false" ht="12" hidden="false" customHeight="false" outlineLevel="0" collapsed="false">
      <c r="A101" s="113" t="s">
        <v>117</v>
      </c>
      <c r="B101" s="113" t="n">
        <f aca="false">B50</f>
        <v>359.8408684</v>
      </c>
      <c r="C101" s="114"/>
      <c r="D101" s="113" t="n">
        <f aca="false">D50</f>
        <v>325.3602304</v>
      </c>
    </row>
    <row r="102" customFormat="false" ht="12" hidden="false" customHeight="false" outlineLevel="0" collapsed="false">
      <c r="A102" s="113" t="s">
        <v>118</v>
      </c>
      <c r="B102" s="113" t="n">
        <f aca="false">B48+B53+B56</f>
        <v>789.0095654</v>
      </c>
      <c r="C102" s="114"/>
      <c r="D102" s="113" t="n">
        <f aca="false">D48+D53+D56</f>
        <v>167.0635336</v>
      </c>
    </row>
    <row r="103" customFormat="false" ht="12" hidden="false" customHeight="false" outlineLevel="0" collapsed="false">
      <c r="A103" s="113" t="s">
        <v>119</v>
      </c>
      <c r="B103" s="115" t="n">
        <f aca="false">SUM(B97:B102)</f>
        <v>1337.0853488</v>
      </c>
      <c r="C103" s="116"/>
      <c r="D103" s="115" t="n">
        <f aca="false">SUM(D97:D102)</f>
        <v>638.380809</v>
      </c>
    </row>
    <row r="104" customFormat="false" ht="12" hidden="false" customHeight="false" outlineLevel="0" collapsed="false">
      <c r="A104" s="113" t="s">
        <v>120</v>
      </c>
      <c r="B104" s="113" t="n">
        <f aca="false">B64</f>
        <v>4.05679162776625</v>
      </c>
      <c r="C104" s="114"/>
      <c r="D104" s="113" t="n">
        <f aca="false">D64</f>
        <v>1.6470056239639</v>
      </c>
    </row>
    <row r="105" customFormat="false" ht="12" hidden="false" customHeight="false" outlineLevel="0" collapsed="false">
      <c r="A105" s="113" t="s">
        <v>121</v>
      </c>
      <c r="B105" s="113" t="n">
        <f aca="false">B65</f>
        <v>3.99216640609281</v>
      </c>
      <c r="C105" s="114"/>
      <c r="D105" s="113" t="n">
        <f aca="false">D65</f>
        <v>1.59697667908825</v>
      </c>
    </row>
    <row r="106" customFormat="false" ht="12" hidden="false" customHeight="false" outlineLevel="0" collapsed="false">
      <c r="A106" s="113" t="s">
        <v>122</v>
      </c>
      <c r="B106" s="113" t="n">
        <f aca="false">B66</f>
        <v>1.99239774291571</v>
      </c>
      <c r="C106" s="114"/>
      <c r="D106" s="113" t="n">
        <f aca="false">D66</f>
        <v>4.34266001897042</v>
      </c>
    </row>
    <row r="107" customFormat="false" ht="12" hidden="false" customHeight="false" outlineLevel="0" collapsed="false">
      <c r="A107" s="113" t="s">
        <v>123</v>
      </c>
      <c r="B107" s="113" t="n">
        <f aca="false">B67</f>
        <v>1.84480624660246</v>
      </c>
      <c r="C107" s="114"/>
      <c r="D107" s="113" t="n">
        <f aca="false">D67</f>
        <v>1.71438595586776</v>
      </c>
    </row>
    <row r="108" customFormat="false" ht="12" hidden="false" customHeight="false" outlineLevel="0" collapsed="false">
      <c r="A108" s="113" t="s">
        <v>98</v>
      </c>
      <c r="B108" s="113" t="n">
        <f aca="false">B68</f>
        <v>0.590721125845017</v>
      </c>
      <c r="C108" s="114"/>
      <c r="D108" s="113" t="n">
        <f aca="false">D68</f>
        <v>0.590721125845017</v>
      </c>
    </row>
    <row r="109" customFormat="false" ht="12" hidden="false" customHeight="false" outlineLevel="0" collapsed="false">
      <c r="A109" s="113" t="s">
        <v>100</v>
      </c>
      <c r="B109" s="117" t="n">
        <f aca="false">B70</f>
        <v>80.7108458369962</v>
      </c>
      <c r="C109" s="114"/>
      <c r="D109" s="117" t="n">
        <f aca="false">D70</f>
        <v>86.3927620110711</v>
      </c>
    </row>
    <row r="110" customFormat="false" ht="12" hidden="false" customHeight="false" outlineLevel="0" collapsed="false">
      <c r="A110" s="113" t="s">
        <v>101</v>
      </c>
      <c r="B110" s="117" t="n">
        <f aca="false">B71</f>
        <v>0.491959826264169</v>
      </c>
      <c r="C110" s="114"/>
      <c r="D110" s="117" t="n">
        <f aca="false">D71</f>
        <v>-0.436208412157236</v>
      </c>
    </row>
    <row r="111" customFormat="false" ht="12" hidden="false" customHeight="false" outlineLevel="0" collapsed="false">
      <c r="A111" s="0"/>
      <c r="B111" s="0"/>
    </row>
    <row r="112" customFormat="false" ht="12" hidden="false" customHeight="false" outlineLevel="0" collapsed="false">
      <c r="A112" s="0"/>
      <c r="B112" s="0"/>
    </row>
    <row r="113" customFormat="false" ht="12" hidden="false" customHeight="false" outlineLevel="0" collapsed="false">
      <c r="A113" s="0"/>
      <c r="B113" s="0"/>
    </row>
    <row r="114" customFormat="false" ht="12" hidden="false" customHeight="false" outlineLevel="0" collapsed="false">
      <c r="A114" s="0"/>
      <c r="B114" s="0"/>
    </row>
    <row r="115" customFormat="false" ht="12" hidden="false" customHeight="false" outlineLevel="0" collapsed="false">
      <c r="A115" s="0"/>
      <c r="B115" s="0"/>
    </row>
    <row r="116" customFormat="false" ht="12" hidden="false" customHeight="false" outlineLevel="0" collapsed="false">
      <c r="A116" s="0"/>
      <c r="B116" s="0"/>
    </row>
    <row r="117" customFormat="false" ht="12" hidden="false" customHeight="false" outlineLevel="0" collapsed="false">
      <c r="A117" s="0"/>
      <c r="B117" s="0"/>
    </row>
    <row r="118" customFormat="false" ht="12" hidden="false" customHeight="false" outlineLevel="0" collapsed="false">
      <c r="A118" s="0"/>
      <c r="B118" s="0"/>
    </row>
    <row r="119" customFormat="false" ht="12" hidden="false" customHeight="false" outlineLevel="0" collapsed="false">
      <c r="A119" s="0"/>
      <c r="B119" s="0"/>
    </row>
    <row r="120" customFormat="false" ht="12" hidden="false" customHeight="false" outlineLevel="0" collapsed="false">
      <c r="A120" s="0"/>
      <c r="B120" s="0"/>
    </row>
    <row r="121" customFormat="false" ht="12" hidden="false" customHeight="false" outlineLevel="0" collapsed="false">
      <c r="A121" s="0"/>
      <c r="B121" s="0"/>
    </row>
    <row r="122" customFormat="false" ht="12" hidden="false" customHeight="false" outlineLevel="0" collapsed="false">
      <c r="A122" s="0"/>
      <c r="B122" s="0"/>
    </row>
    <row r="123" customFormat="false" ht="12" hidden="false" customHeight="false" outlineLevel="0" collapsed="false">
      <c r="A123" s="0"/>
      <c r="B123" s="0"/>
    </row>
    <row r="124" customFormat="false" ht="12" hidden="false" customHeight="false" outlineLevel="0" collapsed="false">
      <c r="A124" s="0"/>
      <c r="B124" s="0"/>
    </row>
    <row r="125" customFormat="false" ht="12" hidden="false" customHeight="false" outlineLevel="0" collapsed="false">
      <c r="A125" s="0"/>
      <c r="B125" s="0"/>
    </row>
    <row r="126" customFormat="false" ht="12" hidden="false" customHeight="false" outlineLevel="0" collapsed="false">
      <c r="A126" s="0"/>
      <c r="B126" s="0"/>
    </row>
    <row r="127" customFormat="false" ht="12" hidden="false" customHeight="false" outlineLevel="0" collapsed="false">
      <c r="A127" s="0"/>
      <c r="B127" s="0"/>
    </row>
    <row r="128" customFormat="false" ht="12" hidden="false" customHeight="false" outlineLevel="0" collapsed="false">
      <c r="A128" s="0"/>
      <c r="B128" s="0"/>
    </row>
    <row r="129" customFormat="false" ht="12" hidden="false" customHeight="false" outlineLevel="0" collapsed="false">
      <c r="A129" s="0"/>
      <c r="B129" s="0"/>
    </row>
    <row r="130" customFormat="false" ht="12" hidden="false" customHeight="false" outlineLevel="0" collapsed="false">
      <c r="A130" s="48" t="s">
        <v>124</v>
      </c>
      <c r="B130" s="48" t="n">
        <v>8080</v>
      </c>
    </row>
  </sheetData>
  <mergeCells count="1">
    <mergeCell ref="A1:D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1:38"/>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0" topLeftCell="B1" activePane="topRight" state="frozen"/>
      <selection pane="topLeft" activeCell="A1" activeCellId="0" sqref="A1"/>
      <selection pane="topRight" activeCell="B10" activeCellId="0" sqref="B10"/>
    </sheetView>
  </sheetViews>
  <sheetFormatPr defaultRowHeight="12.75"/>
  <cols>
    <col collapsed="false" hidden="false" max="1" min="1" style="118" width="23.6720647773279"/>
    <col collapsed="false" hidden="false" max="2" min="2" style="119" width="18.1012145748988"/>
    <col collapsed="false" hidden="false" max="3" min="3" style="120" width="25.8137651821862"/>
    <col collapsed="false" hidden="false" max="5" min="4" style="120" width="17.7813765182186"/>
    <col collapsed="false" hidden="false" max="6" min="6" style="120" width="17.1376518218624"/>
    <col collapsed="false" hidden="false" max="7" min="7" style="120" width="19.7085020242915"/>
    <col collapsed="false" hidden="false" max="8" min="8" style="120" width="19.1740890688259"/>
    <col collapsed="false" hidden="false" max="9" min="9" style="120" width="19.4939271255061"/>
    <col collapsed="false" hidden="false" max="10" min="10" style="120" width="18.6396761133603"/>
    <col collapsed="false" hidden="false" max="11" min="11" style="120" width="17.7813765182186"/>
    <col collapsed="false" hidden="false" max="12" min="12" style="119" width="19.3886639676113"/>
    <col collapsed="false" hidden="false" max="13" min="13" style="119" width="17.3522267206478"/>
    <col collapsed="false" hidden="false" max="14" min="14" style="119" width="19.8178137651822"/>
    <col collapsed="false" hidden="false" max="15" min="15" style="119" width="19.9230769230769"/>
    <col collapsed="false" hidden="false" max="16" min="16" style="119" width="20.1376518218623"/>
    <col collapsed="false" hidden="false" max="17" min="17" style="119" width="20.5668016194332"/>
    <col collapsed="false" hidden="false" max="18" min="18" style="119" width="16.1740890688259"/>
    <col collapsed="false" hidden="false" max="19" min="19" style="119" width="15.6396761133603"/>
    <col collapsed="false" hidden="false" max="20" min="20" style="119" width="15.5303643724696"/>
    <col collapsed="false" hidden="false" max="21" min="21" style="119" width="15.2105263157895"/>
    <col collapsed="false" hidden="false" max="22" min="22" style="119" width="15.7449392712551"/>
    <col collapsed="false" hidden="false" max="231" min="23" style="119" width="8.67611336032389"/>
    <col collapsed="false" hidden="false" max="1025" min="232" style="11" width="8.67611336032389"/>
  </cols>
  <sheetData>
    <row r="1" customFormat="false" ht="14.25" hidden="false" customHeight="false" outlineLevel="0" collapsed="false">
      <c r="A1" s="121" t="s">
        <v>0</v>
      </c>
      <c r="B1" s="122" t="n">
        <v>1</v>
      </c>
      <c r="C1" s="123" t="n">
        <v>2</v>
      </c>
      <c r="D1" s="123" t="n">
        <v>3</v>
      </c>
      <c r="E1" s="123" t="n">
        <v>4</v>
      </c>
      <c r="F1" s="123" t="n">
        <v>5</v>
      </c>
      <c r="G1" s="123" t="n">
        <v>6</v>
      </c>
      <c r="H1" s="123" t="n">
        <v>7</v>
      </c>
      <c r="I1" s="123" t="n">
        <v>8</v>
      </c>
      <c r="J1" s="123"/>
      <c r="K1" s="123"/>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124" t="s">
        <v>125</v>
      </c>
      <c r="B2" s="125" t="s">
        <v>126</v>
      </c>
      <c r="C2" s="125" t="s">
        <v>127</v>
      </c>
      <c r="D2" s="125" t="s">
        <v>128</v>
      </c>
      <c r="E2" s="125" t="s">
        <v>129</v>
      </c>
      <c r="F2" s="125" t="s">
        <v>130</v>
      </c>
      <c r="G2" s="125" t="s">
        <v>126</v>
      </c>
      <c r="H2" s="125" t="s">
        <v>131</v>
      </c>
      <c r="I2" s="125" t="s">
        <v>132</v>
      </c>
      <c r="J2" s="125" t="s">
        <v>128</v>
      </c>
      <c r="K2" s="125" t="s">
        <v>133</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126" t="s">
        <v>134</v>
      </c>
      <c r="B3" s="127" t="s">
        <v>135</v>
      </c>
      <c r="C3" s="127" t="s">
        <v>136</v>
      </c>
      <c r="D3" s="127" t="s">
        <v>137</v>
      </c>
      <c r="E3" s="127" t="s">
        <v>137</v>
      </c>
      <c r="F3" s="127" t="s">
        <v>135</v>
      </c>
      <c r="G3" s="127" t="s">
        <v>135</v>
      </c>
      <c r="H3" s="127" t="s">
        <v>135</v>
      </c>
      <c r="I3" s="127" t="s">
        <v>135</v>
      </c>
      <c r="J3" s="127" t="s">
        <v>135</v>
      </c>
      <c r="K3" s="128" t="s">
        <v>135</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32" customFormat="true" ht="12.75" hidden="false" customHeight="false" outlineLevel="0" collapsed="false">
      <c r="A4" s="129" t="s">
        <v>138</v>
      </c>
      <c r="B4" s="130" t="n">
        <v>42429</v>
      </c>
      <c r="C4" s="130" t="n">
        <v>42244</v>
      </c>
      <c r="D4" s="130" t="n">
        <v>42243</v>
      </c>
      <c r="E4" s="130" t="n">
        <v>42056</v>
      </c>
      <c r="F4" s="130" t="n">
        <v>41771</v>
      </c>
      <c r="G4" s="130" t="n">
        <v>41786</v>
      </c>
      <c r="H4" s="130" t="n">
        <v>41729</v>
      </c>
      <c r="I4" s="130" t="n">
        <v>41394</v>
      </c>
      <c r="J4" s="130" t="n">
        <v>41973</v>
      </c>
      <c r="K4" s="130" t="s">
        <v>139</v>
      </c>
      <c r="L4" s="119"/>
      <c r="M4" s="119"/>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c r="CO4" s="131"/>
      <c r="CP4" s="131"/>
      <c r="CQ4" s="131"/>
      <c r="CR4" s="131"/>
      <c r="CS4" s="131"/>
      <c r="CT4" s="131"/>
      <c r="CU4" s="131"/>
      <c r="CV4" s="131"/>
      <c r="CW4" s="131"/>
      <c r="CX4" s="131"/>
      <c r="CY4" s="131"/>
      <c r="CZ4" s="131"/>
      <c r="DA4" s="131"/>
      <c r="DB4" s="131"/>
      <c r="DC4" s="131"/>
      <c r="DD4" s="131"/>
      <c r="DE4" s="131"/>
      <c r="DF4" s="131"/>
      <c r="DG4" s="131"/>
      <c r="DH4" s="131"/>
      <c r="DI4" s="131"/>
      <c r="DJ4" s="131"/>
      <c r="DK4" s="131"/>
      <c r="DL4" s="131"/>
      <c r="DM4" s="131"/>
      <c r="DN4" s="131"/>
      <c r="DO4" s="131"/>
      <c r="DP4" s="131"/>
      <c r="DQ4" s="131"/>
      <c r="DR4" s="131"/>
      <c r="DS4" s="131"/>
      <c r="DT4" s="131"/>
      <c r="DU4" s="131"/>
      <c r="DV4" s="131"/>
      <c r="DW4" s="131"/>
      <c r="DX4" s="131"/>
      <c r="DY4" s="131"/>
      <c r="DZ4" s="131"/>
      <c r="EA4" s="131"/>
      <c r="EB4" s="131"/>
      <c r="EC4" s="131"/>
      <c r="ED4" s="131"/>
      <c r="EE4" s="131"/>
      <c r="EF4" s="131"/>
      <c r="EG4" s="131"/>
      <c r="EH4" s="131"/>
      <c r="EI4" s="131"/>
      <c r="EJ4" s="131"/>
      <c r="EK4" s="131"/>
      <c r="EL4" s="131"/>
      <c r="EM4" s="131"/>
      <c r="EN4" s="131"/>
      <c r="EO4" s="131"/>
      <c r="EP4" s="131"/>
      <c r="EQ4" s="131"/>
      <c r="ER4" s="131"/>
      <c r="ES4" s="131"/>
      <c r="ET4" s="131"/>
      <c r="EU4" s="131"/>
      <c r="EV4" s="131"/>
      <c r="EW4" s="131"/>
      <c r="EX4" s="131"/>
      <c r="EY4" s="131"/>
      <c r="EZ4" s="131"/>
      <c r="FA4" s="131"/>
      <c r="FB4" s="131"/>
      <c r="FC4" s="131"/>
      <c r="FD4" s="131"/>
      <c r="FE4" s="131"/>
      <c r="FF4" s="131"/>
      <c r="FG4" s="131"/>
      <c r="FH4" s="131"/>
      <c r="FI4" s="131"/>
      <c r="FJ4" s="131"/>
      <c r="FK4" s="131"/>
      <c r="FL4" s="131"/>
      <c r="FM4" s="131"/>
      <c r="FN4" s="131"/>
      <c r="FO4" s="131"/>
      <c r="FP4" s="131"/>
      <c r="FQ4" s="131"/>
      <c r="FR4" s="131"/>
      <c r="FS4" s="131"/>
      <c r="FT4" s="131"/>
      <c r="FU4" s="131"/>
      <c r="FV4" s="131"/>
      <c r="FW4" s="131"/>
      <c r="FX4" s="131"/>
      <c r="FY4" s="131"/>
      <c r="FZ4" s="131"/>
      <c r="GA4" s="131"/>
      <c r="GB4" s="131"/>
      <c r="GC4" s="131"/>
      <c r="GD4" s="131"/>
      <c r="GE4" s="131"/>
      <c r="GF4" s="131"/>
      <c r="GG4" s="131"/>
      <c r="GH4" s="131"/>
      <c r="GI4" s="131"/>
      <c r="GJ4" s="131"/>
      <c r="GK4" s="131"/>
      <c r="GL4" s="131"/>
      <c r="GM4" s="131"/>
      <c r="GN4" s="131"/>
      <c r="GO4" s="131"/>
      <c r="GP4" s="131"/>
      <c r="GQ4" s="131"/>
      <c r="GR4" s="131"/>
      <c r="GS4" s="131"/>
      <c r="GT4" s="131"/>
      <c r="GU4" s="131"/>
      <c r="GV4" s="131"/>
      <c r="GW4" s="131"/>
      <c r="GX4" s="131"/>
      <c r="GY4" s="131"/>
      <c r="GZ4" s="131"/>
      <c r="HA4" s="131"/>
      <c r="HB4" s="131"/>
      <c r="HC4" s="131"/>
      <c r="HD4" s="131"/>
      <c r="HE4" s="131"/>
      <c r="HF4" s="131"/>
      <c r="HG4" s="131"/>
      <c r="HH4" s="131"/>
      <c r="HI4" s="131"/>
      <c r="HJ4" s="131"/>
      <c r="HK4" s="131"/>
      <c r="HL4" s="131"/>
      <c r="HM4" s="131"/>
      <c r="HN4" s="131"/>
      <c r="HO4" s="131"/>
      <c r="HP4" s="131"/>
      <c r="HQ4" s="131"/>
      <c r="HR4" s="131"/>
      <c r="HS4" s="131"/>
      <c r="HT4" s="131"/>
      <c r="HU4" s="131"/>
      <c r="HV4" s="131"/>
      <c r="HW4" s="131"/>
    </row>
    <row r="5" customFormat="false" ht="12.75" hidden="false" customHeight="false" outlineLevel="0" collapsed="false">
      <c r="A5" s="126" t="s">
        <v>140</v>
      </c>
      <c r="B5" s="133" t="s">
        <v>141</v>
      </c>
      <c r="C5" s="133" t="s">
        <v>142</v>
      </c>
      <c r="D5" s="133" t="s">
        <v>143</v>
      </c>
      <c r="E5" s="133" t="s">
        <v>144</v>
      </c>
      <c r="F5" s="133" t="s">
        <v>145</v>
      </c>
      <c r="G5" s="133" t="s">
        <v>146</v>
      </c>
      <c r="H5" s="133" t="s">
        <v>147</v>
      </c>
      <c r="I5" s="133" t="s">
        <v>148</v>
      </c>
      <c r="J5" s="133" t="s">
        <v>149</v>
      </c>
      <c r="K5" s="133" t="s">
        <v>150</v>
      </c>
      <c r="L5" s="0"/>
    </row>
    <row r="6" customFormat="false" ht="12.75" hidden="false" customHeight="false" outlineLevel="0" collapsed="false">
      <c r="A6" s="126" t="s">
        <v>24</v>
      </c>
      <c r="B6" s="133" t="n">
        <v>36</v>
      </c>
      <c r="C6" s="133" t="n">
        <v>180</v>
      </c>
      <c r="D6" s="133" t="n">
        <v>36</v>
      </c>
      <c r="E6" s="133" t="n">
        <v>36</v>
      </c>
      <c r="F6" s="133" t="n">
        <v>36</v>
      </c>
      <c r="G6" s="133" t="n">
        <v>36</v>
      </c>
      <c r="H6" s="133" t="n">
        <v>36</v>
      </c>
      <c r="I6" s="133" t="n">
        <v>36</v>
      </c>
      <c r="J6" s="133" t="n">
        <v>30</v>
      </c>
      <c r="K6" s="133" t="n">
        <v>36</v>
      </c>
      <c r="L6" s="0"/>
    </row>
    <row r="7" customFormat="false" ht="12.75" hidden="false" customHeight="false" outlineLevel="0" collapsed="false">
      <c r="A7" s="126" t="s">
        <v>151</v>
      </c>
      <c r="B7" s="133" t="n">
        <v>30</v>
      </c>
      <c r="C7" s="133" t="n">
        <v>170</v>
      </c>
      <c r="D7" s="133" t="n">
        <v>25</v>
      </c>
      <c r="E7" s="133" t="n">
        <v>15</v>
      </c>
      <c r="F7" s="133" t="n">
        <f aca="false">36-21</f>
        <v>15</v>
      </c>
      <c r="G7" s="133" t="n">
        <v>10</v>
      </c>
      <c r="H7" s="133" t="n">
        <v>8</v>
      </c>
      <c r="I7" s="133" t="n">
        <v>0</v>
      </c>
      <c r="J7" s="133" t="n">
        <v>10</v>
      </c>
      <c r="K7" s="133"/>
      <c r="L7" s="0"/>
    </row>
    <row r="8" customFormat="false" ht="25.5" hidden="false" customHeight="false" outlineLevel="0" collapsed="false">
      <c r="A8" s="126" t="s">
        <v>152</v>
      </c>
      <c r="B8" s="133" t="s">
        <v>153</v>
      </c>
      <c r="C8" s="133" t="s">
        <v>154</v>
      </c>
      <c r="D8" s="133" t="s">
        <v>154</v>
      </c>
      <c r="E8" s="133" t="s">
        <v>154</v>
      </c>
      <c r="F8" s="133" t="s">
        <v>153</v>
      </c>
      <c r="G8" s="133" t="s">
        <v>153</v>
      </c>
      <c r="H8" s="133" t="s">
        <v>153</v>
      </c>
      <c r="I8" s="133" t="s">
        <v>153</v>
      </c>
      <c r="J8" s="133" t="s">
        <v>153</v>
      </c>
      <c r="K8" s="133" t="s">
        <v>153</v>
      </c>
      <c r="L8" s="0"/>
    </row>
    <row r="9" customFormat="false" ht="25.5" hidden="false" customHeight="false" outlineLevel="0" collapsed="false">
      <c r="A9" s="124" t="s">
        <v>155</v>
      </c>
      <c r="B9" s="133" t="s">
        <v>156</v>
      </c>
      <c r="C9" s="133" t="s">
        <v>156</v>
      </c>
      <c r="D9" s="133" t="s">
        <v>156</v>
      </c>
      <c r="E9" s="133" t="s">
        <v>156</v>
      </c>
      <c r="F9" s="133" t="s">
        <v>156</v>
      </c>
      <c r="G9" s="133" t="s">
        <v>156</v>
      </c>
      <c r="H9" s="133" t="s">
        <v>156</v>
      </c>
      <c r="I9" s="133" t="s">
        <v>156</v>
      </c>
      <c r="J9" s="133" t="s">
        <v>156</v>
      </c>
      <c r="K9" s="133" t="s">
        <v>156</v>
      </c>
      <c r="L9" s="0"/>
    </row>
    <row r="10" customFormat="false" ht="12.75" hidden="false" customHeight="false" outlineLevel="0" collapsed="false">
      <c r="A10" s="126" t="s">
        <v>157</v>
      </c>
      <c r="B10" s="134" t="n">
        <v>90428</v>
      </c>
      <c r="C10" s="134" t="n">
        <v>479375</v>
      </c>
      <c r="D10" s="135" t="n">
        <v>121933</v>
      </c>
      <c r="E10" s="134" t="n">
        <v>28864</v>
      </c>
      <c r="F10" s="135" t="n">
        <v>180134</v>
      </c>
      <c r="G10" s="135" t="n">
        <v>75924</v>
      </c>
      <c r="H10" s="134" t="n">
        <v>67345</v>
      </c>
      <c r="I10" s="22" t="n">
        <v>110859</v>
      </c>
      <c r="J10" s="135" t="n">
        <v>105023</v>
      </c>
      <c r="K10" s="134" t="n">
        <v>109969</v>
      </c>
      <c r="L10" s="119" t="n">
        <v>100332</v>
      </c>
    </row>
    <row r="11" customFormat="false" ht="12.75" hidden="false" customHeight="false" outlineLevel="0" collapsed="false">
      <c r="A11" s="126" t="s">
        <v>158</v>
      </c>
      <c r="B11" s="136" t="s">
        <v>159</v>
      </c>
      <c r="C11" s="136" t="s">
        <v>159</v>
      </c>
      <c r="D11" s="136" t="s">
        <v>159</v>
      </c>
      <c r="E11" s="136" t="s">
        <v>159</v>
      </c>
      <c r="F11" s="136" t="s">
        <v>159</v>
      </c>
      <c r="G11" s="136" t="s">
        <v>159</v>
      </c>
      <c r="H11" s="136" t="s">
        <v>159</v>
      </c>
      <c r="I11" s="136" t="s">
        <v>160</v>
      </c>
      <c r="J11" s="136" t="s">
        <v>159</v>
      </c>
      <c r="K11" s="136" t="s">
        <v>159</v>
      </c>
    </row>
    <row r="12" customFormat="false" ht="18.75" hidden="false" customHeight="true" outlineLevel="0" collapsed="false">
      <c r="A12" s="126" t="s">
        <v>161</v>
      </c>
      <c r="B12" s="127" t="s">
        <v>162</v>
      </c>
      <c r="C12" s="127" t="s">
        <v>163</v>
      </c>
      <c r="D12" s="127" t="s">
        <v>164</v>
      </c>
      <c r="E12" s="127" t="s">
        <v>164</v>
      </c>
      <c r="F12" s="127" t="s">
        <v>162</v>
      </c>
      <c r="G12" s="127" t="s">
        <v>163</v>
      </c>
      <c r="H12" s="127" t="s">
        <v>163</v>
      </c>
      <c r="I12" s="127" t="s">
        <v>163</v>
      </c>
      <c r="J12" s="127" t="s">
        <v>163</v>
      </c>
      <c r="K12" s="127" t="s">
        <v>163</v>
      </c>
    </row>
    <row r="13" customFormat="false" ht="18.75" hidden="false" customHeight="true" outlineLevel="0" collapsed="false">
      <c r="A13" s="126" t="s">
        <v>165</v>
      </c>
      <c r="B13" s="127"/>
      <c r="C13" s="127" t="s">
        <v>166</v>
      </c>
      <c r="D13" s="127"/>
      <c r="E13" s="127"/>
      <c r="F13" s="127"/>
      <c r="G13" s="137" t="s">
        <v>167</v>
      </c>
      <c r="H13" s="137" t="s">
        <v>168</v>
      </c>
      <c r="I13" s="137" t="s">
        <v>169</v>
      </c>
      <c r="J13" s="137" t="s">
        <v>167</v>
      </c>
      <c r="K13" s="137" t="s">
        <v>170</v>
      </c>
    </row>
    <row r="14" customFormat="false" ht="12.75" hidden="false" customHeight="false" outlineLevel="0" collapsed="false">
      <c r="A14" s="138" t="n">
        <v>42262</v>
      </c>
      <c r="B14" s="30"/>
      <c r="C14" s="26"/>
      <c r="D14" s="26"/>
      <c r="E14" s="26" t="n">
        <v>7</v>
      </c>
      <c r="F14" s="26" t="s">
        <v>171</v>
      </c>
      <c r="G14" s="26" t="n">
        <v>5</v>
      </c>
      <c r="H14" s="26" t="n">
        <v>1</v>
      </c>
      <c r="I14" s="26" t="n">
        <v>7</v>
      </c>
      <c r="J14" s="26" t="n">
        <v>3</v>
      </c>
      <c r="K14" s="26" t="n">
        <v>7</v>
      </c>
    </row>
    <row r="15" customFormat="false" ht="12.75" hidden="false" customHeight="false" outlineLevel="0" collapsed="false">
      <c r="A15" s="138" t="n">
        <v>42292</v>
      </c>
      <c r="B15" s="30"/>
      <c r="C15" s="26" t="s">
        <v>172</v>
      </c>
      <c r="D15" s="26" t="n">
        <v>3</v>
      </c>
      <c r="E15" s="26" t="n">
        <v>5</v>
      </c>
      <c r="F15" s="26" t="s">
        <v>173</v>
      </c>
      <c r="G15" s="26" t="n">
        <v>5</v>
      </c>
      <c r="H15" s="26" t="n">
        <v>1</v>
      </c>
      <c r="I15" s="26" t="n">
        <v>5</v>
      </c>
      <c r="J15" s="26" t="n">
        <v>3</v>
      </c>
      <c r="K15" s="26" t="n">
        <v>5</v>
      </c>
    </row>
    <row r="16" customFormat="false" ht="12.75" hidden="false" customHeight="false" outlineLevel="0" collapsed="false">
      <c r="A16" s="139" t="n">
        <v>42323</v>
      </c>
      <c r="B16" s="140"/>
      <c r="C16" s="140" t="n">
        <v>5</v>
      </c>
      <c r="D16" s="140" t="n">
        <v>3</v>
      </c>
      <c r="E16" s="140" t="n">
        <v>5</v>
      </c>
      <c r="F16" s="140" t="s">
        <v>174</v>
      </c>
      <c r="G16" s="140" t="n">
        <v>5</v>
      </c>
      <c r="H16" s="140" t="n">
        <v>2</v>
      </c>
      <c r="I16" s="140" t="n">
        <v>5</v>
      </c>
      <c r="J16" s="140" t="n">
        <v>3</v>
      </c>
      <c r="K16" s="140" t="n">
        <v>5</v>
      </c>
    </row>
    <row r="17" customFormat="false" ht="12.75" hidden="false" customHeight="false" outlineLevel="0" collapsed="false">
      <c r="A17" s="139" t="n">
        <v>42339</v>
      </c>
      <c r="B17" s="141"/>
      <c r="C17" s="141" t="n">
        <v>5</v>
      </c>
      <c r="D17" s="141" t="n">
        <v>3</v>
      </c>
      <c r="E17" s="141" t="n">
        <v>5</v>
      </c>
      <c r="F17" s="141" t="n">
        <v>5</v>
      </c>
      <c r="G17" s="141" t="n">
        <v>5</v>
      </c>
      <c r="H17" s="141" t="n">
        <v>1</v>
      </c>
      <c r="I17" s="141" t="n">
        <v>5</v>
      </c>
      <c r="J17" s="141" t="n">
        <v>3</v>
      </c>
      <c r="K17" s="141" t="n">
        <v>5</v>
      </c>
    </row>
    <row r="18" customFormat="false" ht="12.75" hidden="false" customHeight="false" outlineLevel="0" collapsed="false">
      <c r="A18" s="139" t="n">
        <v>42370</v>
      </c>
      <c r="B18" s="141"/>
      <c r="C18" s="141" t="n">
        <v>5</v>
      </c>
      <c r="D18" s="141" t="n">
        <v>4</v>
      </c>
      <c r="E18" s="141" t="n">
        <v>5</v>
      </c>
      <c r="F18" s="141" t="n">
        <v>5</v>
      </c>
      <c r="G18" s="141" t="n">
        <v>5</v>
      </c>
      <c r="H18" s="141" t="n">
        <v>1</v>
      </c>
      <c r="I18" s="141" t="n">
        <v>5</v>
      </c>
      <c r="J18" s="141" t="n">
        <v>4</v>
      </c>
      <c r="K18" s="141" t="n">
        <v>5</v>
      </c>
    </row>
    <row r="19" customFormat="false" ht="12.75" hidden="false" customHeight="false" outlineLevel="0" collapsed="false">
      <c r="A19" s="139" t="n">
        <v>42401</v>
      </c>
      <c r="B19" s="141"/>
      <c r="C19" s="141" t="n">
        <v>5</v>
      </c>
      <c r="D19" s="141" t="n">
        <v>3</v>
      </c>
      <c r="E19" s="141" t="n">
        <v>5</v>
      </c>
      <c r="F19" s="141" t="n">
        <v>5</v>
      </c>
      <c r="G19" s="141" t="n">
        <v>5</v>
      </c>
      <c r="H19" s="141" t="n">
        <v>1</v>
      </c>
      <c r="I19" s="141" t="n">
        <v>5</v>
      </c>
      <c r="J19" s="141" t="n">
        <v>3</v>
      </c>
      <c r="K19" s="141" t="n">
        <v>5</v>
      </c>
    </row>
    <row r="20" customFormat="false" ht="12.75" hidden="false" customHeight="false" outlineLevel="0" collapsed="false">
      <c r="A20" s="139" t="n">
        <v>42430</v>
      </c>
      <c r="B20" s="141" t="s">
        <v>175</v>
      </c>
      <c r="C20" s="141" t="n">
        <v>5</v>
      </c>
      <c r="D20" s="141" t="n">
        <v>3</v>
      </c>
      <c r="E20" s="141" t="n">
        <v>5</v>
      </c>
      <c r="F20" s="141" t="n">
        <v>5</v>
      </c>
      <c r="G20" s="141" t="n">
        <v>5</v>
      </c>
      <c r="H20" s="141" t="n">
        <v>1</v>
      </c>
      <c r="I20" s="141" t="n">
        <v>5</v>
      </c>
      <c r="J20" s="141" t="n">
        <v>3</v>
      </c>
      <c r="K20" s="141" t="n">
        <v>5</v>
      </c>
    </row>
    <row r="21" customFormat="false" ht="12.75" hidden="false" customHeight="false" outlineLevel="0" collapsed="false">
      <c r="A21" s="139" t="n">
        <v>42461</v>
      </c>
      <c r="B21" s="141" t="n">
        <v>2</v>
      </c>
      <c r="C21" s="141" t="n">
        <v>5</v>
      </c>
      <c r="D21" s="141" t="n">
        <v>3</v>
      </c>
      <c r="E21" s="141" t="n">
        <v>5</v>
      </c>
      <c r="F21" s="141" t="n">
        <v>5</v>
      </c>
      <c r="G21" s="141" t="n">
        <v>5</v>
      </c>
      <c r="H21" s="141" t="n">
        <v>1</v>
      </c>
      <c r="I21" s="141" t="n">
        <v>5</v>
      </c>
      <c r="J21" s="141" t="n">
        <v>3</v>
      </c>
      <c r="K21" s="141" t="n">
        <v>5</v>
      </c>
    </row>
    <row r="22" customFormat="false" ht="12.75" hidden="false" customHeight="false" outlineLevel="0" collapsed="false">
      <c r="A22" s="139" t="n">
        <v>42491</v>
      </c>
      <c r="B22" s="142" t="n">
        <v>2</v>
      </c>
      <c r="C22" s="142" t="n">
        <v>5</v>
      </c>
      <c r="D22" s="142" t="n">
        <v>3</v>
      </c>
      <c r="E22" s="142" t="n">
        <v>5</v>
      </c>
      <c r="F22" s="142" t="n">
        <v>5</v>
      </c>
      <c r="G22" s="142" t="n">
        <v>5</v>
      </c>
      <c r="H22" s="142" t="n">
        <v>2</v>
      </c>
      <c r="I22" s="142" t="s">
        <v>169</v>
      </c>
      <c r="J22" s="142" t="n">
        <v>3</v>
      </c>
      <c r="K22" s="142" t="n">
        <v>5</v>
      </c>
    </row>
    <row r="23" customFormat="false" ht="12.75" hidden="false" customHeight="false" outlineLevel="0" collapsed="false">
      <c r="A23" s="138" t="n">
        <v>42522</v>
      </c>
      <c r="B23" s="141" t="n">
        <v>2</v>
      </c>
      <c r="C23" s="141" t="n">
        <v>6</v>
      </c>
      <c r="D23" s="141" t="n">
        <v>3</v>
      </c>
      <c r="E23" s="141" t="n">
        <v>6</v>
      </c>
      <c r="F23" s="141" t="n">
        <v>6</v>
      </c>
      <c r="G23" s="141" t="n">
        <v>6</v>
      </c>
      <c r="H23" s="141" t="n">
        <v>1</v>
      </c>
      <c r="I23" s="141"/>
      <c r="J23" s="141" t="n">
        <v>3</v>
      </c>
      <c r="K23" s="141" t="n">
        <v>6</v>
      </c>
    </row>
    <row r="24" customFormat="false" ht="12.75" hidden="false" customHeight="false" outlineLevel="0" collapsed="false">
      <c r="A24" s="138" t="n">
        <v>42552</v>
      </c>
      <c r="B24" s="141" t="n">
        <v>2</v>
      </c>
      <c r="C24" s="141" t="n">
        <v>5</v>
      </c>
      <c r="D24" s="141" t="n">
        <v>4</v>
      </c>
      <c r="E24" s="141" t="n">
        <v>5</v>
      </c>
      <c r="F24" s="141" t="n">
        <v>5</v>
      </c>
      <c r="G24" s="141" t="n">
        <v>5</v>
      </c>
      <c r="H24" s="141" t="n">
        <v>1</v>
      </c>
      <c r="I24" s="141"/>
      <c r="J24" s="141" t="n">
        <v>4</v>
      </c>
      <c r="K24" s="141" t="n">
        <v>5</v>
      </c>
    </row>
    <row r="25" customFormat="false" ht="12.75" hidden="false" customHeight="false" outlineLevel="0" collapsed="false">
      <c r="A25" s="138" t="n">
        <v>42598</v>
      </c>
      <c r="B25" s="141"/>
      <c r="C25" s="141"/>
      <c r="D25" s="141"/>
      <c r="E25" s="141"/>
      <c r="F25" s="141"/>
      <c r="G25" s="141"/>
      <c r="H25" s="141"/>
      <c r="I25" s="141"/>
      <c r="J25" s="141"/>
      <c r="K25" s="141"/>
    </row>
    <row r="26" customFormat="false" ht="12.75" hidden="false" customHeight="false" outlineLevel="0" collapsed="false">
      <c r="A26" s="138"/>
      <c r="B26" s="30"/>
      <c r="C26" s="26"/>
      <c r="D26" s="26"/>
      <c r="E26" s="26"/>
      <c r="F26" s="26"/>
      <c r="G26" s="26"/>
      <c r="H26" s="26"/>
      <c r="I26" s="26"/>
      <c r="J26" s="26"/>
      <c r="K26" s="26"/>
    </row>
    <row r="27" customFormat="false" ht="34.5" hidden="false" customHeight="true" outlineLevel="0" collapsed="false">
      <c r="A27" s="143" t="s">
        <v>176</v>
      </c>
      <c r="B27" s="144" t="n">
        <f aca="false">+B10+D10+E10+F10</f>
        <v>421359</v>
      </c>
      <c r="C27" s="145"/>
      <c r="D27" s="145"/>
      <c r="E27" s="145"/>
      <c r="F27" s="145"/>
      <c r="G27" s="145"/>
      <c r="H27" s="145"/>
      <c r="I27" s="145"/>
      <c r="J27" s="145"/>
      <c r="K27" s="145"/>
    </row>
    <row r="28" customFormat="false" ht="12.75" hidden="false" customHeight="false" outlineLevel="0" collapsed="false">
      <c r="H28" s="0"/>
    </row>
    <row r="29" customFormat="false" ht="12.75" hidden="false" customHeight="false" outlineLevel="0" collapsed="false">
      <c r="H29" s="0"/>
    </row>
    <row r="30" customFormat="false" ht="12.75" hidden="false" customHeight="false" outlineLevel="0" collapsed="false">
      <c r="H30" s="0"/>
    </row>
    <row r="31" customFormat="false" ht="12.75" hidden="false" customHeight="false" outlineLevel="0" collapsed="false">
      <c r="H31" s="0"/>
    </row>
    <row r="32" customFormat="false" ht="12.75" hidden="false" customHeight="false" outlineLevel="0" collapsed="false">
      <c r="H32" s="0"/>
    </row>
    <row r="33" customFormat="false" ht="12.75" hidden="false" customHeight="false" outlineLevel="0" collapsed="false">
      <c r="H33" s="0"/>
    </row>
    <row r="34" customFormat="false" ht="12.75" hidden="false" customHeight="false" outlineLevel="0" collapsed="false">
      <c r="H34" s="0"/>
    </row>
    <row r="35" customFormat="false" ht="12.75" hidden="false" customHeight="false" outlineLevel="0" collapsed="false">
      <c r="H35" s="0"/>
    </row>
    <row r="36" customFormat="false" ht="12.75" hidden="false" customHeight="false" outlineLevel="0" collapsed="false">
      <c r="H36" s="0"/>
    </row>
    <row r="37" customFormat="false" ht="12.75" hidden="false" customHeight="false" outlineLevel="0" collapsed="false">
      <c r="H37" s="0"/>
    </row>
    <row r="38" customFormat="false" ht="12.75" hidden="false" customHeight="false" outlineLevel="0" collapsed="false">
      <c r="H38" s="120" t="n">
        <f aca="false">2877350-10350-1372524</f>
        <v>1494476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71"/>
  <sheetViews>
    <sheetView windowProtection="false" showFormulas="false" showGridLines="true" showRowColHeaders="true" showZeros="true" rightToLeft="false" tabSelected="false" showOutlineSymbols="true" defaultGridColor="true" view="normal" topLeftCell="A5" colorId="64" zoomScale="120" zoomScaleNormal="120" zoomScalePageLayoutView="100" workbookViewId="0">
      <selection pane="topLeft" activeCell="L53" activeCellId="0" sqref="L53"/>
    </sheetView>
  </sheetViews>
  <sheetFormatPr defaultRowHeight="10.5"/>
  <cols>
    <col collapsed="false" hidden="false" max="1" min="1" style="146" width="16.2834008097166"/>
    <col collapsed="false" hidden="false" max="3" min="2" style="146" width="12.5344129554656"/>
    <col collapsed="false" hidden="false" max="4" min="4" style="146" width="11.3562753036437"/>
    <col collapsed="false" hidden="false" max="6" min="5" style="146" width="10.0688259109312"/>
    <col collapsed="false" hidden="false" max="7" min="7" style="146" width="10.2834008097166"/>
    <col collapsed="false" hidden="false" max="8" min="8" style="146" width="7.49797570850202"/>
    <col collapsed="false" hidden="false" max="9" min="9" style="146" width="8.89068825910931"/>
    <col collapsed="false" hidden="false" max="10" min="10" style="146" width="9"/>
    <col collapsed="false" hidden="false" max="11" min="11" style="146" width="8.89068825910931"/>
    <col collapsed="false" hidden="false" max="12" min="12" style="146" width="10.7125506072875"/>
    <col collapsed="false" hidden="false" max="1025" min="13" style="146" width="8.89068825910931"/>
  </cols>
  <sheetData>
    <row r="1" customFormat="false" ht="10.5" hidden="false" customHeight="false" outlineLevel="0" collapsed="false">
      <c r="A1" s="0"/>
      <c r="B1" s="0"/>
      <c r="C1" s="0"/>
      <c r="D1" s="0"/>
      <c r="E1" s="0"/>
      <c r="F1" s="0"/>
      <c r="G1" s="0"/>
      <c r="H1" s="0"/>
      <c r="I1" s="0"/>
      <c r="J1" s="0"/>
      <c r="L1" s="0"/>
      <c r="N1" s="0"/>
    </row>
    <row r="2" customFormat="false" ht="15" hidden="false" customHeight="true" outlineLevel="0" collapsed="false">
      <c r="A2" s="0"/>
      <c r="B2" s="0"/>
      <c r="C2" s="0"/>
      <c r="D2" s="0"/>
      <c r="E2" s="0"/>
      <c r="F2" s="0"/>
      <c r="G2" s="0"/>
      <c r="H2" s="0"/>
      <c r="I2" s="0"/>
      <c r="J2" s="0"/>
      <c r="L2" s="0"/>
      <c r="N2" s="0"/>
    </row>
    <row r="3" customFormat="false" ht="16.5" hidden="false" customHeight="true" outlineLevel="0" collapsed="false">
      <c r="A3" s="0"/>
      <c r="B3" s="0"/>
      <c r="C3" s="0"/>
      <c r="D3" s="0"/>
      <c r="E3" s="0"/>
      <c r="F3" s="0"/>
      <c r="G3" s="0"/>
      <c r="H3" s="0"/>
      <c r="I3" s="0"/>
      <c r="J3" s="0"/>
      <c r="L3" s="0"/>
      <c r="N3" s="0"/>
    </row>
    <row r="4" customFormat="false" ht="12.75" hidden="false" customHeight="true" outlineLevel="0" collapsed="false">
      <c r="A4" s="0"/>
      <c r="B4" s="0"/>
      <c r="C4" s="0"/>
      <c r="D4" s="0"/>
      <c r="E4" s="0"/>
      <c r="F4" s="0"/>
      <c r="G4" s="0"/>
      <c r="H4" s="0"/>
      <c r="I4" s="0"/>
      <c r="J4" s="0"/>
      <c r="L4" s="0"/>
      <c r="N4" s="0"/>
    </row>
    <row r="5" customFormat="false" ht="10.5" hidden="false" customHeight="true" outlineLevel="0" collapsed="false">
      <c r="A5" s="0"/>
      <c r="B5" s="0"/>
      <c r="C5" s="0"/>
      <c r="D5" s="0"/>
      <c r="E5" s="0"/>
      <c r="F5" s="0"/>
      <c r="G5" s="0"/>
      <c r="H5" s="0"/>
      <c r="I5" s="0"/>
      <c r="J5" s="0"/>
      <c r="L5" s="0"/>
      <c r="N5" s="0"/>
    </row>
    <row r="6" customFormat="false" ht="10.5" hidden="false" customHeight="false" outlineLevel="0" collapsed="false">
      <c r="A6" s="0"/>
      <c r="B6" s="0"/>
      <c r="C6" s="0"/>
      <c r="D6" s="0"/>
      <c r="E6" s="0"/>
      <c r="F6" s="0"/>
      <c r="G6" s="0"/>
      <c r="H6" s="0"/>
      <c r="I6" s="0"/>
      <c r="J6" s="0"/>
      <c r="L6" s="0"/>
      <c r="N6" s="0"/>
    </row>
    <row r="7" customFormat="false" ht="10.5" hidden="false" customHeight="false" outlineLevel="0" collapsed="false">
      <c r="A7" s="0"/>
      <c r="B7" s="0"/>
      <c r="C7" s="0"/>
      <c r="D7" s="0"/>
      <c r="E7" s="0"/>
      <c r="F7" s="0"/>
      <c r="G7" s="0"/>
      <c r="H7" s="0"/>
      <c r="I7" s="0"/>
      <c r="J7" s="0"/>
      <c r="L7" s="0"/>
      <c r="N7" s="0"/>
    </row>
    <row r="8" customFormat="false" ht="10.5" hidden="false" customHeight="false" outlineLevel="0" collapsed="false">
      <c r="A8" s="0"/>
      <c r="B8" s="0"/>
      <c r="C8" s="0"/>
      <c r="D8" s="0"/>
      <c r="E8" s="0"/>
      <c r="F8" s="0"/>
      <c r="G8" s="0"/>
      <c r="H8" s="0"/>
      <c r="I8" s="0"/>
      <c r="J8" s="0"/>
      <c r="L8" s="0"/>
      <c r="N8" s="0"/>
    </row>
    <row r="9" customFormat="false" ht="10.5" hidden="false" customHeight="false" outlineLevel="0" collapsed="false">
      <c r="A9" s="0"/>
      <c r="B9" s="0"/>
      <c r="C9" s="0"/>
      <c r="D9" s="0"/>
      <c r="E9" s="0"/>
      <c r="F9" s="0"/>
      <c r="G9" s="0"/>
      <c r="H9" s="0"/>
      <c r="I9" s="0"/>
      <c r="J9" s="0"/>
      <c r="L9" s="0"/>
      <c r="N9" s="0"/>
    </row>
    <row r="10" customFormat="false" ht="13.5" hidden="false" customHeight="false" outlineLevel="0" collapsed="false">
      <c r="A10" s="147" t="s">
        <v>177</v>
      </c>
      <c r="B10" s="148" t="s">
        <v>154</v>
      </c>
      <c r="C10" s="148"/>
      <c r="D10" s="148"/>
      <c r="E10" s="148"/>
      <c r="F10" s="148"/>
      <c r="G10" s="148"/>
      <c r="H10" s="149" t="s">
        <v>178</v>
      </c>
      <c r="I10" s="150" t="s">
        <v>179</v>
      </c>
      <c r="J10" s="151"/>
      <c r="L10" s="0"/>
      <c r="N10" s="0"/>
    </row>
    <row r="11" customFormat="false" ht="13.5" hidden="false" customHeight="false" outlineLevel="0" collapsed="false">
      <c r="A11" s="147" t="s">
        <v>180</v>
      </c>
      <c r="B11" s="148" t="s">
        <v>181</v>
      </c>
      <c r="C11" s="148"/>
      <c r="D11" s="148"/>
      <c r="E11" s="148"/>
      <c r="F11" s="148"/>
      <c r="G11" s="148"/>
      <c r="H11" s="149"/>
      <c r="I11" s="150"/>
      <c r="J11" s="151"/>
      <c r="L11" s="0"/>
      <c r="N11" s="0"/>
    </row>
    <row r="12" customFormat="false" ht="13.5" hidden="false" customHeight="false" outlineLevel="0" collapsed="false">
      <c r="A12" s="147" t="s">
        <v>182</v>
      </c>
      <c r="B12" s="148" t="s">
        <v>183</v>
      </c>
      <c r="C12" s="148"/>
      <c r="D12" s="148"/>
      <c r="E12" s="148"/>
      <c r="F12" s="148"/>
      <c r="G12" s="148"/>
      <c r="H12" s="149"/>
      <c r="I12" s="150"/>
      <c r="J12" s="151"/>
      <c r="L12" s="0"/>
      <c r="N12" s="0"/>
    </row>
    <row r="13" customFormat="false" ht="10.5" hidden="false" customHeight="true" outlineLevel="0" collapsed="false">
      <c r="A13" s="152" t="s">
        <v>184</v>
      </c>
      <c r="B13" s="152" t="s">
        <v>185</v>
      </c>
      <c r="C13" s="152" t="s">
        <v>186</v>
      </c>
      <c r="D13" s="152" t="s">
        <v>187</v>
      </c>
      <c r="E13" s="152"/>
      <c r="F13" s="152"/>
      <c r="G13" s="152" t="s">
        <v>188</v>
      </c>
      <c r="H13" s="153" t="s">
        <v>189</v>
      </c>
      <c r="I13" s="153"/>
      <c r="J13" s="154" t="s">
        <v>190</v>
      </c>
      <c r="L13" s="0"/>
      <c r="N13" s="0"/>
    </row>
    <row r="14" customFormat="false" ht="10.5" hidden="false" customHeight="false" outlineLevel="0" collapsed="false">
      <c r="A14" s="152"/>
      <c r="B14" s="152"/>
      <c r="C14" s="152"/>
      <c r="D14" s="152" t="n">
        <v>10</v>
      </c>
      <c r="E14" s="152" t="n">
        <v>20</v>
      </c>
      <c r="F14" s="152" t="n">
        <v>30</v>
      </c>
      <c r="G14" s="152" t="s">
        <v>191</v>
      </c>
      <c r="H14" s="152" t="s">
        <v>192</v>
      </c>
      <c r="I14" s="152" t="s">
        <v>193</v>
      </c>
      <c r="J14" s="154"/>
      <c r="L14" s="0"/>
      <c r="N14" s="0"/>
    </row>
    <row r="15" customFormat="false" ht="12.75" hidden="false" customHeight="false" outlineLevel="0" collapsed="false">
      <c r="A15" s="155" t="n">
        <v>42339</v>
      </c>
      <c r="B15" s="32" t="n">
        <f aca="false">100000+50000+50000+100000</f>
        <v>300000</v>
      </c>
      <c r="C15" s="32" t="n">
        <v>4</v>
      </c>
      <c r="D15" s="32" t="n">
        <v>56632</v>
      </c>
      <c r="E15" s="32" t="n">
        <v>56822</v>
      </c>
      <c r="F15" s="32" t="n">
        <v>156822</v>
      </c>
      <c r="G15" s="156" t="n">
        <f aca="false">SUM(D15:F15)/3</f>
        <v>90092</v>
      </c>
      <c r="H15" s="157" t="n">
        <v>0</v>
      </c>
      <c r="I15" s="157" t="n">
        <v>0</v>
      </c>
      <c r="J15" s="158" t="n">
        <v>0</v>
      </c>
      <c r="L15" s="0"/>
      <c r="N15" s="0"/>
    </row>
    <row r="16" customFormat="false" ht="12.75" hidden="false" customHeight="false" outlineLevel="0" collapsed="false">
      <c r="A16" s="155" t="n">
        <v>42370</v>
      </c>
      <c r="B16" s="32" t="n">
        <f aca="false">100000+100000+250000</f>
        <v>450000</v>
      </c>
      <c r="C16" s="32" t="n">
        <v>3</v>
      </c>
      <c r="D16" s="32" t="n">
        <v>91803</v>
      </c>
      <c r="E16" s="32" t="n">
        <v>49646</v>
      </c>
      <c r="F16" s="32" t="n">
        <v>69885</v>
      </c>
      <c r="G16" s="156" t="n">
        <f aca="false">SUM(D16:F16)/3</f>
        <v>70444.6666666667</v>
      </c>
      <c r="H16" s="157" t="n">
        <v>0</v>
      </c>
      <c r="I16" s="157" t="n">
        <v>0</v>
      </c>
      <c r="J16" s="158" t="n">
        <v>0</v>
      </c>
      <c r="L16" s="0"/>
      <c r="N16" s="0"/>
    </row>
    <row r="17" customFormat="false" ht="21" hidden="false" customHeight="true" outlineLevel="0" collapsed="false">
      <c r="A17" s="155" t="n">
        <v>42401</v>
      </c>
      <c r="B17" s="32" t="n">
        <f aca="false">100000+1645+201851+50000+5000+150000</f>
        <v>508496</v>
      </c>
      <c r="C17" s="32" t="n">
        <v>6</v>
      </c>
      <c r="D17" s="32" t="n">
        <v>155193</v>
      </c>
      <c r="E17" s="32" t="n">
        <v>54743</v>
      </c>
      <c r="F17" s="32" t="n">
        <v>54743</v>
      </c>
      <c r="G17" s="156" t="n">
        <f aca="false">SUM(D17:F17)/3</f>
        <v>88226.3333333333</v>
      </c>
      <c r="H17" s="157" t="n">
        <v>0</v>
      </c>
      <c r="I17" s="157" t="n">
        <v>0</v>
      </c>
      <c r="J17" s="158" t="n">
        <v>0</v>
      </c>
      <c r="L17" s="0"/>
      <c r="N17" s="0"/>
    </row>
    <row r="18" customFormat="false" ht="12.75" hidden="false" customHeight="false" outlineLevel="0" collapsed="false">
      <c r="A18" s="155" t="n">
        <v>42430</v>
      </c>
      <c r="B18" s="32" t="n">
        <f aca="false">250000+100000+100000+443947+408214+30000</f>
        <v>1332161</v>
      </c>
      <c r="C18" s="32" t="n">
        <v>6</v>
      </c>
      <c r="D18" s="32" t="n">
        <v>11415</v>
      </c>
      <c r="E18" s="32" t="n">
        <v>31415</v>
      </c>
      <c r="F18" s="32" t="n">
        <v>143753</v>
      </c>
      <c r="G18" s="156" t="n">
        <f aca="false">SUM(D18:F18)/3</f>
        <v>62194.3333333333</v>
      </c>
      <c r="H18" s="157" t="n">
        <v>0</v>
      </c>
      <c r="I18" s="157" t="n">
        <v>0</v>
      </c>
      <c r="J18" s="158" t="n">
        <v>0</v>
      </c>
      <c r="L18" s="0"/>
      <c r="N18" s="0"/>
    </row>
    <row r="19" customFormat="false" ht="12.75" hidden="false" customHeight="false" outlineLevel="0" collapsed="false">
      <c r="A19" s="155" t="n">
        <v>42461</v>
      </c>
      <c r="B19" s="32" t="n">
        <f aca="false">2558+50000+100000+200000+50000+100000+100000</f>
        <v>602558</v>
      </c>
      <c r="C19" s="32" t="n">
        <v>7</v>
      </c>
      <c r="D19" s="32" t="n">
        <v>13973</v>
      </c>
      <c r="E19" s="32" t="n">
        <v>9014</v>
      </c>
      <c r="F19" s="32" t="n">
        <v>159014</v>
      </c>
      <c r="G19" s="156" t="n">
        <f aca="false">SUM(D19:F19)/3</f>
        <v>60667</v>
      </c>
      <c r="H19" s="157" t="n">
        <v>0</v>
      </c>
      <c r="I19" s="157" t="n">
        <v>0</v>
      </c>
      <c r="J19" s="158" t="n">
        <v>0</v>
      </c>
      <c r="L19" s="0"/>
      <c r="N19" s="0"/>
    </row>
    <row r="20" customFormat="false" ht="12.75" hidden="false" customHeight="false" outlineLevel="0" collapsed="false">
      <c r="A20" s="155" t="n">
        <v>42491</v>
      </c>
      <c r="B20" s="32" t="n">
        <f aca="false">100000+500000+100000</f>
        <v>700000</v>
      </c>
      <c r="C20" s="32" t="n">
        <v>3</v>
      </c>
      <c r="D20" s="32" t="n">
        <v>159014</v>
      </c>
      <c r="E20" s="32" t="n">
        <v>109124</v>
      </c>
      <c r="F20" s="32" t="n">
        <v>159235</v>
      </c>
      <c r="G20" s="156" t="n">
        <f aca="false">SUM(D20:F20)/3</f>
        <v>142457.666666667</v>
      </c>
      <c r="H20" s="157" t="n">
        <v>0</v>
      </c>
      <c r="I20" s="157" t="n">
        <v>0</v>
      </c>
      <c r="J20" s="158" t="n">
        <v>0</v>
      </c>
      <c r="L20" s="0"/>
      <c r="N20" s="0"/>
    </row>
    <row r="21" customFormat="false" ht="12.75" hidden="false" customHeight="true" outlineLevel="0" collapsed="false">
      <c r="A21" s="155" t="n">
        <v>42537</v>
      </c>
      <c r="B21" s="32" t="n">
        <v>100000</v>
      </c>
      <c r="C21" s="32" t="n">
        <v>1</v>
      </c>
      <c r="D21" s="32" t="n">
        <v>159235</v>
      </c>
      <c r="E21" s="32" t="n">
        <v>19366</v>
      </c>
      <c r="F21" s="32" t="n">
        <v>20394</v>
      </c>
      <c r="G21" s="156" t="n">
        <f aca="false">SUM(D21:F21)/3</f>
        <v>66331.6666666667</v>
      </c>
      <c r="H21" s="157" t="n">
        <v>0</v>
      </c>
      <c r="I21" s="157" t="n">
        <v>0</v>
      </c>
      <c r="J21" s="158" t="n">
        <v>0</v>
      </c>
      <c r="L21" s="0"/>
      <c r="N21" s="0"/>
    </row>
    <row r="22" customFormat="false" ht="12.75" hidden="false" customHeight="false" outlineLevel="0" collapsed="false">
      <c r="A22" s="155" t="n">
        <v>42567</v>
      </c>
      <c r="B22" s="32" t="n">
        <f aca="false">131+120</f>
        <v>251</v>
      </c>
      <c r="C22" s="32" t="n">
        <v>2</v>
      </c>
      <c r="D22" s="32" t="n">
        <v>20525</v>
      </c>
      <c r="E22" s="32" t="n">
        <v>20646</v>
      </c>
      <c r="F22" s="32" t="n">
        <v>20646</v>
      </c>
      <c r="G22" s="156" t="n">
        <f aca="false">SUM(D22:F22)/3</f>
        <v>20605.6666666667</v>
      </c>
      <c r="H22" s="157" t="n">
        <v>0</v>
      </c>
      <c r="I22" s="157" t="n">
        <v>0</v>
      </c>
      <c r="J22" s="158" t="n">
        <v>0</v>
      </c>
      <c r="L22" s="0"/>
      <c r="N22" s="0"/>
    </row>
    <row r="23" customFormat="false" ht="12.75" hidden="false" customHeight="false" outlineLevel="0" collapsed="false">
      <c r="A23" s="155" t="n">
        <v>42598</v>
      </c>
      <c r="B23" s="32" t="n">
        <v>50000</v>
      </c>
      <c r="C23" s="32" t="n">
        <v>1</v>
      </c>
      <c r="D23" s="32" t="n">
        <v>70714</v>
      </c>
      <c r="E23" s="32" t="n">
        <v>20783</v>
      </c>
      <c r="F23" s="32" t="n">
        <v>20783</v>
      </c>
      <c r="G23" s="156" t="n">
        <f aca="false">SUM(D23:F23)/3</f>
        <v>37426.6666666667</v>
      </c>
      <c r="H23" s="157" t="n">
        <v>0</v>
      </c>
      <c r="I23" s="157" t="n">
        <v>0</v>
      </c>
      <c r="J23" s="158" t="n">
        <v>0</v>
      </c>
      <c r="L23" s="0"/>
      <c r="N23" s="0"/>
    </row>
    <row r="24" customFormat="false" ht="10.5" hidden="false" customHeight="false" outlineLevel="0" collapsed="false">
      <c r="A24" s="159" t="s">
        <v>194</v>
      </c>
      <c r="B24" s="160" t="n">
        <f aca="false">SUM(B15:B23)</f>
        <v>4043466</v>
      </c>
      <c r="C24" s="160" t="n">
        <f aca="false">SUM(C15:C23)</f>
        <v>33</v>
      </c>
      <c r="D24" s="161"/>
      <c r="E24" s="162"/>
      <c r="F24" s="162"/>
      <c r="G24" s="160" t="n">
        <f aca="false">SUM(G15:G23)</f>
        <v>638446</v>
      </c>
      <c r="H24" s="163" t="n">
        <f aca="false">SUM(H15:H23)</f>
        <v>0</v>
      </c>
      <c r="I24" s="163" t="n">
        <f aca="false">SUM(I15:I23)</f>
        <v>0</v>
      </c>
      <c r="J24" s="164" t="n">
        <f aca="false">SUM(J15:J23)</f>
        <v>0</v>
      </c>
      <c r="L24" s="0"/>
      <c r="N24" s="0"/>
    </row>
    <row r="25" customFormat="false" ht="10.5" hidden="false" customHeight="false" outlineLevel="0" collapsed="false">
      <c r="A25" s="165" t="s">
        <v>195</v>
      </c>
      <c r="B25" s="166" t="n">
        <f aca="false">(B24/6)*12</f>
        <v>8086932</v>
      </c>
      <c r="C25" s="167"/>
      <c r="D25" s="168"/>
      <c r="E25" s="169"/>
      <c r="F25" s="169"/>
      <c r="G25" s="170" t="n">
        <f aca="false">(G24/6)</f>
        <v>106407.666666667</v>
      </c>
      <c r="H25" s="169"/>
      <c r="I25" s="169"/>
      <c r="J25" s="171" t="n">
        <f aca="false">J24/6</f>
        <v>0</v>
      </c>
      <c r="L25" s="0"/>
      <c r="N25" s="0"/>
    </row>
    <row r="26" customFormat="false" ht="10.5" hidden="false" customHeight="false" outlineLevel="0" collapsed="false">
      <c r="A26" s="0"/>
      <c r="B26" s="0"/>
      <c r="C26" s="0"/>
      <c r="D26" s="0"/>
      <c r="E26" s="0"/>
      <c r="F26" s="0"/>
      <c r="G26" s="0"/>
      <c r="H26" s="0"/>
      <c r="I26" s="0"/>
      <c r="J26" s="0"/>
      <c r="L26" s="0"/>
      <c r="N26" s="0"/>
    </row>
    <row r="27" customFormat="false" ht="10.5" hidden="false" customHeight="false" outlineLevel="0" collapsed="false">
      <c r="A27" s="0"/>
      <c r="B27" s="0"/>
      <c r="C27" s="0"/>
      <c r="D27" s="0"/>
      <c r="E27" s="0"/>
      <c r="F27" s="0"/>
      <c r="G27" s="0"/>
      <c r="H27" s="0"/>
      <c r="I27" s="0"/>
      <c r="J27" s="0"/>
      <c r="L27" s="0"/>
      <c r="N27" s="0"/>
    </row>
    <row r="28" customFormat="false" ht="10.5" hidden="false" customHeight="false" outlineLevel="0" collapsed="false">
      <c r="A28" s="0"/>
      <c r="B28" s="0"/>
      <c r="C28" s="0"/>
      <c r="D28" s="0"/>
      <c r="E28" s="0"/>
      <c r="F28" s="0"/>
      <c r="G28" s="0"/>
      <c r="H28" s="0"/>
      <c r="I28" s="0"/>
      <c r="J28" s="0"/>
      <c r="L28" s="0"/>
      <c r="N28" s="0"/>
    </row>
    <row r="29" customFormat="false" ht="10.5" hidden="false" customHeight="false" outlineLevel="0" collapsed="false">
      <c r="A29" s="0"/>
      <c r="B29" s="0"/>
      <c r="C29" s="0"/>
      <c r="D29" s="0"/>
      <c r="E29" s="0"/>
      <c r="F29" s="0"/>
      <c r="G29" s="0"/>
      <c r="H29" s="0"/>
      <c r="I29" s="0"/>
      <c r="J29" s="0"/>
      <c r="L29" s="0"/>
      <c r="N29" s="0"/>
    </row>
    <row r="30" customFormat="false" ht="13.5" hidden="false" customHeight="false" outlineLevel="0" collapsed="false">
      <c r="A30" s="147" t="s">
        <v>177</v>
      </c>
      <c r="B30" s="148" t="s">
        <v>31</v>
      </c>
      <c r="C30" s="148"/>
      <c r="D30" s="148"/>
      <c r="E30" s="148"/>
      <c r="F30" s="148"/>
      <c r="G30" s="148"/>
      <c r="H30" s="149" t="s">
        <v>178</v>
      </c>
      <c r="I30" s="150" t="s">
        <v>196</v>
      </c>
      <c r="J30" s="151"/>
      <c r="L30" s="0"/>
      <c r="N30" s="0"/>
    </row>
    <row r="31" customFormat="false" ht="13.5" hidden="false" customHeight="true" outlineLevel="0" collapsed="false">
      <c r="A31" s="147" t="s">
        <v>180</v>
      </c>
      <c r="B31" s="148" t="s">
        <v>181</v>
      </c>
      <c r="C31" s="148"/>
      <c r="D31" s="148"/>
      <c r="E31" s="148"/>
      <c r="F31" s="148"/>
      <c r="G31" s="148"/>
      <c r="H31" s="149"/>
      <c r="I31" s="150"/>
      <c r="J31" s="151"/>
      <c r="L31" s="0"/>
      <c r="N31" s="172"/>
    </row>
    <row r="32" customFormat="false" ht="13.5" hidden="false" customHeight="true" outlineLevel="0" collapsed="false">
      <c r="A32" s="147" t="s">
        <v>182</v>
      </c>
      <c r="B32" s="148" t="s">
        <v>197</v>
      </c>
      <c r="C32" s="148"/>
      <c r="D32" s="148"/>
      <c r="E32" s="148"/>
      <c r="F32" s="148"/>
      <c r="G32" s="148"/>
      <c r="H32" s="149"/>
      <c r="I32" s="150"/>
      <c r="J32" s="151"/>
      <c r="L32" s="0"/>
      <c r="N32" s="172"/>
    </row>
    <row r="33" customFormat="false" ht="13.5" hidden="false" customHeight="true" outlineLevel="0" collapsed="false">
      <c r="A33" s="152" t="s">
        <v>184</v>
      </c>
      <c r="B33" s="152" t="s">
        <v>185</v>
      </c>
      <c r="C33" s="152" t="s">
        <v>186</v>
      </c>
      <c r="D33" s="152" t="s">
        <v>187</v>
      </c>
      <c r="E33" s="152"/>
      <c r="F33" s="152"/>
      <c r="G33" s="152" t="s">
        <v>188</v>
      </c>
      <c r="H33" s="153" t="s">
        <v>189</v>
      </c>
      <c r="I33" s="153"/>
      <c r="J33" s="154" t="s">
        <v>190</v>
      </c>
      <c r="L33" s="0"/>
      <c r="N33" s="172"/>
    </row>
    <row r="34" customFormat="false" ht="13.5" hidden="false" customHeight="true" outlineLevel="0" collapsed="false">
      <c r="A34" s="152"/>
      <c r="B34" s="152"/>
      <c r="C34" s="152"/>
      <c r="D34" s="152" t="n">
        <v>10</v>
      </c>
      <c r="E34" s="152" t="n">
        <v>20</v>
      </c>
      <c r="F34" s="152" t="n">
        <v>30</v>
      </c>
      <c r="G34" s="152" t="s">
        <v>191</v>
      </c>
      <c r="H34" s="152" t="s">
        <v>192</v>
      </c>
      <c r="I34" s="152" t="s">
        <v>193</v>
      </c>
      <c r="J34" s="154"/>
      <c r="L34" s="0"/>
      <c r="N34" s="172"/>
    </row>
    <row r="35" customFormat="false" ht="12.75" hidden="false" customHeight="false" outlineLevel="0" collapsed="false">
      <c r="A35" s="155" t="n">
        <v>42262</v>
      </c>
      <c r="B35" s="32" t="n">
        <f aca="false">147+1800+633+3664+2490+9510+809+985+9574+8369+9520+8347+22448+7525+3027+6517+100000+135261+4455+1339039+52182+169+52309+16758+10798+926600+165467+9807+18986+1136+637768+6127+105201+100000+342332+9391+1870696+2013+5800379+4373+9802+4455+1996+14831+9807+2193+162704+150+802+64030+759+21035+823+928+1747+9807+1061+26698+278524+4780+7794+14676+7369+9807+2629</f>
        <v>12465819</v>
      </c>
      <c r="C35" s="32" t="n">
        <v>64</v>
      </c>
      <c r="D35" s="32" t="n">
        <v>294254</v>
      </c>
      <c r="E35" s="32" t="n">
        <v>290598</v>
      </c>
      <c r="F35" s="32" t="n">
        <v>5186453</v>
      </c>
      <c r="G35" s="156" t="n">
        <f aca="false">SUM(D35:F35)/3</f>
        <v>1923768.33333333</v>
      </c>
      <c r="H35" s="157" t="n">
        <v>0</v>
      </c>
      <c r="I35" s="157" t="n">
        <v>0</v>
      </c>
      <c r="J35" s="158" t="n">
        <v>0</v>
      </c>
      <c r="L35" s="0"/>
    </row>
    <row r="36" customFormat="false" ht="12.75" hidden="false" customHeight="false" outlineLevel="0" collapsed="false">
      <c r="A36" s="155" t="n">
        <v>42292</v>
      </c>
      <c r="B36" s="32" t="n">
        <f aca="false">6971+106965+6520258+53722+8044+9670+982+8230+588532+150807+299+990+19615+9562+7104250+45337+2635+200+1348+292+172219+168+657+9807+2134+9540+289937+13189+3388+734803+73646+12724+76782+282+2336+810983+1757+1233+76557+5015+1135+13875+18369</f>
        <v>16969245</v>
      </c>
      <c r="C36" s="32" t="n">
        <v>45</v>
      </c>
      <c r="D36" s="32" t="n">
        <v>1352602</v>
      </c>
      <c r="E36" s="32" t="n">
        <v>153379</v>
      </c>
      <c r="F36" s="32" t="n">
        <v>1019751</v>
      </c>
      <c r="G36" s="156" t="n">
        <f aca="false">SUM(D36:F36)/3</f>
        <v>841910.666666667</v>
      </c>
      <c r="H36" s="157" t="n">
        <v>0</v>
      </c>
      <c r="I36" s="157" t="n">
        <v>0</v>
      </c>
      <c r="J36" s="158" t="n">
        <v>0</v>
      </c>
      <c r="L36" s="0"/>
    </row>
    <row r="37" customFormat="false" ht="12.75" hidden="false" customHeight="false" outlineLevel="0" collapsed="false">
      <c r="A37" s="155" t="n">
        <v>42323</v>
      </c>
      <c r="B37" s="32" t="n">
        <f aca="false">1078763+1477208+5557+790188+4803+8910+100000+150000+4720468+21726+5062+4803+13466+939+2060+318+100000+1098525+1991+9900+22014+749+833+1905+749+46291+4944+1642+420+200+3500+3025+412+9840+51628+9984+661+132080+556+9468+4748+43293+11934+2674</f>
        <v>9958237</v>
      </c>
      <c r="C37" s="32" t="n">
        <v>45</v>
      </c>
      <c r="D37" s="32" t="n">
        <v>74026</v>
      </c>
      <c r="E37" s="32" t="n">
        <v>272256</v>
      </c>
      <c r="F37" s="32" t="n">
        <v>144251</v>
      </c>
      <c r="G37" s="156" t="n">
        <f aca="false">SUM(D37:F37)/3</f>
        <v>163511</v>
      </c>
      <c r="H37" s="157" t="n">
        <v>1</v>
      </c>
      <c r="I37" s="157" t="n">
        <v>0</v>
      </c>
      <c r="J37" s="158" t="n">
        <v>0</v>
      </c>
      <c r="L37" s="0"/>
    </row>
    <row r="38" customFormat="false" ht="12.75" hidden="false" customHeight="false" outlineLevel="0" collapsed="false">
      <c r="A38" s="155" t="n">
        <v>42339</v>
      </c>
      <c r="B38" s="32" t="n">
        <f aca="false">90000+50000+8910+8438+9929+15106+6075+9090+8618+8618+8347+17316+9792+9565+7798433+2886+5803+1626+9402+9600+38666+1212+9680+51534+4539+8690+1140+8381+81429+262007+4223+1507+2761+3226+6003+5286+4162+22225+196816+188769+36727+181840+5791+6243+188356+2130+2185+1170899+2685+3223+1425+13950+1548+3369+1806+2016+7447+7537+1724+1586+1064+7031+2728+2193+1603+2647+4108+1566+2902+1401+4475+1635+939129</f>
        <v>11604779</v>
      </c>
      <c r="C38" s="32" t="n">
        <v>73</v>
      </c>
      <c r="D38" s="32" t="n">
        <v>386804</v>
      </c>
      <c r="E38" s="32" t="n">
        <v>233598</v>
      </c>
      <c r="F38" s="32" t="n">
        <v>568760</v>
      </c>
      <c r="G38" s="156" t="n">
        <f aca="false">SUM(D38:F38)/3</f>
        <v>396387.333333333</v>
      </c>
      <c r="H38" s="157" t="n">
        <v>0</v>
      </c>
      <c r="I38" s="157" t="n">
        <v>0</v>
      </c>
      <c r="J38" s="158" t="n">
        <v>0</v>
      </c>
      <c r="L38" s="0"/>
    </row>
    <row r="39" customFormat="false" ht="12.75" hidden="false" customHeight="false" outlineLevel="0" collapsed="false">
      <c r="A39" s="155" t="n">
        <v>42370</v>
      </c>
      <c r="B39" s="32" t="n">
        <f aca="false">2295+80000+100000+1601+9112+42889+2712+4455+1100+5800071+1378+698603+2641+1002+767+21255+13237+5737+228509+8636+500000+1855+50000+10443+2723+4455+1314+1440+9371+6990+10561+1918+184570+49349+24444+16315+22454+4556+3960+8100+2450+10008+4050+8335+2126+42195+1081+1847+125314+2016+1432+5027+2430+75390+2257+72759+936+43172+4318+13365+2016+199069+2142</f>
        <v>8564553</v>
      </c>
      <c r="C39" s="32" t="n">
        <v>63</v>
      </c>
      <c r="D39" s="32" t="n">
        <v>3591232</v>
      </c>
      <c r="E39" s="32" t="n">
        <v>81905</v>
      </c>
      <c r="F39" s="32" t="n">
        <v>366388</v>
      </c>
      <c r="G39" s="156" t="n">
        <f aca="false">SUM(D39:F39)/3</f>
        <v>1346508.33333333</v>
      </c>
      <c r="H39" s="157" t="n">
        <v>0</v>
      </c>
      <c r="I39" s="157" t="n">
        <v>0</v>
      </c>
      <c r="J39" s="158" t="n">
        <v>0</v>
      </c>
      <c r="L39" s="0"/>
    </row>
    <row r="40" customFormat="false" ht="12.75" hidden="false" customHeight="false" outlineLevel="0" collapsed="false">
      <c r="A40" s="155" t="n">
        <v>42401</v>
      </c>
      <c r="B40" s="32" t="n">
        <f aca="false">100000+485888+1484+2445+153548+7575+400000+4748813+1314009+33926+750145+1200+616186+51350+1577+145355+1378+1319+320122+7747+29892+50000+4093+22438+13500+14159+207810+2185+2700+16875+8183+16758+16797+40127+1546+8931+85698+1895499+9885+1262+6264075</f>
        <v>17856480</v>
      </c>
      <c r="C40" s="32" t="n">
        <v>41</v>
      </c>
      <c r="D40" s="32" t="n">
        <v>2092834</v>
      </c>
      <c r="E40" s="32" t="n">
        <v>161902</v>
      </c>
      <c r="F40" s="32" t="n">
        <v>6947256</v>
      </c>
      <c r="G40" s="156" t="n">
        <f aca="false">SUM(D40:F40)/3</f>
        <v>3067330.66666667</v>
      </c>
      <c r="H40" s="157" t="n">
        <v>0</v>
      </c>
      <c r="I40" s="157" t="n">
        <v>0</v>
      </c>
      <c r="J40" s="158" t="n">
        <v>0</v>
      </c>
      <c r="L40" s="0"/>
    </row>
    <row r="41" customFormat="false" ht="12.75" hidden="false" customHeight="false" outlineLevel="0" collapsed="false">
      <c r="A41" s="155" t="n">
        <v>42430</v>
      </c>
      <c r="B41" s="32" t="n">
        <f aca="false">2565+1859+1205269+3279+56825+6214+228314+1160+292763+8300+3252+30276+862672+31323+30570+113615+4290+4008+5762+9188+325692+26538+1413+2759+2126+9056+124985+9205+50000+2016+2566+9639+7705+6919+1753+1018+1106+2111+9455+23957+2210+50000+4500+3375+246927+1396+16831+10845+10845+16831+10845+200000+50000+2227+50000+36367+34210+1566+22500+7567+8384+5000+8532+9890+2340+10022+2771+3060+1520+1821+1681+1072+1361+9000+5512+7220+3785+2138</f>
        <v>4385674</v>
      </c>
      <c r="C41" s="32" t="n">
        <v>78</v>
      </c>
      <c r="D41" s="32" t="n">
        <v>94884</v>
      </c>
      <c r="E41" s="32" t="n">
        <v>87940</v>
      </c>
      <c r="F41" s="32" t="n">
        <v>111201</v>
      </c>
      <c r="G41" s="156" t="n">
        <f aca="false">SUM(D41:F41)/3</f>
        <v>98008.3333333333</v>
      </c>
      <c r="H41" s="157" t="n">
        <v>0</v>
      </c>
      <c r="I41" s="157" t="n">
        <v>0</v>
      </c>
      <c r="J41" s="158" t="n">
        <v>0</v>
      </c>
      <c r="L41" s="0"/>
    </row>
    <row r="42" customFormat="false" ht="12.75" hidden="false" customHeight="false" outlineLevel="0" collapsed="false">
      <c r="A42" s="155" t="n">
        <v>42461</v>
      </c>
      <c r="B42" s="32" t="n">
        <f aca="false">6226+37682+328+1000000+4890+6583+942528+24614+6890+6243396+9517+4050+2578+243418+2975+7087+3503+2629+1140+637832+39869+25198+80000+50000+163539+9749+14852+11658+14406+9968+11076+7875+5872+9604+167039+3543+1199284+3404+561240+1596+1232+2439+1741+132012+5335+1467+608413+6579+6669+9859+6934+4505+9618+3370+8032+20274+9529+6265+6415+4248+4050+3375+3825+2279+2431+2062+3105+2271+3217+4684+5113+9250+6309+9056+9112+6186+10863+4623+2583+3611+2413+1129+1797+1868+1688+5000+25449+25803+8369+2267</f>
        <v>12606362</v>
      </c>
      <c r="C42" s="32" t="n">
        <v>90</v>
      </c>
      <c r="D42" s="32" t="n">
        <v>121042</v>
      </c>
      <c r="E42" s="32" t="n">
        <v>67005</v>
      </c>
      <c r="F42" s="32" t="n">
        <v>512549</v>
      </c>
      <c r="G42" s="156" t="n">
        <f aca="false">SUM(D42:F42)/3</f>
        <v>233532</v>
      </c>
      <c r="H42" s="157" t="n">
        <v>0</v>
      </c>
      <c r="I42" s="157" t="n">
        <v>0</v>
      </c>
      <c r="J42" s="158" t="n">
        <v>0</v>
      </c>
      <c r="L42" s="0"/>
    </row>
    <row r="43" customFormat="false" ht="12.75" hidden="false" customHeight="false" outlineLevel="0" collapsed="false">
      <c r="A43" s="155" t="n">
        <v>42491</v>
      </c>
      <c r="B43" s="32" t="n">
        <f aca="false">6816+46483+33603+3998+23392+7809+100000+100000+600000+8519+6367+123926+2526+2100+577+6801952+2016+2791+562475+9450+449159+4455+4850+13085+4455+3384+200000+25472+73281+73281+2016+9517+5231+1707+8627+269007+1734+1643+42143+31390+183333+15164264+5906+95108+7346+2546+274596+10917+2441+759919+8190+1561627+2143+6418+6602211</f>
        <v>34356202</v>
      </c>
      <c r="C43" s="32" t="n">
        <v>55</v>
      </c>
      <c r="D43" s="32" t="n">
        <v>1137835</v>
      </c>
      <c r="E43" s="32" t="n">
        <v>100106</v>
      </c>
      <c r="F43" s="32" t="n">
        <v>924589</v>
      </c>
      <c r="G43" s="156" t="n">
        <f aca="false">SUM(D43:F43)/3</f>
        <v>720843.333333333</v>
      </c>
      <c r="H43" s="157" t="n">
        <v>0</v>
      </c>
      <c r="I43" s="157" t="n">
        <v>0</v>
      </c>
      <c r="J43" s="158" t="n">
        <v>0</v>
      </c>
      <c r="L43" s="0"/>
    </row>
    <row r="44" customFormat="false" ht="12.75" hidden="false" customHeight="false" outlineLevel="0" collapsed="false">
      <c r="A44" s="155" t="n">
        <v>42537</v>
      </c>
      <c r="B44" s="173" t="n">
        <f aca="false">316+5662+1262+5968+698+4775+1231+9555+589+4072+3570+34978+37075+868+421+50000+2812+50000+1113+9396+51615+147195+1098+292+26665+4366+607+4749+6546+8105+2980+1202+503+1161+1000+966+2500+336+225+9181+4008+31011+1316+168+51500+2272+2588+446+4556+1832+2016+2025+1156+420+8942+1631+6131+4050+5936+4928+3472+6917+49159+10845+42085+2439</f>
        <v>747502</v>
      </c>
      <c r="C44" s="173" t="n">
        <v>64</v>
      </c>
      <c r="D44" s="173" t="n">
        <v>214651</v>
      </c>
      <c r="E44" s="173" t="n">
        <v>59166</v>
      </c>
      <c r="F44" s="173" t="n">
        <v>227424</v>
      </c>
      <c r="G44" s="156" t="n">
        <f aca="false">SUM(D44:F44)/3</f>
        <v>167080.333333333</v>
      </c>
      <c r="H44" s="157" t="n">
        <v>0</v>
      </c>
      <c r="I44" s="157" t="n">
        <v>0</v>
      </c>
      <c r="J44" s="158" t="n">
        <v>0</v>
      </c>
      <c r="L44" s="0"/>
    </row>
    <row r="45" customFormat="false" ht="12.75" hidden="false" customHeight="false" outlineLevel="0" collapsed="false">
      <c r="A45" s="174" t="n">
        <v>42567</v>
      </c>
      <c r="B45" s="32" t="n">
        <f aca="false">279+41771+50000+50000+8015+3740+2805+8791+100000+549735+50000+50000+400000+1112+2500+12242+4099+400000+3233+479+1155+1645+612+4345+3974023+200+71414+3159+7867+4556+2806+1743+8302+540+5026817+9517+90863+2548+701+7195+2404+7198+575+2138+208391+1287+3009+3830+3909+44937+3279+3543+4747+6729+860+4050+2949+754+4106+909+1201+3198+875+750+955+394+468+461+200+391+892+583+318+6298+2014+5833+9624+2306+6918+1766+1390+3150+1051815+9271+51410+5828+53462+225+3710187+3620</f>
        <v>16204216</v>
      </c>
      <c r="C45" s="32" t="n">
        <v>90</v>
      </c>
      <c r="D45" s="32" t="n">
        <v>2917558</v>
      </c>
      <c r="E45" s="32" t="n">
        <v>446493</v>
      </c>
      <c r="F45" s="32" t="n">
        <v>1399518</v>
      </c>
      <c r="G45" s="175" t="n">
        <f aca="false">SUM(D45:F45)/3</f>
        <v>1587856.33333333</v>
      </c>
      <c r="H45" s="157" t="n">
        <v>0</v>
      </c>
      <c r="I45" s="157" t="n">
        <v>0</v>
      </c>
      <c r="J45" s="158" t="n">
        <v>0</v>
      </c>
      <c r="L45" s="0"/>
    </row>
    <row r="46" customFormat="false" ht="12.75" hidden="false" customHeight="false" outlineLevel="0" collapsed="false">
      <c r="A46" s="174" t="n">
        <v>42598</v>
      </c>
      <c r="B46" s="176" t="n">
        <f aca="false">40822+315+610+5949+26768+1450+400000+120669+5094920+4603+337+1525+8606+51975+1624+5157+4060+9793+749+9740+612+50000+50000+744+2700+150+3948+2745+9956+14785+5700+472+1283+40031+337+2712+1097+8348+3921+968+50000+4615+1424+4587+266+1687+508+2972+16831+9573+1125+3173+6664+9831+4259+9573+1125+3173+6664+9831+4259+45418+48975+1664+880+18390+600000+2267+9517+56362</f>
        <v>6925794</v>
      </c>
      <c r="C46" s="176" t="n">
        <v>71</v>
      </c>
      <c r="D46" s="176" t="n">
        <v>454660</v>
      </c>
      <c r="E46" s="176" t="n">
        <v>260443</v>
      </c>
      <c r="F46" s="176" t="n">
        <v>88283</v>
      </c>
      <c r="G46" s="175" t="n">
        <f aca="false">SUM(D43:F43)/3</f>
        <v>720843.333333333</v>
      </c>
      <c r="H46" s="157" t="n">
        <v>0</v>
      </c>
      <c r="I46" s="157" t="n">
        <v>0</v>
      </c>
      <c r="J46" s="158" t="n">
        <v>0</v>
      </c>
      <c r="L46" s="0"/>
    </row>
    <row r="47" customFormat="false" ht="10.5" hidden="false" customHeight="false" outlineLevel="0" collapsed="false">
      <c r="A47" s="159" t="s">
        <v>194</v>
      </c>
      <c r="B47" s="177" t="n">
        <f aca="false">SUM(B35:B44)</f>
        <v>129514853</v>
      </c>
      <c r="C47" s="177" t="n">
        <f aca="false">SUM(C35:C46)</f>
        <v>779</v>
      </c>
      <c r="D47" s="178"/>
      <c r="E47" s="179"/>
      <c r="F47" s="179"/>
      <c r="G47" s="160" t="n">
        <f aca="false">SUM(G35:G46)</f>
        <v>11267580</v>
      </c>
      <c r="H47" s="163" t="n">
        <f aca="false">SUM(H35:H46)</f>
        <v>1</v>
      </c>
      <c r="I47" s="163" t="n">
        <f aca="false">SUM(I35:I46)</f>
        <v>0</v>
      </c>
      <c r="J47" s="164" t="n">
        <f aca="false">SUM(J35:J46)</f>
        <v>0</v>
      </c>
      <c r="L47" s="0"/>
    </row>
    <row r="48" customFormat="false" ht="10.5" hidden="false" customHeight="false" outlineLevel="0" collapsed="false">
      <c r="A48" s="165" t="s">
        <v>195</v>
      </c>
      <c r="B48" s="166" t="n">
        <f aca="false">(B47/12)*12</f>
        <v>129514853</v>
      </c>
      <c r="C48" s="167"/>
      <c r="D48" s="168"/>
      <c r="E48" s="169"/>
      <c r="F48" s="169"/>
      <c r="G48" s="170" t="n">
        <f aca="false">(G47/6)</f>
        <v>1877930</v>
      </c>
      <c r="H48" s="169"/>
      <c r="I48" s="169"/>
      <c r="J48" s="171" t="n">
        <f aca="false">J47/6</f>
        <v>0</v>
      </c>
      <c r="L48" s="0"/>
    </row>
    <row r="49" customFormat="false" ht="10.5" hidden="false" customHeight="false" outlineLevel="0" collapsed="false">
      <c r="A49" s="0"/>
      <c r="B49" s="0"/>
      <c r="C49" s="0"/>
      <c r="D49" s="0"/>
      <c r="E49" s="0"/>
      <c r="F49" s="0"/>
      <c r="G49" s="0"/>
      <c r="H49" s="0"/>
      <c r="I49" s="0"/>
      <c r="J49" s="0"/>
      <c r="L49" s="0"/>
    </row>
    <row r="50" customFormat="false" ht="10.5" hidden="false" customHeight="false" outlineLevel="0" collapsed="false">
      <c r="A50" s="0"/>
      <c r="B50" s="0"/>
      <c r="C50" s="0"/>
      <c r="D50" s="0"/>
      <c r="E50" s="0"/>
      <c r="F50" s="0"/>
      <c r="G50" s="0"/>
      <c r="H50" s="0"/>
      <c r="I50" s="0"/>
      <c r="J50" s="0"/>
      <c r="L50" s="180" t="n">
        <f aca="false">+B47+B70</f>
        <v>136633087</v>
      </c>
    </row>
    <row r="51" customFormat="false" ht="10.5" hidden="false" customHeight="false" outlineLevel="0" collapsed="false">
      <c r="A51" s="0"/>
      <c r="B51" s="0"/>
      <c r="C51" s="0"/>
      <c r="D51" s="0"/>
      <c r="E51" s="0"/>
      <c r="F51" s="0"/>
      <c r="G51" s="0"/>
      <c r="H51" s="0"/>
      <c r="I51" s="0"/>
      <c r="J51" s="0"/>
      <c r="L51" s="0"/>
    </row>
    <row r="52" customFormat="false" ht="10.5" hidden="false" customHeight="false" outlineLevel="0" collapsed="false">
      <c r="A52" s="0"/>
      <c r="B52" s="0"/>
      <c r="C52" s="0"/>
      <c r="D52" s="0"/>
      <c r="E52" s="0"/>
      <c r="F52" s="0"/>
      <c r="G52" s="0"/>
      <c r="H52" s="0"/>
      <c r="I52" s="0"/>
      <c r="J52" s="0"/>
      <c r="L52" s="180" t="n">
        <f aca="false">+G48+G71</f>
        <v>2185765.27777778</v>
      </c>
    </row>
    <row r="53" customFormat="false" ht="13.5" hidden="false" customHeight="false" outlineLevel="0" collapsed="false">
      <c r="A53" s="147" t="s">
        <v>177</v>
      </c>
      <c r="B53" s="148" t="s">
        <v>31</v>
      </c>
      <c r="C53" s="148"/>
      <c r="D53" s="148"/>
      <c r="E53" s="148"/>
      <c r="F53" s="148"/>
      <c r="G53" s="148"/>
      <c r="H53" s="149" t="s">
        <v>178</v>
      </c>
      <c r="I53" s="150" t="s">
        <v>196</v>
      </c>
      <c r="J53" s="151"/>
    </row>
    <row r="54" customFormat="false" ht="13.5" hidden="false" customHeight="false" outlineLevel="0" collapsed="false">
      <c r="A54" s="147" t="s">
        <v>180</v>
      </c>
      <c r="B54" s="148" t="s">
        <v>181</v>
      </c>
      <c r="C54" s="148"/>
      <c r="D54" s="148"/>
      <c r="E54" s="148"/>
      <c r="F54" s="148"/>
      <c r="G54" s="148"/>
      <c r="H54" s="149"/>
      <c r="I54" s="150"/>
      <c r="J54" s="151"/>
    </row>
    <row r="55" customFormat="false" ht="13.5" hidden="false" customHeight="false" outlineLevel="0" collapsed="false">
      <c r="A55" s="147" t="s">
        <v>182</v>
      </c>
      <c r="B55" s="148" t="s">
        <v>198</v>
      </c>
      <c r="C55" s="148"/>
      <c r="D55" s="148"/>
      <c r="E55" s="148"/>
      <c r="F55" s="148"/>
      <c r="G55" s="148"/>
      <c r="H55" s="149"/>
      <c r="I55" s="150"/>
      <c r="J55" s="151"/>
    </row>
    <row r="56" customFormat="false" ht="10.5" hidden="false" customHeight="true" outlineLevel="0" collapsed="false">
      <c r="A56" s="152" t="s">
        <v>184</v>
      </c>
      <c r="B56" s="152" t="s">
        <v>185</v>
      </c>
      <c r="C56" s="152" t="s">
        <v>186</v>
      </c>
      <c r="D56" s="152" t="s">
        <v>187</v>
      </c>
      <c r="E56" s="152"/>
      <c r="F56" s="152"/>
      <c r="G56" s="152" t="s">
        <v>188</v>
      </c>
      <c r="H56" s="153" t="s">
        <v>189</v>
      </c>
      <c r="I56" s="153"/>
      <c r="J56" s="154" t="s">
        <v>190</v>
      </c>
    </row>
    <row r="57" customFormat="false" ht="10.5" hidden="false" customHeight="false" outlineLevel="0" collapsed="false">
      <c r="A57" s="152"/>
      <c r="B57" s="152"/>
      <c r="C57" s="152"/>
      <c r="D57" s="152" t="n">
        <v>10</v>
      </c>
      <c r="E57" s="152" t="n">
        <v>20</v>
      </c>
      <c r="F57" s="152" t="n">
        <v>30</v>
      </c>
      <c r="G57" s="152" t="s">
        <v>191</v>
      </c>
      <c r="H57" s="152" t="s">
        <v>192</v>
      </c>
      <c r="I57" s="152" t="s">
        <v>193</v>
      </c>
      <c r="J57" s="154"/>
    </row>
    <row r="58" customFormat="false" ht="12.75" hidden="false" customHeight="false" outlineLevel="0" collapsed="false">
      <c r="A58" s="155" t="n">
        <v>42262</v>
      </c>
      <c r="B58" s="32" t="n">
        <f aca="false">9730+31252+7556+1539+9185+2679+7525+29654+29654+1461+1505+1965+1586+3363+2016+1840+1656+1667+2016+1996+1201+3765+3575+3277+1969+607+9619+10540+3241+1846+9450+2704+3502+1383+16425+7660+168+434+1707+1707+2891+3113+9936+4811+2599+2683</f>
        <v>260658</v>
      </c>
      <c r="C58" s="32" t="n">
        <v>45</v>
      </c>
      <c r="D58" s="32" t="n">
        <v>68970</v>
      </c>
      <c r="E58" s="32" t="n">
        <v>19025</v>
      </c>
      <c r="F58" s="32" t="n">
        <v>74929</v>
      </c>
      <c r="G58" s="156" t="n">
        <f aca="false">SUM(D58:F58)/3</f>
        <v>54308</v>
      </c>
      <c r="H58" s="157" t="n">
        <v>0</v>
      </c>
      <c r="I58" s="157" t="n">
        <v>0</v>
      </c>
      <c r="J58" s="158" t="n">
        <v>0</v>
      </c>
    </row>
    <row r="59" customFormat="false" ht="12.75" hidden="false" customHeight="false" outlineLevel="0" collapsed="false">
      <c r="A59" s="155" t="n">
        <v>42292</v>
      </c>
      <c r="B59" s="32" t="n">
        <f aca="false">30000+10055+9730+1950+11934+1132+233+2473+6662+8295+1402+29957+2278+9574+10798+836+16758+9520+8347+5276+59909+22344+73811+39467+8213+2446+719+2451+621+1276+6255+1616+1200+7594+1313+1313+4966+2565+910+3746+5005+23001+5714+3231+1441+2477+1254+1929+6075+6207+29957+809+633+324+2130+3155+1629+1859+4598+6552+403+31252+337+2189+2644+2016+2713+4000+5445+9953+878+3304+1125+1855+975+4590</f>
        <v>601604</v>
      </c>
      <c r="C59" s="32" t="n">
        <v>82</v>
      </c>
      <c r="D59" s="32" t="n">
        <v>138863</v>
      </c>
      <c r="E59" s="32" t="n">
        <v>39992</v>
      </c>
      <c r="F59" s="32" t="n">
        <v>216775</v>
      </c>
      <c r="G59" s="156" t="n">
        <f aca="false">SUM(D59:F59)/3</f>
        <v>131876.666666667</v>
      </c>
      <c r="H59" s="157" t="n">
        <v>0</v>
      </c>
      <c r="I59" s="157" t="n">
        <v>0</v>
      </c>
      <c r="J59" s="158" t="n">
        <v>0</v>
      </c>
    </row>
    <row r="60" customFormat="false" ht="12.75" hidden="false" customHeight="false" outlineLevel="0" collapsed="false">
      <c r="A60" s="155" t="n">
        <v>42323</v>
      </c>
      <c r="B60" s="32" t="n">
        <f aca="false">5957+4496+4568+8821+5231+5231+2138+2812+3990+3033+3971+3500+2128+2525+1436+5104+1807+2361+3069+1306+1847+2216+1656+20946+9520+10798+16758+8347+5000+5000+585+383+680</f>
        <v>157220</v>
      </c>
      <c r="C60" s="32" t="n">
        <v>32</v>
      </c>
      <c r="D60" s="32" t="n">
        <v>233205</v>
      </c>
      <c r="E60" s="32" t="n">
        <v>61450</v>
      </c>
      <c r="F60" s="32" t="n">
        <v>101354</v>
      </c>
      <c r="G60" s="156" t="n">
        <f aca="false">SUM(D60:F60)/3</f>
        <v>132003</v>
      </c>
      <c r="H60" s="157" t="n">
        <v>0</v>
      </c>
      <c r="I60" s="157" t="n">
        <v>0</v>
      </c>
      <c r="J60" s="158" t="n">
        <v>0</v>
      </c>
    </row>
    <row r="61" customFormat="false" ht="12.75" hidden="false" customHeight="false" outlineLevel="0" collapsed="false">
      <c r="A61" s="155" t="n">
        <v>42339</v>
      </c>
      <c r="B61" s="32" t="n">
        <f aca="false">26080+25000+50607+31252+31252+31252+1054+1170+1135+1738+1433+1599+1215+1240+1125+1834+1638+4082+2722+4772+2679+2235+2111+1981+1899+1425+1352+1449+4132+5905+5002+4270+3936+4033+4275+3778+4161+3521+4050+2216+4794+2556+9314+9517+1744+2103+3674+2014+9677+7500+2678+1800+1490+1763+3380+4117+6117+2216</f>
        <v>363064</v>
      </c>
      <c r="C61" s="32" t="n">
        <v>65</v>
      </c>
      <c r="D61" s="32" t="n">
        <v>108215</v>
      </c>
      <c r="E61" s="32" t="n">
        <v>38375</v>
      </c>
      <c r="F61" s="32" t="n">
        <v>94202</v>
      </c>
      <c r="G61" s="156" t="n">
        <f aca="false">SUM(D61:F61)/3</f>
        <v>80264</v>
      </c>
      <c r="H61" s="157" t="n">
        <v>0</v>
      </c>
      <c r="I61" s="157" t="n">
        <v>0</v>
      </c>
      <c r="J61" s="158" t="n">
        <v>0</v>
      </c>
    </row>
    <row r="62" customFormat="false" ht="12.75" hidden="false" customHeight="false" outlineLevel="0" collapsed="false">
      <c r="A62" s="155" t="n">
        <v>42370</v>
      </c>
      <c r="B62" s="32" t="n">
        <f aca="false">32432+21037+10824+9520+2291+1560+1680+1612+1560+1096+5102+8100+2273+2619+2976+4007+4972+5430+7081+4601+3697+4537+1996+9619+9563+7358+5900+9790+3692+9574+4053+2658+9450+4731+1422+2584+4566+5830+9000+7191+2876+7800+10780+41264+1005+3037+4116+2693+5622+6994+4657+2840+9993+5522+1631+4789+5456+1969+3780+4071+8602+8886+4059+5835+8325+1708+23387+29628+9000+8900+9956+9698+2656+8037+10008+7087+2347+1856+8932+2647+1329+3486+1615+1033+104355+23943+3488+1428+2053+2380+4500+2002+4623+1969+3391+2755+9563+4860+29628+10780+7567+5000</f>
        <v>782181</v>
      </c>
      <c r="C62" s="32" t="n">
        <v>106</v>
      </c>
      <c r="D62" s="32" t="n">
        <v>95043</v>
      </c>
      <c r="E62" s="32" t="n">
        <v>98932</v>
      </c>
      <c r="F62" s="32" t="n">
        <v>142836</v>
      </c>
      <c r="G62" s="156" t="n">
        <f aca="false">SUM(D62:F62)/3</f>
        <v>112270.333333333</v>
      </c>
      <c r="H62" s="157" t="n">
        <v>0</v>
      </c>
      <c r="I62" s="157" t="n">
        <v>1</v>
      </c>
      <c r="J62" s="158" t="n">
        <v>0</v>
      </c>
    </row>
    <row r="63" customFormat="false" ht="12.75" hidden="false" customHeight="false" outlineLevel="0" collapsed="false">
      <c r="A63" s="155" t="n">
        <v>42401</v>
      </c>
      <c r="B63" s="32" t="n">
        <f aca="false">104355+2830+6070+1326+1090+8432+4455+4972+1288+3694+1695+4423+3983+1323+2183+9432+2025+4455+5307+1925+5779+3825+2200+7800+1788+1650+2657+14949+2694+3735+1766+1431+3640+2109+2109+2166+3609+3037+3150+6862+8367+9542+1714+1016+1172+1034+1231+2418+1013+20186+24971+23310+8887+9750+10194+16860+9244+9750+7598+6862+9585+1005+6412+6376+5279+5231+4275+5378+5046+4780+8200+8323+4050+5765+6187+6507+3504+15152+3684+4119+2648+3351+3172+2293+2330+4359+10085+7121+15750+3974+2115+17109+1855+1447+8085+8690+8925+10328+2325+6224+1114+5446+8572+9900+2349+2137+29957+1372+38647+7466+23143</f>
        <v>798485</v>
      </c>
      <c r="C63" s="32" t="n">
        <v>115</v>
      </c>
      <c r="D63" s="32" t="n">
        <v>139088</v>
      </c>
      <c r="E63" s="32" t="n">
        <v>109378</v>
      </c>
      <c r="F63" s="32" t="n">
        <v>418379</v>
      </c>
      <c r="G63" s="156" t="n">
        <f aca="false">SUM(D62:F62)/3</f>
        <v>112270.333333333</v>
      </c>
      <c r="H63" s="157" t="n">
        <v>0</v>
      </c>
      <c r="I63" s="157" t="n">
        <v>0</v>
      </c>
      <c r="J63" s="158" t="n">
        <v>0</v>
      </c>
    </row>
    <row r="64" customFormat="false" ht="12.75" hidden="false" customHeight="false" outlineLevel="0" collapsed="false">
      <c r="A64" s="155" t="n">
        <v>42430</v>
      </c>
      <c r="B64" s="32" t="n">
        <f aca="false">34574+187153+182153+191096+10780+5000+22440+26613+2046+4904+1196+5936+2231+7818+7875+23625+23625+23625+6843+6603+6415+7387+6016+7319+6379+9481+9000+9731+7425+7212+37880+9452+2808+4186+5461+2426+5847+3778+4910+4988+9562+3092+2379+2523+4147+4825+5062+7990+4988+9562+3092+2379+2523+4147+4825+5062+7990+5666+4614+5028+2912+2747+2206+3667+1451+1390+1754+1129+1490+2331+2016+2259+2086+2405+2066+3383+4455+4237+7174+6187+1063+1823+1001+2016+1383+1107+995+1028+1772+1464+1050+1343+1235+1021+1141+1587+29563+4455</f>
        <v>1146085</v>
      </c>
      <c r="C64" s="32" t="n">
        <v>100</v>
      </c>
      <c r="D64" s="32" t="n">
        <v>894916</v>
      </c>
      <c r="E64" s="32" t="n">
        <v>108886</v>
      </c>
      <c r="F64" s="32" t="n">
        <v>38350</v>
      </c>
      <c r="G64" s="156" t="n">
        <f aca="false">SUM(D63:F63)/3</f>
        <v>222281.666666667</v>
      </c>
      <c r="H64" s="157" t="n">
        <v>0</v>
      </c>
      <c r="I64" s="157" t="n">
        <v>0</v>
      </c>
      <c r="J64" s="158" t="n">
        <v>0</v>
      </c>
    </row>
    <row r="65" customFormat="false" ht="12.75" hidden="false" customHeight="false" outlineLevel="0" collapsed="false">
      <c r="A65" s="155" t="n">
        <v>42461</v>
      </c>
      <c r="B65" s="32" t="n">
        <f aca="false">166524+7567+8406+8363+9639+33733+8406+22442+7567+100980+15785+10000+39268+1720+1656+2649+1816+6700+1489+5857+1497+1773+1207+1343+1754+1863+1024+890+865+1092+2914+5388+8040+2531+2016+1896+3849+772+562+793+1154+1301+2166+3418+2648+2176+8463+24233+21460</f>
        <v>569655</v>
      </c>
      <c r="C65" s="32" t="n">
        <v>54</v>
      </c>
      <c r="D65" s="32" t="n">
        <v>119364</v>
      </c>
      <c r="E65" s="32" t="n">
        <v>20344</v>
      </c>
      <c r="F65" s="32" t="n">
        <v>190769</v>
      </c>
      <c r="G65" s="156" t="n">
        <f aca="false">SUM(D64:F64)/3</f>
        <v>347384</v>
      </c>
      <c r="H65" s="157" t="n">
        <v>0</v>
      </c>
      <c r="I65" s="157" t="n">
        <v>0</v>
      </c>
      <c r="J65" s="158" t="n">
        <v>0</v>
      </c>
    </row>
    <row r="66" customFormat="false" ht="12.75" hidden="false" customHeight="false" outlineLevel="0" collapsed="false">
      <c r="A66" s="181" t="n">
        <v>42491</v>
      </c>
      <c r="B66" s="173" t="n">
        <f aca="false">43739+948+22442+9641+5000+35312+8555+8183+8213+10099+7567+44776+24850</f>
        <v>229325</v>
      </c>
      <c r="C66" s="173" t="n">
        <v>13</v>
      </c>
      <c r="D66" s="173" t="n">
        <v>11319</v>
      </c>
      <c r="E66" s="173" t="n">
        <v>55058</v>
      </c>
      <c r="F66" s="173" t="n">
        <v>56006</v>
      </c>
      <c r="G66" s="156" t="n">
        <f aca="false">SUM(D65:F65)/3</f>
        <v>110159</v>
      </c>
      <c r="H66" s="157" t="n">
        <v>0</v>
      </c>
      <c r="I66" s="157" t="n">
        <v>0</v>
      </c>
      <c r="J66" s="158" t="n">
        <v>0</v>
      </c>
    </row>
    <row r="67" customFormat="false" ht="12.75" hidden="false" customHeight="false" outlineLevel="0" collapsed="false">
      <c r="A67" s="155" t="n">
        <v>42522</v>
      </c>
      <c r="B67" s="32" t="n">
        <f aca="false">5000+8384+9641+8384+22442+6832+756+7406+31292+6084+5231+5625+2925+3385+5385+2028+3017+1822+200+940+351+580+410+351+5866+9530+9731+2203+9838+1777+5315+9978+2341+9042+3238+3634+2974+6870+6870+9844+4534+8393+150+1652+674+979+1471+2500+959+2016+656+9563+4975+480+2648+593+1046+9720+1622+1530+4840+4565+6161+4050+3712+1690+2413+1631+7241+354+9985+9909+708+2643+1412+3235+3319+2068+172105+201234+9060+43842</f>
        <v>789860</v>
      </c>
      <c r="C67" s="32" t="n">
        <v>79</v>
      </c>
      <c r="D67" s="32" t="n">
        <v>340782</v>
      </c>
      <c r="E67" s="32" t="n">
        <v>101287</v>
      </c>
      <c r="F67" s="32" t="n">
        <v>401287</v>
      </c>
      <c r="G67" s="156" t="n">
        <f aca="false">SUM(D66:F66)/3</f>
        <v>40794.3333333333</v>
      </c>
      <c r="H67" s="157" t="n">
        <v>0</v>
      </c>
      <c r="I67" s="157" t="n">
        <v>0</v>
      </c>
      <c r="J67" s="158" t="n">
        <v>0</v>
      </c>
    </row>
    <row r="68" customFormat="false" ht="12.75" hidden="false" customHeight="false" outlineLevel="0" collapsed="false">
      <c r="A68" s="181" t="n">
        <v>42552</v>
      </c>
      <c r="B68" s="173" t="n">
        <f aca="false">200+802+607+200+1098+273+351+269+985+651+1238+915+991+853+777+913+354+633+534+1203+169+67320+2069+558+1840+1876+1702+1741+1231+1046+1222+1289+1502+666+39615+18351+29961+61335</f>
        <v>247340</v>
      </c>
      <c r="C68" s="173" t="n">
        <v>59</v>
      </c>
      <c r="D68" s="173" t="n">
        <v>7750</v>
      </c>
      <c r="E68" s="173" t="n">
        <v>21651</v>
      </c>
      <c r="F68" s="173" t="n">
        <v>155162</v>
      </c>
      <c r="G68" s="156" t="n">
        <f aca="false">SUM(D67:F67)/3</f>
        <v>281118.666666667</v>
      </c>
      <c r="H68" s="157" t="n">
        <v>0</v>
      </c>
      <c r="I68" s="157" t="n">
        <v>0</v>
      </c>
      <c r="J68" s="158" t="n">
        <v>0</v>
      </c>
    </row>
    <row r="69" customFormat="false" ht="12.75" hidden="false" customHeight="false" outlineLevel="0" collapsed="false">
      <c r="A69" s="181" t="n">
        <v>42583</v>
      </c>
      <c r="B69" s="173" t="n">
        <f aca="false">169+5065+169+3601+1811+395+450+200+2025+754+3791+4972+4893+1858+6757+213629+222544+1824+914+1627+2045+1004+5265+2166+7495+8328+2048+803+3872+1216+2475+9929+7104+318+806+2092+2169+672+2193+4455+3940+2812+2025+1544+3619+2410+8910+3705+212+9450+2014+6313+1237+9562+3615+150+1507+2644+212+928+3960+3121+9517+4437+9009+12359+4595+348080+10143+14469+33660+14469+33660+351+1463+1625+595+1181+557+1041+782+1447+554+910+839+468+1072+984+5738+40959</f>
        <v>1172757</v>
      </c>
      <c r="C69" s="173" t="n">
        <v>91</v>
      </c>
      <c r="D69" s="173" t="n">
        <v>14587</v>
      </c>
      <c r="E69" s="173" t="n">
        <v>100431</v>
      </c>
      <c r="F69" s="173" t="n">
        <v>122202</v>
      </c>
      <c r="G69" s="175" t="n">
        <f aca="false">SUM(D63:F63)/3</f>
        <v>222281.666666667</v>
      </c>
      <c r="H69" s="157" t="n">
        <v>0</v>
      </c>
      <c r="I69" s="157" t="n">
        <v>0</v>
      </c>
      <c r="J69" s="158" t="n">
        <v>0</v>
      </c>
    </row>
    <row r="70" customFormat="false" ht="10.5" hidden="false" customHeight="false" outlineLevel="0" collapsed="false">
      <c r="A70" s="182" t="s">
        <v>194</v>
      </c>
      <c r="B70" s="177" t="n">
        <f aca="false">SUM(B58:B69)</f>
        <v>7118234</v>
      </c>
      <c r="C70" s="177" t="n">
        <f aca="false">SUM(C58:C69)</f>
        <v>841</v>
      </c>
      <c r="D70" s="178"/>
      <c r="E70" s="179"/>
      <c r="F70" s="179"/>
      <c r="G70" s="160" t="n">
        <f aca="false">SUM(G58:G69)</f>
        <v>1847011.66666667</v>
      </c>
      <c r="H70" s="163" t="n">
        <f aca="false">SUM(H58:H69)</f>
        <v>0</v>
      </c>
      <c r="I70" s="163" t="n">
        <f aca="false">SUM(I58:I69)</f>
        <v>1</v>
      </c>
      <c r="J70" s="164" t="n">
        <f aca="false">SUM(J58:J69)</f>
        <v>0</v>
      </c>
    </row>
    <row r="71" customFormat="false" ht="10.5" hidden="false" customHeight="false" outlineLevel="0" collapsed="false">
      <c r="A71" s="165" t="s">
        <v>195</v>
      </c>
      <c r="B71" s="166" t="n">
        <f aca="false">(B70/12)*12</f>
        <v>7118234</v>
      </c>
      <c r="C71" s="167"/>
      <c r="D71" s="168"/>
      <c r="E71" s="169"/>
      <c r="F71" s="169"/>
      <c r="G71" s="170" t="n">
        <f aca="false">(G70/6)</f>
        <v>307835.277777778</v>
      </c>
      <c r="H71" s="169"/>
      <c r="I71" s="169"/>
      <c r="J71" s="171" t="n">
        <f aca="false">J70/6</f>
        <v>0</v>
      </c>
    </row>
  </sheetData>
  <mergeCells count="24">
    <mergeCell ref="B10:G10"/>
    <mergeCell ref="H10:H12"/>
    <mergeCell ref="I10:I12"/>
    <mergeCell ref="B11:G11"/>
    <mergeCell ref="B12:G12"/>
    <mergeCell ref="D13:F13"/>
    <mergeCell ref="H13:I13"/>
    <mergeCell ref="J13:J14"/>
    <mergeCell ref="B30:G30"/>
    <mergeCell ref="H30:H32"/>
    <mergeCell ref="I30:I32"/>
    <mergeCell ref="B31:G31"/>
    <mergeCell ref="B32:G32"/>
    <mergeCell ref="D33:F33"/>
    <mergeCell ref="H33:I33"/>
    <mergeCell ref="J33:J34"/>
    <mergeCell ref="B53:G53"/>
    <mergeCell ref="H53:H55"/>
    <mergeCell ref="I53:I55"/>
    <mergeCell ref="B54:G54"/>
    <mergeCell ref="B55:G55"/>
    <mergeCell ref="D56:F56"/>
    <mergeCell ref="H56:I56"/>
    <mergeCell ref="J56:J5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6" activeCellId="0" sqref="A46"/>
    </sheetView>
  </sheetViews>
  <sheetFormatPr defaultRowHeight="15"/>
  <cols>
    <col collapsed="false" hidden="false" max="1025" min="1" style="0" width="8.57085020242915"/>
  </cols>
  <sheetData>
    <row r="1" customFormat="false" ht="18.75" hidden="false" customHeight="false" outlineLevel="0" collapsed="false">
      <c r="A1" s="183" t="s">
        <v>199</v>
      </c>
      <c r="B1" s="183"/>
      <c r="C1" s="183"/>
      <c r="D1" s="183"/>
      <c r="E1" s="183"/>
      <c r="F1" s="183"/>
      <c r="G1" s="183"/>
      <c r="H1" s="183"/>
      <c r="I1" s="183"/>
      <c r="J1" s="183"/>
      <c r="K1" s="183"/>
      <c r="L1" s="183"/>
      <c r="M1" s="183"/>
      <c r="N1" s="183"/>
      <c r="O1" s="183"/>
      <c r="P1" s="183"/>
      <c r="Q1" s="183"/>
      <c r="R1" s="183"/>
      <c r="S1" s="183"/>
      <c r="T1" s="183"/>
    </row>
  </sheetData>
  <mergeCells count="1">
    <mergeCell ref="A1:T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1"/>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 activeCellId="0" sqref="A2"/>
    </sheetView>
  </sheetViews>
  <sheetFormatPr defaultRowHeight="15"/>
  <cols>
    <col collapsed="false" hidden="false" max="1025" min="1" style="0" width="8.57085020242915"/>
  </cols>
  <sheetData>
    <row r="1" customFormat="false" ht="24.75" hidden="false" customHeight="true" outlineLevel="0" collapsed="false">
      <c r="A1" s="184" t="s">
        <v>200</v>
      </c>
      <c r="B1" s="184"/>
      <c r="C1" s="184"/>
      <c r="D1" s="184"/>
      <c r="E1" s="184"/>
      <c r="F1" s="184"/>
      <c r="G1" s="184"/>
      <c r="H1" s="184"/>
      <c r="I1" s="184"/>
      <c r="J1" s="184"/>
      <c r="K1" s="184"/>
      <c r="L1" s="184"/>
      <c r="M1" s="184"/>
      <c r="N1" s="184"/>
      <c r="O1" s="184"/>
      <c r="P1" s="184"/>
      <c r="Q1" s="184"/>
      <c r="R1" s="184"/>
      <c r="S1" s="184"/>
      <c r="T1" s="184"/>
    </row>
  </sheetData>
  <mergeCells count="1">
    <mergeCell ref="A1:T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 activeCellId="0" sqref="B2"/>
    </sheetView>
  </sheetViews>
  <sheetFormatPr defaultRowHeight="15"/>
  <cols>
    <col collapsed="false" hidden="false" max="1" min="1" style="0" width="16.9230769230769"/>
    <col collapsed="false" hidden="false" max="2" min="2" style="0" width="22.6032388663968"/>
    <col collapsed="false" hidden="false" max="1025" min="3" style="0" width="8.57085020242915"/>
  </cols>
  <sheetData>
    <row r="1" customFormat="false" ht="15.95" hidden="false" customHeight="true" outlineLevel="0" collapsed="false">
      <c r="A1" s="185" t="s">
        <v>201</v>
      </c>
      <c r="B1" s="185" t="s">
        <v>202</v>
      </c>
    </row>
    <row r="2" customFormat="false" ht="15.95" hidden="false" customHeight="true" outlineLevel="0" collapsed="false">
      <c r="A2" s="186" t="s">
        <v>203</v>
      </c>
      <c r="B2" s="186" t="s">
        <v>204</v>
      </c>
    </row>
    <row r="3" customFormat="false" ht="15.95" hidden="false" customHeight="true" outlineLevel="0" collapsed="false">
      <c r="A3" s="186" t="s">
        <v>205</v>
      </c>
      <c r="B3" s="186" t="s">
        <v>204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2015-12-22T07:39:02Z</dcterms:created>
  <dc:creator>fbgurdel1</dc:creator>
  <dc:description/>
  <dc:language>en-IN</dc:language>
  <cp:lastModifiedBy/>
  <dcterms:modified xsi:type="dcterms:W3CDTF">2016-09-18T12:58:09Z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