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mya.potala\Downloads\"/>
    </mc:Choice>
  </mc:AlternateContent>
  <xr:revisionPtr revIDLastSave="0" documentId="13_ncr:1_{95763B5D-4F47-4604-A2F8-D99A4E626890}" xr6:coauthVersionLast="47" xr6:coauthVersionMax="47" xr10:uidLastSave="{00000000-0000-0000-0000-000000000000}"/>
  <bookViews>
    <workbookView xWindow="-110" yWindow="-110" windowWidth="19420" windowHeight="10300" tabRatio="742" xr2:uid="{00000000-000D-0000-FFFF-FFFF00000000}"/>
  </bookViews>
  <sheets>
    <sheet name="Summary" sheetId="5" r:id="rId1"/>
    <sheet name="Details" sheetId="4" r:id="rId2"/>
    <sheet name="AP &amp; AR" sheetId="98" r:id="rId3"/>
    <sheet name="Recon Items" sheetId="80" r:id="rId4"/>
    <sheet name="Supplier Metrics" sheetId="97" state="hidden" r:id="rId5"/>
    <sheet name="Buyer Metrics" sheetId="95" r:id="rId6"/>
    <sheet name="Last year's" sheetId="81" r:id="rId7"/>
    <sheet name="Revenue - Reco" sheetId="84" state="hidden" r:id="rId8"/>
  </sheets>
  <definedNames>
    <definedName name="_xlnm._FilterDatabase" localSheetId="5" hidden="1">'Buyer Metrics'!$A$4:$N$8</definedName>
    <definedName name="_xlnm._FilterDatabase" localSheetId="1" hidden="1">Details!$B$4:$CW$16</definedName>
    <definedName name="_xlnm._FilterDatabase" localSheetId="6" hidden="1">'Last year''s'!$B$9:$G$30</definedName>
    <definedName name="_xlnm._FilterDatabase" localSheetId="0" hidden="1">Summary!$C$3:$W$49</definedName>
    <definedName name="_xlnm._FilterDatabase" localSheetId="4" hidden="1">'Supplier Metrics'!$B$3:$D$9</definedName>
    <definedName name="_xlcn.WorksheetConnection_DetailsB4BN19801" hidden="1">Details!$D$4:$BT$18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8" i="4" l="1"/>
  <c r="N8" i="81"/>
  <c r="AT40" i="4"/>
  <c r="J20" i="81"/>
  <c r="C20" i="81"/>
  <c r="BS17" i="4"/>
  <c r="BT17" i="4"/>
  <c r="BU17" i="4"/>
  <c r="BV17" i="4"/>
  <c r="BW17" i="4"/>
  <c r="BX17" i="4"/>
  <c r="BY17" i="4"/>
  <c r="BZ17" i="4"/>
  <c r="CA17" i="4"/>
  <c r="CB17" i="4"/>
  <c r="CE17" i="4"/>
  <c r="CF17" i="4"/>
  <c r="CG17" i="4"/>
  <c r="CH17" i="4"/>
  <c r="CL17" i="4"/>
  <c r="CM17" i="4"/>
  <c r="CN17" i="4"/>
  <c r="CO17" i="4"/>
  <c r="CP17" i="4"/>
  <c r="CQ17" i="4"/>
  <c r="CR17" i="4"/>
  <c r="CS17" i="4"/>
  <c r="CV17" i="4"/>
  <c r="CW17" i="4"/>
  <c r="AY17" i="4"/>
  <c r="AZ17" i="4"/>
  <c r="BB17" i="4"/>
  <c r="BO17" i="4"/>
  <c r="Q17" i="4"/>
  <c r="S17" i="4"/>
  <c r="AB17" i="4"/>
  <c r="AM17" i="4"/>
  <c r="B17" i="4"/>
  <c r="C17" i="4"/>
  <c r="Z2" i="98"/>
  <c r="Y2" i="98"/>
  <c r="BW14" i="4"/>
  <c r="BX14" i="4"/>
  <c r="BZ14" i="4"/>
  <c r="CA14" i="4"/>
  <c r="CB14" i="4"/>
  <c r="CE14" i="4"/>
  <c r="CH14" i="4"/>
  <c r="CQ14" i="4"/>
  <c r="CR14" i="4"/>
  <c r="CV14" i="4"/>
  <c r="CW14" i="4"/>
  <c r="BW15" i="4"/>
  <c r="BX15" i="4"/>
  <c r="BZ15" i="4"/>
  <c r="CA15" i="4"/>
  <c r="CB15" i="4"/>
  <c r="CE15" i="4"/>
  <c r="CH15" i="4"/>
  <c r="CQ15" i="4"/>
  <c r="CR15" i="4"/>
  <c r="CV15" i="4"/>
  <c r="CW15" i="4"/>
  <c r="BW16" i="4"/>
  <c r="BX16" i="4"/>
  <c r="BY16" i="4"/>
  <c r="BZ16" i="4"/>
  <c r="CA16" i="4"/>
  <c r="CB16" i="4"/>
  <c r="CE16" i="4"/>
  <c r="CH16" i="4"/>
  <c r="CQ16" i="4"/>
  <c r="CR16" i="4"/>
  <c r="CV16" i="4"/>
  <c r="CW16" i="4"/>
  <c r="BB14" i="4"/>
  <c r="BB15" i="4"/>
  <c r="BB16" i="4"/>
  <c r="AY14" i="4"/>
  <c r="AZ14" i="4"/>
  <c r="AY15" i="4"/>
  <c r="AZ15" i="4"/>
  <c r="AY16" i="4"/>
  <c r="AZ16" i="4"/>
  <c r="Q14" i="4"/>
  <c r="S14" i="4"/>
  <c r="AB14" i="4"/>
  <c r="AM14" i="4"/>
  <c r="Q15" i="4"/>
  <c r="S15" i="4"/>
  <c r="AB15" i="4"/>
  <c r="AM15" i="4"/>
  <c r="Q16" i="4"/>
  <c r="S16" i="4"/>
  <c r="AB16" i="4"/>
  <c r="B14" i="4"/>
  <c r="C14" i="4"/>
  <c r="B15" i="4"/>
  <c r="C15" i="4"/>
  <c r="B16" i="4"/>
  <c r="C16" i="4"/>
  <c r="R25" i="5"/>
  <c r="R23" i="5"/>
  <c r="BW9" i="4"/>
  <c r="BX9" i="4"/>
  <c r="BZ9" i="4"/>
  <c r="CA9" i="4"/>
  <c r="CE9" i="4"/>
  <c r="CH9" i="4"/>
  <c r="CQ9" i="4"/>
  <c r="CR9" i="4"/>
  <c r="CV9" i="4"/>
  <c r="CW9" i="4"/>
  <c r="BW10" i="4"/>
  <c r="BX10" i="4"/>
  <c r="BZ10" i="4"/>
  <c r="CA10" i="4"/>
  <c r="CE10" i="4"/>
  <c r="CH10" i="4"/>
  <c r="CR10" i="4"/>
  <c r="CV10" i="4"/>
  <c r="CW10" i="4"/>
  <c r="BW11" i="4"/>
  <c r="BX11" i="4"/>
  <c r="BZ11" i="4"/>
  <c r="CA11" i="4"/>
  <c r="CE11" i="4"/>
  <c r="CH11" i="4"/>
  <c r="CQ11" i="4"/>
  <c r="CR11" i="4"/>
  <c r="CV11" i="4"/>
  <c r="CW11" i="4"/>
  <c r="BW12" i="4"/>
  <c r="BX12" i="4"/>
  <c r="BZ12" i="4"/>
  <c r="CA12" i="4"/>
  <c r="CB12" i="4"/>
  <c r="CE12" i="4"/>
  <c r="CH12" i="4"/>
  <c r="CQ12" i="4"/>
  <c r="CR12" i="4"/>
  <c r="CV12" i="4"/>
  <c r="CW12" i="4"/>
  <c r="BW13" i="4"/>
  <c r="BX13" i="4"/>
  <c r="BY13" i="4"/>
  <c r="BZ13" i="4"/>
  <c r="CA13" i="4"/>
  <c r="CB13" i="4"/>
  <c r="CE13" i="4"/>
  <c r="CH13" i="4"/>
  <c r="CQ13" i="4"/>
  <c r="CR13" i="4"/>
  <c r="CV13" i="4"/>
  <c r="CW13" i="4"/>
  <c r="BB9" i="4"/>
  <c r="BB10" i="4"/>
  <c r="BB11" i="4"/>
  <c r="BB12" i="4"/>
  <c r="BB13" i="4"/>
  <c r="AY9" i="4"/>
  <c r="AZ9" i="4"/>
  <c r="AY10" i="4"/>
  <c r="AZ10" i="4"/>
  <c r="AY11" i="4"/>
  <c r="AZ11" i="4"/>
  <c r="AY12" i="4"/>
  <c r="AZ12" i="4"/>
  <c r="AY13" i="4"/>
  <c r="AZ13" i="4"/>
  <c r="Q9" i="4"/>
  <c r="S9" i="4"/>
  <c r="AB9" i="4"/>
  <c r="Q10" i="4"/>
  <c r="S10" i="4"/>
  <c r="AB10" i="4"/>
  <c r="Q11" i="4"/>
  <c r="S11" i="4"/>
  <c r="AB11" i="4"/>
  <c r="AM11" i="4"/>
  <c r="Q12" i="4"/>
  <c r="S12" i="4"/>
  <c r="AB12" i="4"/>
  <c r="Q13" i="4"/>
  <c r="S13" i="4"/>
  <c r="AB13" i="4"/>
  <c r="B9" i="4"/>
  <c r="B10" i="4"/>
  <c r="B11" i="4"/>
  <c r="B12" i="4"/>
  <c r="B13" i="4"/>
  <c r="BW8" i="4"/>
  <c r="BX8" i="4"/>
  <c r="BY8" i="4"/>
  <c r="BZ8" i="4"/>
  <c r="CQ8" i="4" s="1"/>
  <c r="CA8" i="4"/>
  <c r="CR8" i="4" s="1"/>
  <c r="CE8" i="4"/>
  <c r="CH8" i="4"/>
  <c r="CV8" i="4"/>
  <c r="CW8" i="4"/>
  <c r="AY8" i="4"/>
  <c r="AZ8" i="4"/>
  <c r="BB8" i="4"/>
  <c r="AB8" i="4"/>
  <c r="Q8" i="4"/>
  <c r="S8" i="4"/>
  <c r="B8" i="4"/>
  <c r="C8" i="4"/>
  <c r="N2" i="98"/>
  <c r="AY33" i="4"/>
  <c r="AZ33" i="4"/>
  <c r="BB33" i="4"/>
  <c r="BW33" i="4"/>
  <c r="BX33" i="4"/>
  <c r="BZ33" i="4"/>
  <c r="CA33" i="4"/>
  <c r="CE33" i="4"/>
  <c r="CH33" i="4"/>
  <c r="CV33" i="4"/>
  <c r="CW33" i="4"/>
  <c r="AB33" i="4"/>
  <c r="S33" i="4"/>
  <c r="Q33" i="4"/>
  <c r="AM33" i="4" s="1"/>
  <c r="CF33" i="4" s="1"/>
  <c r="B33" i="4"/>
  <c r="C33" i="4"/>
  <c r="I2" i="98"/>
  <c r="BB31" i="4"/>
  <c r="BW31" i="4"/>
  <c r="BX31" i="4"/>
  <c r="BZ31" i="4"/>
  <c r="CA31" i="4"/>
  <c r="CR31" i="4" s="1"/>
  <c r="CE31" i="4"/>
  <c r="CH31" i="4"/>
  <c r="CV31" i="4"/>
  <c r="CW31" i="4"/>
  <c r="BB32" i="4"/>
  <c r="BW32" i="4"/>
  <c r="BX32" i="4"/>
  <c r="BZ32" i="4"/>
  <c r="CA32" i="4"/>
  <c r="CR32" i="4" s="1"/>
  <c r="CE32" i="4"/>
  <c r="CH32" i="4"/>
  <c r="CV32" i="4"/>
  <c r="CW32" i="4"/>
  <c r="AZ31" i="4"/>
  <c r="AZ32" i="4"/>
  <c r="AY31" i="4"/>
  <c r="AY32" i="4"/>
  <c r="B32" i="4"/>
  <c r="C32" i="4"/>
  <c r="AB32" i="4"/>
  <c r="AB31" i="4"/>
  <c r="S32" i="4"/>
  <c r="Q32" i="4"/>
  <c r="CP32" i="4" s="1"/>
  <c r="Q31" i="4"/>
  <c r="CP31" i="4" s="1"/>
  <c r="S31" i="4"/>
  <c r="B31" i="4"/>
  <c r="C31" i="4"/>
  <c r="AY7" i="4"/>
  <c r="CO7" i="4" s="1"/>
  <c r="AZ7" i="4"/>
  <c r="BB7" i="4"/>
  <c r="BW7" i="4"/>
  <c r="BX7" i="4"/>
  <c r="BY7" i="4"/>
  <c r="BZ7" i="4"/>
  <c r="CA7" i="4"/>
  <c r="CR7" i="4" s="1"/>
  <c r="CE7" i="4"/>
  <c r="CH7" i="4"/>
  <c r="CV7" i="4"/>
  <c r="CW7" i="4"/>
  <c r="Q7" i="4"/>
  <c r="S7" i="4"/>
  <c r="AB7" i="4"/>
  <c r="B7" i="4"/>
  <c r="C7" i="4"/>
  <c r="AY6" i="4"/>
  <c r="AZ6" i="4"/>
  <c r="BB6" i="4"/>
  <c r="BW6" i="4"/>
  <c r="BX6" i="4"/>
  <c r="BZ6" i="4"/>
  <c r="CQ6" i="4" s="1"/>
  <c r="CA6" i="4"/>
  <c r="CR6" i="4" s="1"/>
  <c r="CE6" i="4"/>
  <c r="CH6" i="4"/>
  <c r="CV6" i="4"/>
  <c r="CW6" i="4"/>
  <c r="Q6" i="4"/>
  <c r="S6" i="4"/>
  <c r="AB6" i="4"/>
  <c r="B6" i="4"/>
  <c r="C6" i="4"/>
  <c r="BP17" i="4" l="1"/>
  <c r="BQ17" i="4" s="1"/>
  <c r="AM12" i="4"/>
  <c r="CB10" i="4"/>
  <c r="CQ10" i="4"/>
  <c r="CF14" i="4"/>
  <c r="CP14" i="4"/>
  <c r="BS15" i="4"/>
  <c r="CF15" i="4"/>
  <c r="CO15" i="4"/>
  <c r="CL16" i="4"/>
  <c r="CM16" i="4" s="1"/>
  <c r="CO16" i="4"/>
  <c r="CP16" i="4"/>
  <c r="BO15" i="4"/>
  <c r="BP15" i="4" s="1"/>
  <c r="BQ15" i="4" s="1"/>
  <c r="BO16" i="4"/>
  <c r="AM10" i="4"/>
  <c r="CL15" i="4"/>
  <c r="CM15" i="4" s="1"/>
  <c r="CP15" i="4"/>
  <c r="BS16" i="4"/>
  <c r="BT16" i="4" s="1"/>
  <c r="BY9" i="4"/>
  <c r="CB9" i="4"/>
  <c r="BY10" i="4"/>
  <c r="CB11" i="4"/>
  <c r="BS14" i="4"/>
  <c r="BT14" i="4" s="1"/>
  <c r="CL14" i="4"/>
  <c r="CM14" i="4" s="1"/>
  <c r="CO14" i="4"/>
  <c r="CS14" i="4" s="1"/>
  <c r="BU15" i="4"/>
  <c r="CG16" i="4"/>
  <c r="BO14" i="4"/>
  <c r="CG15" i="4"/>
  <c r="CN15" i="4"/>
  <c r="BY11" i="4"/>
  <c r="BY14" i="4"/>
  <c r="BT15" i="4"/>
  <c r="BV15" i="4"/>
  <c r="BY15" i="4"/>
  <c r="AM16" i="4"/>
  <c r="CF11" i="4"/>
  <c r="CP11" i="4"/>
  <c r="CF12" i="4"/>
  <c r="CP12" i="4"/>
  <c r="CP13" i="4"/>
  <c r="BY32" i="4"/>
  <c r="BS9" i="4"/>
  <c r="BT9" i="4" s="1"/>
  <c r="CL9" i="4"/>
  <c r="CM9" i="4" s="1"/>
  <c r="CO9" i="4"/>
  <c r="CP9" i="4"/>
  <c r="BY12" i="4"/>
  <c r="CL12" i="4"/>
  <c r="CM12" i="4" s="1"/>
  <c r="CO12" i="4"/>
  <c r="CS12" i="4" s="1"/>
  <c r="CF10" i="4"/>
  <c r="CL10" i="4"/>
  <c r="CM10" i="4" s="1"/>
  <c r="CO10" i="4"/>
  <c r="CP10" i="4"/>
  <c r="BS10" i="4"/>
  <c r="BT10" i="4" s="1"/>
  <c r="BS11" i="4"/>
  <c r="BT11" i="4" s="1"/>
  <c r="CL11" i="4"/>
  <c r="CM11" i="4" s="1"/>
  <c r="CO11" i="4"/>
  <c r="CS11" i="4" s="1"/>
  <c r="BS12" i="4"/>
  <c r="BT12" i="4" s="1"/>
  <c r="BS13" i="4"/>
  <c r="BT13" i="4" s="1"/>
  <c r="CL13" i="4"/>
  <c r="CM13" i="4" s="1"/>
  <c r="CO13" i="4"/>
  <c r="CS13" i="4" s="1"/>
  <c r="BO9" i="4"/>
  <c r="BO10" i="4"/>
  <c r="BO11" i="4"/>
  <c r="BO12" i="4"/>
  <c r="BO13" i="4"/>
  <c r="AM9" i="4"/>
  <c r="CF9" i="4" s="1"/>
  <c r="C10" i="4"/>
  <c r="C11" i="4"/>
  <c r="C12" i="4"/>
  <c r="C13" i="4"/>
  <c r="C9" i="4"/>
  <c r="AM13" i="4"/>
  <c r="CF13" i="4" s="1"/>
  <c r="CB8" i="4"/>
  <c r="BY31" i="4"/>
  <c r="CL8" i="4"/>
  <c r="BO8" i="4"/>
  <c r="CR33" i="4"/>
  <c r="AM32" i="4"/>
  <c r="CF32" i="4" s="1"/>
  <c r="BS8" i="4"/>
  <c r="BT8" i="4" s="1"/>
  <c r="CG8" i="4"/>
  <c r="CM8" i="4"/>
  <c r="CO8" i="4"/>
  <c r="CP8" i="4"/>
  <c r="AM8" i="4"/>
  <c r="BO33" i="4"/>
  <c r="BS33" i="4"/>
  <c r="BT33" i="4" s="1"/>
  <c r="CB7" i="4"/>
  <c r="CQ7" i="4"/>
  <c r="CP33" i="4"/>
  <c r="N1" i="98"/>
  <c r="BY33" i="4"/>
  <c r="AM31" i="4"/>
  <c r="CF31" i="4" s="1"/>
  <c r="CL33" i="4"/>
  <c r="CM33" i="4" s="1"/>
  <c r="CO33" i="4"/>
  <c r="CB33" i="4"/>
  <c r="CQ33" i="4"/>
  <c r="CQ31" i="4"/>
  <c r="CB31" i="4"/>
  <c r="BO6" i="4"/>
  <c r="CG6" i="4" s="1"/>
  <c r="CO6" i="4"/>
  <c r="CQ32" i="4"/>
  <c r="CB32" i="4"/>
  <c r="BO31" i="4"/>
  <c r="BS31" i="4"/>
  <c r="BT31" i="4" s="1"/>
  <c r="CL31" i="4"/>
  <c r="CM31" i="4" s="1"/>
  <c r="CO31" i="4"/>
  <c r="CS31" i="4" s="1"/>
  <c r="CL32" i="4"/>
  <c r="CM32" i="4" s="1"/>
  <c r="CO32" i="4"/>
  <c r="BO32" i="4"/>
  <c r="BS32" i="4"/>
  <c r="BT32" i="4" s="1"/>
  <c r="BS7" i="4"/>
  <c r="BT7" i="4" s="1"/>
  <c r="BO7" i="4"/>
  <c r="CL7" i="4"/>
  <c r="CM7" i="4" s="1"/>
  <c r="AM7" i="4"/>
  <c r="CF7" i="4" s="1"/>
  <c r="CP7" i="4"/>
  <c r="AM6" i="4"/>
  <c r="CF6" i="4" s="1"/>
  <c r="BS6" i="4"/>
  <c r="BT6" i="4" s="1"/>
  <c r="CP6" i="4"/>
  <c r="CL6" i="4"/>
  <c r="CM6" i="4" s="1"/>
  <c r="BY6" i="4"/>
  <c r="CB6" i="4"/>
  <c r="AN29" i="4"/>
  <c r="CE29" i="4" s="1"/>
  <c r="AY29" i="4"/>
  <c r="BO29" i="4" s="1"/>
  <c r="AZ29" i="4"/>
  <c r="BB29" i="4"/>
  <c r="BW29" i="4"/>
  <c r="BX29" i="4"/>
  <c r="BZ29" i="4"/>
  <c r="CQ29" i="4" s="1"/>
  <c r="CA29" i="4"/>
  <c r="CR29" i="4" s="1"/>
  <c r="CH29" i="4"/>
  <c r="CV29" i="4"/>
  <c r="CW29" i="4"/>
  <c r="AN30" i="4"/>
  <c r="CE30" i="4" s="1"/>
  <c r="AY30" i="4"/>
  <c r="AZ30" i="4"/>
  <c r="BB30" i="4"/>
  <c r="BW30" i="4"/>
  <c r="BX30" i="4"/>
  <c r="BZ30" i="4"/>
  <c r="CQ30" i="4" s="1"/>
  <c r="CA30" i="4"/>
  <c r="CH30" i="4"/>
  <c r="CV30" i="4"/>
  <c r="CW30" i="4"/>
  <c r="Q29" i="4"/>
  <c r="CP29" i="4" s="1"/>
  <c r="S29" i="4"/>
  <c r="AB29" i="4"/>
  <c r="Q30" i="4"/>
  <c r="CP30" i="4" s="1"/>
  <c r="S30" i="4"/>
  <c r="AB30" i="4"/>
  <c r="B29" i="4"/>
  <c r="B30" i="4"/>
  <c r="AY25" i="4"/>
  <c r="BO25" i="4" s="1"/>
  <c r="AZ25" i="4"/>
  <c r="BB25" i="4"/>
  <c r="BW25" i="4"/>
  <c r="BX25" i="4"/>
  <c r="BZ25" i="4"/>
  <c r="CA25" i="4"/>
  <c r="CR25" i="4" s="1"/>
  <c r="CH25" i="4"/>
  <c r="CV25" i="4"/>
  <c r="CW25" i="4"/>
  <c r="AY26" i="4"/>
  <c r="AZ26" i="4"/>
  <c r="BB26" i="4"/>
  <c r="BW26" i="4"/>
  <c r="BX26" i="4"/>
  <c r="BZ26" i="4"/>
  <c r="CA26" i="4"/>
  <c r="CR26" i="4" s="1"/>
  <c r="CH26" i="4"/>
  <c r="CV26" i="4"/>
  <c r="CW26" i="4"/>
  <c r="AY27" i="4"/>
  <c r="BO27" i="4" s="1"/>
  <c r="AZ27" i="4"/>
  <c r="BB27" i="4"/>
  <c r="BW27" i="4"/>
  <c r="BX27" i="4"/>
  <c r="BZ27" i="4"/>
  <c r="CA27" i="4"/>
  <c r="CR27" i="4" s="1"/>
  <c r="CH27" i="4"/>
  <c r="CV27" i="4"/>
  <c r="CW27" i="4"/>
  <c r="AY28" i="4"/>
  <c r="AZ28" i="4"/>
  <c r="BB28" i="4"/>
  <c r="BW28" i="4"/>
  <c r="BX28" i="4"/>
  <c r="BZ28" i="4"/>
  <c r="CA28" i="4"/>
  <c r="CR28" i="4" s="1"/>
  <c r="CH28" i="4"/>
  <c r="CV28" i="4"/>
  <c r="CW28" i="4"/>
  <c r="AN25" i="4"/>
  <c r="CE25" i="4" s="1"/>
  <c r="AN26" i="4"/>
  <c r="CE26" i="4" s="1"/>
  <c r="AN27" i="4"/>
  <c r="CE27" i="4" s="1"/>
  <c r="AN28" i="4"/>
  <c r="C28" i="4" s="1"/>
  <c r="AN24" i="4"/>
  <c r="CE24" i="4" s="1"/>
  <c r="S25" i="4"/>
  <c r="AB25" i="4"/>
  <c r="S26" i="4"/>
  <c r="AB26" i="4"/>
  <c r="S27" i="4"/>
  <c r="AB27" i="4"/>
  <c r="S28" i="4"/>
  <c r="AB28" i="4"/>
  <c r="Q25" i="4"/>
  <c r="CP25" i="4" s="1"/>
  <c r="Q26" i="4"/>
  <c r="CP26" i="4" s="1"/>
  <c r="Q27" i="4"/>
  <c r="CP27" i="4" s="1"/>
  <c r="Q28" i="4"/>
  <c r="CP28" i="4" s="1"/>
  <c r="B25" i="4"/>
  <c r="B26" i="4"/>
  <c r="B27" i="4"/>
  <c r="B28" i="4"/>
  <c r="CL35" i="4"/>
  <c r="BN35" i="4"/>
  <c r="BM35" i="4"/>
  <c r="BL35" i="4"/>
  <c r="BG35" i="4"/>
  <c r="BC35" i="4"/>
  <c r="BA35" i="4"/>
  <c r="AX35" i="4"/>
  <c r="AW35" i="4"/>
  <c r="AL35" i="4"/>
  <c r="AK35" i="4"/>
  <c r="AJ35" i="4"/>
  <c r="AE35" i="4"/>
  <c r="AD35" i="4"/>
  <c r="AC35" i="4"/>
  <c r="AA35" i="4"/>
  <c r="Z35" i="4"/>
  <c r="Y35" i="4"/>
  <c r="T35" i="4"/>
  <c r="O35" i="4"/>
  <c r="CW24" i="4"/>
  <c r="CV24" i="4"/>
  <c r="CH24" i="4"/>
  <c r="CA24" i="4"/>
  <c r="BZ24" i="4"/>
  <c r="CQ24" i="4" s="1"/>
  <c r="BX24" i="4"/>
  <c r="BW24" i="4"/>
  <c r="BB24" i="4"/>
  <c r="AZ24" i="4"/>
  <c r="AY24" i="4"/>
  <c r="AB24" i="4"/>
  <c r="S24" i="4"/>
  <c r="Q24" i="4"/>
  <c r="B24" i="4"/>
  <c r="O41" i="4"/>
  <c r="AT41" i="4"/>
  <c r="G8" i="81"/>
  <c r="J11" i="81"/>
  <c r="J19" i="81"/>
  <c r="J18" i="81"/>
  <c r="J17" i="81"/>
  <c r="J16" i="81"/>
  <c r="J15" i="81"/>
  <c r="J14" i="81"/>
  <c r="J13" i="81"/>
  <c r="J12" i="81"/>
  <c r="J10" i="81"/>
  <c r="C11" i="81"/>
  <c r="C12" i="81"/>
  <c r="C13" i="81"/>
  <c r="C14" i="81"/>
  <c r="C15" i="81"/>
  <c r="C16" i="81"/>
  <c r="C17" i="81"/>
  <c r="C18" i="81"/>
  <c r="C19" i="81"/>
  <c r="C10" i="81"/>
  <c r="N5" i="81" l="1"/>
  <c r="AT42" i="4" s="1"/>
  <c r="G4" i="81"/>
  <c r="O43" i="4" s="1"/>
  <c r="CS16" i="4"/>
  <c r="CS15" i="4"/>
  <c r="CN14" i="4"/>
  <c r="CG14" i="4"/>
  <c r="BP14" i="4"/>
  <c r="CN16" i="4"/>
  <c r="CF16" i="4"/>
  <c r="BP16" i="4"/>
  <c r="CS9" i="4"/>
  <c r="CS8" i="4"/>
  <c r="BP33" i="4"/>
  <c r="CN9" i="4"/>
  <c r="CG9" i="4"/>
  <c r="BP9" i="4"/>
  <c r="CN10" i="4"/>
  <c r="CG10" i="4"/>
  <c r="BP10" i="4"/>
  <c r="CN11" i="4"/>
  <c r="CG11" i="4"/>
  <c r="BP11" i="4"/>
  <c r="CN12" i="4"/>
  <c r="CG12" i="4"/>
  <c r="BP12" i="4"/>
  <c r="CN13" i="4"/>
  <c r="CG13" i="4"/>
  <c r="BP13" i="4"/>
  <c r="CG33" i="4"/>
  <c r="CN33" i="4"/>
  <c r="CS7" i="4"/>
  <c r="CS10" i="4"/>
  <c r="CS6" i="4"/>
  <c r="CO30" i="4"/>
  <c r="Q35" i="4"/>
  <c r="BP8" i="4"/>
  <c r="CF8" i="4"/>
  <c r="CN8" i="4"/>
  <c r="CS32" i="4"/>
  <c r="CN6" i="4"/>
  <c r="BP6" i="4"/>
  <c r="CS33" i="4"/>
  <c r="BP31" i="4"/>
  <c r="CG31" i="4"/>
  <c r="CN31" i="4"/>
  <c r="CG32" i="4"/>
  <c r="BP32" i="4"/>
  <c r="CN32" i="4"/>
  <c r="CB30" i="4"/>
  <c r="CR30" i="4"/>
  <c r="S35" i="4"/>
  <c r="CG7" i="4"/>
  <c r="BP7" i="4"/>
  <c r="CN7" i="4"/>
  <c r="BY29" i="4"/>
  <c r="AM28" i="4"/>
  <c r="CF28" i="4" s="1"/>
  <c r="CO25" i="4"/>
  <c r="CO29" i="4"/>
  <c r="CS29" i="4" s="1"/>
  <c r="AM29" i="4"/>
  <c r="BY30" i="4"/>
  <c r="C29" i="4"/>
  <c r="BB35" i="4"/>
  <c r="C24" i="4"/>
  <c r="CE28" i="4"/>
  <c r="BY25" i="4"/>
  <c r="CL29" i="4"/>
  <c r="CM29" i="4" s="1"/>
  <c r="C25" i="4"/>
  <c r="BY26" i="4"/>
  <c r="CB29" i="4"/>
  <c r="BS30" i="4"/>
  <c r="BT30" i="4" s="1"/>
  <c r="BS29" i="4"/>
  <c r="BT29" i="4" s="1"/>
  <c r="AM30" i="4"/>
  <c r="CF30" i="4" s="1"/>
  <c r="CG29" i="4"/>
  <c r="BO30" i="4"/>
  <c r="CL30" i="4"/>
  <c r="CM30" i="4" s="1"/>
  <c r="C30" i="4"/>
  <c r="CO27" i="4"/>
  <c r="CL25" i="4"/>
  <c r="CM25" i="4" s="1"/>
  <c r="CB27" i="4"/>
  <c r="CB25" i="4"/>
  <c r="CB28" i="4"/>
  <c r="CL27" i="4"/>
  <c r="CM27" i="4" s="1"/>
  <c r="BS27" i="4"/>
  <c r="BT27" i="4" s="1"/>
  <c r="CG27" i="4"/>
  <c r="CB26" i="4"/>
  <c r="C27" i="4"/>
  <c r="AM27" i="4"/>
  <c r="CF27" i="4" s="1"/>
  <c r="C26" i="4"/>
  <c r="AM26" i="4"/>
  <c r="CF26" i="4" s="1"/>
  <c r="BS28" i="4"/>
  <c r="BT28" i="4" s="1"/>
  <c r="BS26" i="4"/>
  <c r="BT26" i="4" s="1"/>
  <c r="CQ28" i="4"/>
  <c r="AM25" i="4"/>
  <c r="BY27" i="4"/>
  <c r="CQ25" i="4"/>
  <c r="CQ26" i="4"/>
  <c r="BY28" i="4"/>
  <c r="CG25" i="4"/>
  <c r="BO28" i="4"/>
  <c r="BO26" i="4"/>
  <c r="CQ27" i="4"/>
  <c r="BS25" i="4"/>
  <c r="BT25" i="4" s="1"/>
  <c r="CO26" i="4"/>
  <c r="AY35" i="4"/>
  <c r="CO28" i="4"/>
  <c r="CL28" i="4"/>
  <c r="CM28" i="4" s="1"/>
  <c r="CL26" i="4"/>
  <c r="CM26" i="4" s="1"/>
  <c r="BX35" i="4"/>
  <c r="BS24" i="4"/>
  <c r="BT24" i="4" s="1"/>
  <c r="AB35" i="4"/>
  <c r="BO24" i="4"/>
  <c r="CG24" i="4" s="1"/>
  <c r="BY24" i="4"/>
  <c r="AM24" i="4"/>
  <c r="CA35" i="4"/>
  <c r="CP24" i="4"/>
  <c r="CQ35" i="4" s="1"/>
  <c r="CR24" i="4"/>
  <c r="CB24" i="4"/>
  <c r="CL24" i="4"/>
  <c r="CO24" i="4"/>
  <c r="BW5" i="4"/>
  <c r="BX5" i="4"/>
  <c r="BZ5" i="4"/>
  <c r="CQ5" i="4" s="1"/>
  <c r="CA5" i="4"/>
  <c r="CR5" i="4" s="1"/>
  <c r="CE5" i="4"/>
  <c r="CH5" i="4"/>
  <c r="CV5" i="4"/>
  <c r="CW5" i="4"/>
  <c r="AY5" i="4"/>
  <c r="BO5" i="4" s="1"/>
  <c r="AZ5" i="4"/>
  <c r="BB5" i="4"/>
  <c r="Q5" i="4"/>
  <c r="S5" i="4"/>
  <c r="AB5" i="4"/>
  <c r="B5" i="4"/>
  <c r="C5" i="4"/>
  <c r="E11" i="5" s="1"/>
  <c r="BU14" i="4" l="1"/>
  <c r="BV14" i="4" s="1"/>
  <c r="BQ14" i="4"/>
  <c r="BU16" i="4"/>
  <c r="BV16" i="4" s="1"/>
  <c r="BQ16" i="4"/>
  <c r="BU33" i="4"/>
  <c r="BV33" i="4" s="1"/>
  <c r="BQ33" i="4"/>
  <c r="BQ9" i="4"/>
  <c r="BU9" i="4"/>
  <c r="BV9" i="4" s="1"/>
  <c r="BQ10" i="4"/>
  <c r="BU10" i="4"/>
  <c r="BV10" i="4" s="1"/>
  <c r="BQ11" i="4"/>
  <c r="BU11" i="4"/>
  <c r="BV11" i="4" s="1"/>
  <c r="BQ12" i="4"/>
  <c r="BU12" i="4"/>
  <c r="BV12" i="4" s="1"/>
  <c r="BQ13" i="4"/>
  <c r="BU13" i="4"/>
  <c r="BV13" i="4" s="1"/>
  <c r="CS30" i="4"/>
  <c r="BQ6" i="4"/>
  <c r="BU6" i="4"/>
  <c r="BV6" i="4" s="1"/>
  <c r="BU8" i="4"/>
  <c r="BV8" i="4" s="1"/>
  <c r="BQ8" i="4"/>
  <c r="CS35" i="4"/>
  <c r="BU31" i="4"/>
  <c r="BV31" i="4" s="1"/>
  <c r="BQ31" i="4"/>
  <c r="BU32" i="4"/>
  <c r="BV32" i="4" s="1"/>
  <c r="BQ32" i="4"/>
  <c r="CF25" i="4"/>
  <c r="CN25" i="4"/>
  <c r="BP25" i="4"/>
  <c r="BU7" i="4"/>
  <c r="BV7" i="4" s="1"/>
  <c r="BQ7" i="4"/>
  <c r="CF29" i="4"/>
  <c r="CN29" i="4"/>
  <c r="BP29" i="4"/>
  <c r="CS28" i="4"/>
  <c r="CS25" i="4"/>
  <c r="BP24" i="4"/>
  <c r="D11" i="5"/>
  <c r="D12" i="5" s="1"/>
  <c r="D13" i="5" s="1"/>
  <c r="CN24" i="4"/>
  <c r="CS27" i="4"/>
  <c r="BP30" i="4"/>
  <c r="CN30" i="4"/>
  <c r="CG30" i="4"/>
  <c r="AM35" i="4"/>
  <c r="CS26" i="4"/>
  <c r="CN27" i="4"/>
  <c r="BP27" i="4"/>
  <c r="CR35" i="4"/>
  <c r="BZ35" i="4"/>
  <c r="CG26" i="4"/>
  <c r="CN26" i="4"/>
  <c r="BP26" i="4"/>
  <c r="BS35" i="4"/>
  <c r="CG28" i="4"/>
  <c r="CN28" i="4"/>
  <c r="BP28" i="4"/>
  <c r="BO35" i="4"/>
  <c r="CF24" i="4"/>
  <c r="CM24" i="4"/>
  <c r="CN35" i="4" s="1"/>
  <c r="CM35" i="4"/>
  <c r="CP35" i="4"/>
  <c r="CS24" i="4"/>
  <c r="J6" i="5"/>
  <c r="I7" i="5"/>
  <c r="J7" i="5"/>
  <c r="K6" i="5"/>
  <c r="L6" i="5"/>
  <c r="K7" i="5"/>
  <c r="G6" i="5"/>
  <c r="M6" i="5"/>
  <c r="L7" i="5"/>
  <c r="N7" i="5"/>
  <c r="N6" i="5"/>
  <c r="M7" i="5"/>
  <c r="F7" i="5"/>
  <c r="O6" i="5"/>
  <c r="P6" i="5"/>
  <c r="O7" i="5"/>
  <c r="E6" i="5"/>
  <c r="Q6" i="5"/>
  <c r="P7" i="5"/>
  <c r="Q7" i="5"/>
  <c r="F6" i="5"/>
  <c r="E7" i="5"/>
  <c r="H6" i="5"/>
  <c r="G7" i="5"/>
  <c r="H7" i="5"/>
  <c r="I6" i="5"/>
  <c r="BY5" i="4"/>
  <c r="AM5" i="4"/>
  <c r="CF5" i="4" s="1"/>
  <c r="CG5" i="4"/>
  <c r="CP5" i="4"/>
  <c r="CO5" i="4"/>
  <c r="BS5" i="4"/>
  <c r="BT5" i="4" s="1"/>
  <c r="CB5" i="4"/>
  <c r="CL5" i="4"/>
  <c r="CM5" i="4" s="1"/>
  <c r="M2" i="5"/>
  <c r="L2" i="5"/>
  <c r="BQ29" i="4" l="1"/>
  <c r="BU29" i="4"/>
  <c r="BV29" i="4" s="1"/>
  <c r="BQ25" i="4"/>
  <c r="BU25" i="4"/>
  <c r="BV25" i="4" s="1"/>
  <c r="BQ24" i="4"/>
  <c r="BU24" i="4"/>
  <c r="BV24" i="4" s="1"/>
  <c r="CS5" i="4"/>
  <c r="CO35" i="4"/>
  <c r="BQ30" i="4"/>
  <c r="BU30" i="4"/>
  <c r="BV30" i="4" s="1"/>
  <c r="BQ27" i="4"/>
  <c r="BU27" i="4"/>
  <c r="BV27" i="4" s="1"/>
  <c r="BU28" i="4"/>
  <c r="BV28" i="4" s="1"/>
  <c r="BQ28" i="4"/>
  <c r="BU26" i="4"/>
  <c r="BV26" i="4" s="1"/>
  <c r="BQ26" i="4"/>
  <c r="BP35" i="4"/>
  <c r="CN5" i="4"/>
  <c r="BP5" i="4"/>
  <c r="BW35" i="4" l="1"/>
  <c r="BU5" i="4"/>
  <c r="BV5" i="4" s="1"/>
  <c r="BQ5" i="4"/>
  <c r="C5" i="95" a="1"/>
  <c r="G5" i="95" s="1"/>
  <c r="G3" i="95" s="1"/>
  <c r="D6" i="95" l="1"/>
  <c r="L5" i="95" a="1"/>
  <c r="D5" i="95"/>
  <c r="L6" i="95" a="1"/>
  <c r="J2" i="98"/>
  <c r="R14" i="5"/>
  <c r="R3" i="5" l="1"/>
  <c r="D33" i="5"/>
  <c r="E33" i="5"/>
  <c r="F33" i="5"/>
  <c r="G33" i="5"/>
  <c r="H33" i="5"/>
  <c r="I33" i="5"/>
  <c r="J33" i="5"/>
  <c r="K33" i="5"/>
  <c r="N33" i="5"/>
  <c r="O33" i="5"/>
  <c r="P33" i="5"/>
  <c r="Q33" i="5"/>
  <c r="R33" i="5"/>
  <c r="D39" i="5"/>
  <c r="D44" i="5" s="1"/>
  <c r="D51" i="5" s="1"/>
  <c r="E39" i="5"/>
  <c r="E44" i="5" s="1"/>
  <c r="E51" i="5" s="1"/>
  <c r="F39" i="5"/>
  <c r="F44" i="5" s="1"/>
  <c r="F51" i="5" s="1"/>
  <c r="G39" i="5"/>
  <c r="G44" i="5" s="1"/>
  <c r="G51" i="5" s="1"/>
  <c r="H39" i="5"/>
  <c r="H44" i="5" s="1"/>
  <c r="H51" i="5" s="1"/>
  <c r="I39" i="5"/>
  <c r="I44" i="5" s="1"/>
  <c r="I51" i="5" s="1"/>
  <c r="J39" i="5"/>
  <c r="J44" i="5" s="1"/>
  <c r="J51" i="5" s="1"/>
  <c r="K39" i="5"/>
  <c r="K44" i="5" s="1"/>
  <c r="K51" i="5" s="1"/>
  <c r="N39" i="5"/>
  <c r="N44" i="5" s="1"/>
  <c r="N51" i="5" s="1"/>
  <c r="O39" i="5"/>
  <c r="O44" i="5" s="1"/>
  <c r="O51" i="5" s="1"/>
  <c r="P39" i="5"/>
  <c r="P44" i="5" s="1"/>
  <c r="P51" i="5" s="1"/>
  <c r="Q39" i="5"/>
  <c r="Q44" i="5" s="1"/>
  <c r="Q51" i="5" s="1"/>
  <c r="R39" i="5"/>
  <c r="R44" i="5" s="1"/>
  <c r="R51" i="5" s="1"/>
  <c r="R45" i="5"/>
  <c r="R46" i="5"/>
  <c r="R47" i="5"/>
  <c r="H48" i="5"/>
  <c r="R49" i="5"/>
  <c r="C64" i="5"/>
  <c r="D64" i="5" s="1"/>
  <c r="E64" i="5" l="1"/>
  <c r="C65" i="5"/>
  <c r="AC19" i="4" l="1"/>
  <c r="K53" i="5" l="1"/>
  <c r="J22" i="5" a="1"/>
  <c r="L11" i="5"/>
  <c r="J53" i="5"/>
  <c r="J59" i="5"/>
  <c r="K22" i="5" a="1"/>
  <c r="M11" i="5"/>
  <c r="J56" i="5"/>
  <c r="J60" i="5"/>
  <c r="L22" i="5" a="1"/>
  <c r="J10" i="5"/>
  <c r="J5" i="5"/>
  <c r="K10" i="5"/>
  <c r="K5" i="5"/>
  <c r="J61" i="5"/>
  <c r="M22" i="5" a="1"/>
  <c r="M28" i="5"/>
  <c r="K61" i="5"/>
  <c r="L10" i="5"/>
  <c r="L5" i="5"/>
  <c r="K11" i="5"/>
  <c r="L61" i="5"/>
  <c r="M10" i="5"/>
  <c r="M5" i="5"/>
  <c r="N5" i="5"/>
  <c r="J30" i="5"/>
  <c r="J28" i="5"/>
  <c r="L30" i="5"/>
  <c r="M30" i="5"/>
  <c r="J52" i="5"/>
  <c r="K28" i="5"/>
  <c r="K29" i="5" s="1"/>
  <c r="J11" i="5"/>
  <c r="L19" i="5" a="1"/>
  <c r="M53" i="5"/>
  <c r="M56" i="5"/>
  <c r="L21" i="5" a="1"/>
  <c r="L20" i="5" a="1"/>
  <c r="M19" i="5" a="1"/>
  <c r="L53" i="5"/>
  <c r="L59" i="5"/>
  <c r="M59" i="5"/>
  <c r="L56" i="5"/>
  <c r="M21" i="5" a="1"/>
  <c r="M60" i="5"/>
  <c r="M20" i="5" a="1"/>
  <c r="M52" i="5"/>
  <c r="K59" i="5"/>
  <c r="K30" i="5"/>
  <c r="L60" i="5"/>
  <c r="K56" i="5"/>
  <c r="L52" i="5"/>
  <c r="M61" i="5"/>
  <c r="K60" i="5"/>
  <c r="L28" i="5"/>
  <c r="L29" i="5" s="1"/>
  <c r="K52" i="5"/>
  <c r="H28" i="5"/>
  <c r="G28" i="5"/>
  <c r="F28" i="5"/>
  <c r="Q5" i="5"/>
  <c r="F11" i="5"/>
  <c r="P22" i="5" a="1"/>
  <c r="P56" i="5"/>
  <c r="P59" i="5"/>
  <c r="Q60" i="5"/>
  <c r="F10" i="5"/>
  <c r="G11" i="5"/>
  <c r="Q22" i="5" a="1"/>
  <c r="Q56" i="5"/>
  <c r="Q59" i="5"/>
  <c r="D61" i="5"/>
  <c r="D59" i="5"/>
  <c r="P61" i="5"/>
  <c r="H10" i="5"/>
  <c r="H11" i="5"/>
  <c r="G30" i="5"/>
  <c r="D56" i="5"/>
  <c r="D60" i="5"/>
  <c r="N59" i="5"/>
  <c r="F5" i="5"/>
  <c r="I10" i="5"/>
  <c r="I11" i="5"/>
  <c r="E22" i="5" a="1"/>
  <c r="H30" i="5"/>
  <c r="E56" i="5"/>
  <c r="G5" i="5"/>
  <c r="F22" i="5" a="1"/>
  <c r="I28" i="5"/>
  <c r="I30" i="5"/>
  <c r="F56" i="5"/>
  <c r="H61" i="5"/>
  <c r="Q61" i="5"/>
  <c r="H5" i="5"/>
  <c r="G22" i="5" a="1"/>
  <c r="G56" i="5"/>
  <c r="H60" i="5"/>
  <c r="I61" i="5"/>
  <c r="O60" i="5"/>
  <c r="I5" i="5"/>
  <c r="N10" i="5"/>
  <c r="N11" i="5"/>
  <c r="H22" i="5" a="1"/>
  <c r="H56" i="5"/>
  <c r="H59" i="5"/>
  <c r="I60" i="5"/>
  <c r="O30" i="5"/>
  <c r="O10" i="5"/>
  <c r="O11" i="5"/>
  <c r="I22" i="5" a="1"/>
  <c r="N28" i="5"/>
  <c r="N30" i="5"/>
  <c r="I56" i="5"/>
  <c r="I59" i="5"/>
  <c r="O28" i="5"/>
  <c r="P10" i="5"/>
  <c r="P11" i="5"/>
  <c r="N61" i="5"/>
  <c r="O61" i="5"/>
  <c r="Q10" i="5"/>
  <c r="Q11" i="5"/>
  <c r="P28" i="5"/>
  <c r="P30" i="5"/>
  <c r="N60" i="5"/>
  <c r="O5" i="5"/>
  <c r="N22" i="5" a="1"/>
  <c r="Q28" i="5"/>
  <c r="Q30" i="5"/>
  <c r="N56" i="5"/>
  <c r="P5" i="5"/>
  <c r="O22" i="5" a="1"/>
  <c r="O56" i="5"/>
  <c r="O59" i="5"/>
  <c r="P60" i="5"/>
  <c r="G52" i="5"/>
  <c r="N53" i="5"/>
  <c r="Q53" i="5"/>
  <c r="P53" i="5"/>
  <c r="G53" i="5"/>
  <c r="Q52" i="5"/>
  <c r="E53" i="5"/>
  <c r="I52" i="5"/>
  <c r="D52" i="5"/>
  <c r="I53" i="5"/>
  <c r="N52" i="5"/>
  <c r="D53" i="5"/>
  <c r="F52" i="5"/>
  <c r="P52" i="5"/>
  <c r="F53" i="5"/>
  <c r="H52" i="5"/>
  <c r="O52" i="5"/>
  <c r="H53" i="5"/>
  <c r="O53" i="5"/>
  <c r="G60" i="5"/>
  <c r="G10" i="5"/>
  <c r="E6" i="95"/>
  <c r="E28" i="5"/>
  <c r="E52" i="5"/>
  <c r="J41" i="5" l="1"/>
  <c r="M15" i="5"/>
  <c r="J6" i="95"/>
  <c r="L15" i="5"/>
  <c r="I6" i="95"/>
  <c r="M6" i="95" s="1"/>
  <c r="E5" i="95"/>
  <c r="D41" i="5"/>
  <c r="M29" i="5"/>
  <c r="J40" i="5"/>
  <c r="M35" i="5"/>
  <c r="J18" i="5"/>
  <c r="J29" i="5"/>
  <c r="K35" i="5"/>
  <c r="R28" i="5"/>
  <c r="K31" i="5"/>
  <c r="L42" i="5"/>
  <c r="L48" i="5"/>
  <c r="J35" i="5"/>
  <c r="J26" i="5"/>
  <c r="J17" i="5"/>
  <c r="J12" i="5"/>
  <c r="J13" i="5" s="1"/>
  <c r="J24" i="5"/>
  <c r="J8" i="5"/>
  <c r="J9" i="5" s="1"/>
  <c r="J16" i="5"/>
  <c r="J34" i="5"/>
  <c r="L18" i="5"/>
  <c r="L41" i="5"/>
  <c r="J31" i="5"/>
  <c r="M40" i="5"/>
  <c r="M24" i="5"/>
  <c r="M12" i="5"/>
  <c r="M13" i="5" s="1"/>
  <c r="M34" i="5"/>
  <c r="M8" i="5"/>
  <c r="M9" i="5" s="1"/>
  <c r="M16" i="5"/>
  <c r="K40" i="5"/>
  <c r="K12" i="5"/>
  <c r="K13" i="5" s="1"/>
  <c r="K24" i="5"/>
  <c r="K16" i="5"/>
  <c r="K34" i="5"/>
  <c r="K8" i="5"/>
  <c r="K9" i="5" s="1"/>
  <c r="K26" i="5"/>
  <c r="K17" i="5"/>
  <c r="M31" i="5"/>
  <c r="M17" i="5"/>
  <c r="M26" i="5"/>
  <c r="L17" i="5"/>
  <c r="L35" i="5"/>
  <c r="L26" i="5"/>
  <c r="M18" i="5"/>
  <c r="M41" i="5"/>
  <c r="M48" i="5"/>
  <c r="M42" i="5"/>
  <c r="K18" i="5"/>
  <c r="K41" i="5"/>
  <c r="L16" i="5"/>
  <c r="L8" i="5"/>
  <c r="L9" i="5" s="1"/>
  <c r="L34" i="5"/>
  <c r="L24" i="5"/>
  <c r="L40" i="5"/>
  <c r="L12" i="5"/>
  <c r="L13" i="5" s="1"/>
  <c r="K15" i="5"/>
  <c r="L31" i="5"/>
  <c r="J15" i="5"/>
  <c r="P8" i="5"/>
  <c r="P9" i="5" s="1"/>
  <c r="Q8" i="5"/>
  <c r="Q9" i="5" s="1"/>
  <c r="O8" i="5"/>
  <c r="O9" i="5" s="1"/>
  <c r="N8" i="5"/>
  <c r="N9" i="5" s="1"/>
  <c r="I5" i="95"/>
  <c r="M5" i="95" s="1"/>
  <c r="J5" i="95"/>
  <c r="E5" i="5"/>
  <c r="F41" i="5" s="1"/>
  <c r="I41" i="5"/>
  <c r="F60" i="5"/>
  <c r="H34" i="5"/>
  <c r="N35" i="5"/>
  <c r="I29" i="5"/>
  <c r="O35" i="5"/>
  <c r="P31" i="5"/>
  <c r="Q31" i="5"/>
  <c r="Q35" i="5"/>
  <c r="G41" i="5"/>
  <c r="P34" i="5"/>
  <c r="P29" i="5"/>
  <c r="H31" i="5"/>
  <c r="R53" i="5"/>
  <c r="P41" i="5"/>
  <c r="R11" i="5"/>
  <c r="Q34" i="5"/>
  <c r="N29" i="5"/>
  <c r="R56" i="5"/>
  <c r="Q24" i="5"/>
  <c r="Q40" i="5"/>
  <c r="Q12" i="5"/>
  <c r="Q13" i="5" s="1"/>
  <c r="Q16" i="5"/>
  <c r="P15" i="5"/>
  <c r="P18" i="5"/>
  <c r="F30" i="5"/>
  <c r="O26" i="5"/>
  <c r="O17" i="5"/>
  <c r="G59" i="5"/>
  <c r="N16" i="5"/>
  <c r="N24" i="5"/>
  <c r="N40" i="5"/>
  <c r="N12" i="5"/>
  <c r="N13" i="5" s="1"/>
  <c r="N34" i="5"/>
  <c r="O15" i="5"/>
  <c r="O18" i="5"/>
  <c r="F59" i="5"/>
  <c r="H18" i="5"/>
  <c r="H15" i="5"/>
  <c r="E10" i="5"/>
  <c r="Q18" i="5"/>
  <c r="Q15" i="5"/>
  <c r="N26" i="5"/>
  <c r="N17" i="5"/>
  <c r="F18" i="5"/>
  <c r="R52" i="5"/>
  <c r="Q29" i="5"/>
  <c r="P26" i="5"/>
  <c r="P17" i="5"/>
  <c r="I31" i="5"/>
  <c r="I18" i="5"/>
  <c r="I15" i="5"/>
  <c r="Q41" i="5"/>
  <c r="O12" i="5"/>
  <c r="O13" i="5" s="1"/>
  <c r="O24" i="5"/>
  <c r="O16" i="5"/>
  <c r="O34" i="5"/>
  <c r="O40" i="5"/>
  <c r="H26" i="5"/>
  <c r="H17" i="5"/>
  <c r="H35" i="5"/>
  <c r="N41" i="5"/>
  <c r="O29" i="5"/>
  <c r="N18" i="5"/>
  <c r="N15" i="5"/>
  <c r="Q17" i="5"/>
  <c r="Q26" i="5"/>
  <c r="P24" i="5"/>
  <c r="P12" i="5"/>
  <c r="P13" i="5" s="1"/>
  <c r="P16" i="5"/>
  <c r="P40" i="5"/>
  <c r="O31" i="5"/>
  <c r="G61" i="5"/>
  <c r="O41" i="5"/>
  <c r="I24" i="5"/>
  <c r="I40" i="5"/>
  <c r="I16" i="5"/>
  <c r="I8" i="5"/>
  <c r="I9" i="5" s="1"/>
  <c r="I12" i="5"/>
  <c r="I13" i="5" s="1"/>
  <c r="I34" i="5"/>
  <c r="I26" i="5"/>
  <c r="I35" i="5"/>
  <c r="I17" i="5"/>
  <c r="G16" i="5"/>
  <c r="G24" i="5"/>
  <c r="G34" i="5"/>
  <c r="G29" i="5"/>
  <c r="P35" i="5"/>
  <c r="N31" i="5"/>
  <c r="H41" i="5"/>
  <c r="H16" i="5"/>
  <c r="H12" i="5"/>
  <c r="H13" i="5" s="1"/>
  <c r="H8" i="5"/>
  <c r="H9" i="5" s="1"/>
  <c r="H24" i="5"/>
  <c r="H40" i="5"/>
  <c r="H29" i="5"/>
  <c r="G18" i="5"/>
  <c r="G15" i="5"/>
  <c r="G26" i="5"/>
  <c r="G31" i="5"/>
  <c r="G17" i="5"/>
  <c r="G8" i="5"/>
  <c r="G35" i="5"/>
  <c r="G12" i="5"/>
  <c r="B5" i="95" a="1"/>
  <c r="E4" i="97" a="1"/>
  <c r="B3" i="95" l="1"/>
  <c r="R21" i="5" s="1"/>
  <c r="R10" i="5"/>
  <c r="E12" i="5"/>
  <c r="K36" i="5"/>
  <c r="K37" i="5" s="1"/>
  <c r="K6" i="95"/>
  <c r="F6" i="95"/>
  <c r="D18" i="5"/>
  <c r="M36" i="5"/>
  <c r="M37" i="5" s="1"/>
  <c r="L27" i="5"/>
  <c r="L36" i="5"/>
  <c r="L37" i="5" s="1"/>
  <c r="K27" i="5"/>
  <c r="J36" i="5"/>
  <c r="J37" i="5" s="1"/>
  <c r="E65" i="5"/>
  <c r="D65" i="5"/>
  <c r="J27" i="5"/>
  <c r="M27" i="5"/>
  <c r="K5" i="95"/>
  <c r="BO19" i="4"/>
  <c r="F5" i="95"/>
  <c r="R5" i="5"/>
  <c r="E41" i="5"/>
  <c r="O27" i="5"/>
  <c r="I27" i="5"/>
  <c r="H27" i="5"/>
  <c r="G27" i="5"/>
  <c r="N27" i="5"/>
  <c r="Q27" i="5"/>
  <c r="P27" i="5"/>
  <c r="N36" i="5"/>
  <c r="N37" i="5" s="1"/>
  <c r="O36" i="5"/>
  <c r="O37" i="5" s="1"/>
  <c r="H36" i="5"/>
  <c r="H37" i="5" s="1"/>
  <c r="F61" i="5"/>
  <c r="P36" i="5"/>
  <c r="P37" i="5" s="1"/>
  <c r="Q36" i="5"/>
  <c r="Q37" i="5" s="1"/>
  <c r="I36" i="5"/>
  <c r="I37" i="5" s="1"/>
  <c r="F26" i="5"/>
  <c r="F17" i="5"/>
  <c r="F35" i="5"/>
  <c r="E60" i="5"/>
  <c r="R60" i="5" s="1"/>
  <c r="E59" i="5"/>
  <c r="R59" i="5" s="1"/>
  <c r="E15" i="5"/>
  <c r="E30" i="5"/>
  <c r="E18" i="5"/>
  <c r="F29" i="5"/>
  <c r="F24" i="5"/>
  <c r="F8" i="5"/>
  <c r="F9" i="5" s="1"/>
  <c r="F34" i="5"/>
  <c r="F16" i="5"/>
  <c r="F12" i="5"/>
  <c r="F13" i="5" s="1"/>
  <c r="F31" i="5"/>
  <c r="F15" i="5"/>
  <c r="G40" i="5"/>
  <c r="G13" i="5"/>
  <c r="G9" i="5"/>
  <c r="G36" i="5"/>
  <c r="G37" i="5" s="1"/>
  <c r="E61" i="5"/>
  <c r="C4" i="97" a="1"/>
  <c r="R18" i="5" l="1"/>
  <c r="F3" i="95"/>
  <c r="H6" i="95"/>
  <c r="D40" i="5"/>
  <c r="D34" i="5"/>
  <c r="D24" i="5"/>
  <c r="D8" i="5"/>
  <c r="D9" i="5" s="1"/>
  <c r="D29" i="5"/>
  <c r="D16" i="5"/>
  <c r="D31" i="5"/>
  <c r="D35" i="5"/>
  <c r="D17" i="5"/>
  <c r="D26" i="5"/>
  <c r="D15" i="5"/>
  <c r="BP19" i="4"/>
  <c r="H5" i="95"/>
  <c r="F27" i="5"/>
  <c r="R61" i="5"/>
  <c r="E26" i="5"/>
  <c r="E17" i="5"/>
  <c r="E35" i="5"/>
  <c r="R7" i="5"/>
  <c r="E31" i="5"/>
  <c r="R30" i="5"/>
  <c r="E16" i="5"/>
  <c r="E24" i="5"/>
  <c r="E8" i="5"/>
  <c r="E40" i="5"/>
  <c r="E29" i="5"/>
  <c r="E34" i="5"/>
  <c r="R6" i="5"/>
  <c r="F40" i="5"/>
  <c r="F36" i="5"/>
  <c r="F37" i="5" s="1"/>
  <c r="B4" i="97" s="1"/>
  <c r="B2" i="97" s="1"/>
  <c r="R20" i="5" s="1"/>
  <c r="T32" i="81"/>
  <c r="N6" i="81"/>
  <c r="AD19" i="4"/>
  <c r="AE19" i="4"/>
  <c r="AJ19" i="4"/>
  <c r="R35" i="5" l="1"/>
  <c r="D27" i="5"/>
  <c r="D36" i="5"/>
  <c r="D37" i="5" s="1"/>
  <c r="R24" i="5"/>
  <c r="F2" i="95"/>
  <c r="E27" i="5"/>
  <c r="R31" i="5"/>
  <c r="E13" i="5"/>
  <c r="R12" i="5"/>
  <c r="R13" i="5" s="1"/>
  <c r="E9" i="5"/>
  <c r="R8" i="5"/>
  <c r="R17" i="5"/>
  <c r="R26" i="5"/>
  <c r="R16" i="5"/>
  <c r="R29" i="5"/>
  <c r="R15" i="5"/>
  <c r="E36" i="5"/>
  <c r="E37" i="5" s="1"/>
  <c r="R34" i="5"/>
  <c r="C3" i="95"/>
  <c r="R9" i="5" l="1"/>
  <c r="G2" i="95"/>
  <c r="R36" i="5"/>
  <c r="R37" i="5" s="1"/>
  <c r="R27" i="5"/>
  <c r="D66" i="5"/>
  <c r="AC42" i="4"/>
  <c r="D7" i="84"/>
  <c r="G6" i="81"/>
  <c r="G7" i="84" l="1"/>
  <c r="CQ19" i="4" l="1"/>
  <c r="CP19" i="4"/>
  <c r="CR19" i="4"/>
  <c r="E3" i="95" l="1"/>
  <c r="L3" i="95"/>
  <c r="CS19" i="4"/>
  <c r="M3" i="95" l="1"/>
  <c r="CO19" i="4"/>
  <c r="CM19" i="4"/>
  <c r="CL19" i="4"/>
  <c r="CG19" i="4" l="1"/>
  <c r="CN19" i="4" l="1"/>
  <c r="BL19" i="4" l="1"/>
  <c r="E2" i="97" l="1"/>
  <c r="Q26" i="80"/>
  <c r="O45" i="4"/>
  <c r="Q8" i="80"/>
  <c r="D8" i="84" s="1"/>
  <c r="G13" i="84"/>
  <c r="D12" i="84"/>
  <c r="J10" i="84"/>
  <c r="D10" i="84"/>
  <c r="J8" i="84"/>
  <c r="G8" i="84"/>
  <c r="AA700" i="80"/>
  <c r="F29" i="80"/>
  <c r="C29" i="80"/>
  <c r="N18" i="80"/>
  <c r="M18" i="80"/>
  <c r="J18" i="80"/>
  <c r="G18" i="80"/>
  <c r="F18" i="80"/>
  <c r="C18" i="80"/>
  <c r="AK65" i="4"/>
  <c r="BJ58" i="4"/>
  <c r="BJ59" i="4" s="1"/>
  <c r="AT44" i="4"/>
  <c r="AU39" i="4"/>
  <c r="AD39" i="4"/>
  <c r="J4" i="80" s="1"/>
  <c r="BG19" i="4"/>
  <c r="BC19" i="4"/>
  <c r="BA19" i="4"/>
  <c r="AA19" i="4"/>
  <c r="T19" i="4"/>
  <c r="Q2" i="5"/>
  <c r="P2" i="5"/>
  <c r="O2" i="5"/>
  <c r="N2" i="5"/>
  <c r="K2" i="5"/>
  <c r="J2" i="5"/>
  <c r="I2" i="5"/>
  <c r="H2" i="5"/>
  <c r="G2" i="5"/>
  <c r="F2" i="5"/>
  <c r="E2" i="5"/>
  <c r="D2" i="5"/>
  <c r="G10" i="84"/>
  <c r="J21" i="5" l="1" a="1"/>
  <c r="J20" i="5" a="1"/>
  <c r="J19" i="5" a="1"/>
  <c r="K21" i="5" a="1"/>
  <c r="K19" i="5" a="1"/>
  <c r="K20" i="5" a="1"/>
  <c r="O21" i="5" a="1"/>
  <c r="O20" i="5" a="1"/>
  <c r="O19" i="5" a="1"/>
  <c r="E20" i="5" a="1"/>
  <c r="E21" i="5" a="1"/>
  <c r="E19" i="5" a="1"/>
  <c r="F19" i="5" a="1"/>
  <c r="F21" i="5" a="1"/>
  <c r="F20" i="5" a="1"/>
  <c r="Q19" i="5" a="1"/>
  <c r="Q20" i="5" a="1"/>
  <c r="Q21" i="5" a="1"/>
  <c r="D19" i="5" a="1"/>
  <c r="D20" i="5" a="1"/>
  <c r="D22" i="5" a="1"/>
  <c r="R22" i="5" s="1"/>
  <c r="D21" i="5" a="1"/>
  <c r="I19" i="5" a="1"/>
  <c r="I21" i="5" a="1"/>
  <c r="I20" i="5" a="1"/>
  <c r="N19" i="5" a="1"/>
  <c r="N20" i="5" a="1"/>
  <c r="N21" i="5" a="1"/>
  <c r="P21" i="5" a="1"/>
  <c r="P19" i="5" a="1"/>
  <c r="P20" i="5" a="1"/>
  <c r="G20" i="5" a="1"/>
  <c r="G19" i="5" a="1"/>
  <c r="G21" i="5" a="1"/>
  <c r="H21" i="5" a="1"/>
  <c r="H19" i="5" a="1"/>
  <c r="H20" i="5" a="1"/>
  <c r="G11" i="84"/>
  <c r="O44" i="4"/>
  <c r="J7" i="84"/>
  <c r="AT43" i="4"/>
  <c r="D9" i="84" s="1"/>
  <c r="AK19" i="4"/>
  <c r="BM19" i="4"/>
  <c r="O19" i="4"/>
  <c r="Z19" i="4"/>
  <c r="AX19" i="4"/>
  <c r="AW19" i="4"/>
  <c r="J6" i="80" s="1"/>
  <c r="J10" i="80" s="1"/>
  <c r="Y19" i="4"/>
  <c r="D4" i="97"/>
  <c r="AB19" i="4"/>
  <c r="S10" i="5" s="1"/>
  <c r="AC38" i="4" l="1"/>
  <c r="K48" i="5"/>
  <c r="K42" i="5"/>
  <c r="J42" i="5"/>
  <c r="J48" i="5"/>
  <c r="Q42" i="5"/>
  <c r="Q48" i="5"/>
  <c r="F48" i="5"/>
  <c r="F42" i="5"/>
  <c r="G48" i="5"/>
  <c r="G42" i="5"/>
  <c r="H42" i="5"/>
  <c r="E42" i="5"/>
  <c r="E48" i="5"/>
  <c r="P42" i="5"/>
  <c r="P48" i="5"/>
  <c r="O42" i="5"/>
  <c r="O48" i="5"/>
  <c r="N42" i="5"/>
  <c r="N48" i="5"/>
  <c r="I48" i="5"/>
  <c r="I42" i="5"/>
  <c r="R19" i="5"/>
  <c r="R48" i="5" s="1"/>
  <c r="D42" i="5"/>
  <c r="D48" i="5"/>
  <c r="N20" i="4"/>
  <c r="S19" i="4"/>
  <c r="AY19" i="4"/>
  <c r="Q19" i="4"/>
  <c r="O38" i="4" s="1"/>
  <c r="BB19" i="4"/>
  <c r="S5" i="5" s="1"/>
  <c r="T5" i="5" s="1"/>
  <c r="U5" i="5" s="1"/>
  <c r="BZ19" i="4"/>
  <c r="CA19" i="4"/>
  <c r="D6" i="84" l="1"/>
  <c r="AT45" i="4"/>
  <c r="AC40" i="4"/>
  <c r="AC45" i="4" s="1"/>
  <c r="J6" i="84"/>
  <c r="J9" i="84" s="1"/>
  <c r="J11" i="84" s="1"/>
  <c r="L2" i="95"/>
  <c r="CA20" i="4"/>
  <c r="CB35" i="4" s="1"/>
  <c r="O40" i="4"/>
  <c r="O46" i="4" s="1"/>
  <c r="AA20" i="4"/>
  <c r="I3" i="95"/>
  <c r="I2" i="95" s="1"/>
  <c r="J3" i="95"/>
  <c r="J2" i="95" s="1"/>
  <c r="CB19" i="4"/>
  <c r="BN19" i="4"/>
  <c r="S28" i="5" s="1"/>
  <c r="T28" i="5" s="1"/>
  <c r="BS19" i="4"/>
  <c r="BR20" i="4" s="1"/>
  <c r="AL19" i="4"/>
  <c r="S30" i="5" s="1"/>
  <c r="T30" i="5" s="1"/>
  <c r="BK20" i="4"/>
  <c r="AC21" i="4" l="1"/>
  <c r="P20" i="4"/>
  <c r="S7" i="5" s="1"/>
  <c r="T7" i="5" s="1"/>
  <c r="U7" i="5" s="1"/>
  <c r="S6" i="5"/>
  <c r="T6" i="5" s="1"/>
  <c r="U6" i="5" s="1"/>
  <c r="S53" i="5"/>
  <c r="T53" i="5" s="1"/>
  <c r="G6" i="84"/>
  <c r="G12" i="84" s="1"/>
  <c r="G14" i="84" s="1"/>
  <c r="BW19" i="4"/>
  <c r="D11" i="84"/>
  <c r="D13" i="84" s="1"/>
  <c r="T10" i="5"/>
  <c r="U10" i="5" s="1"/>
  <c r="AM19" i="4" l="1"/>
  <c r="E66" i="5" s="1"/>
  <c r="S52" i="5"/>
  <c r="CF20" i="4"/>
  <c r="CG35" i="4" s="1"/>
  <c r="BX19" i="4"/>
  <c r="BX20" i="4" s="1"/>
  <c r="BY35" i="4" s="1"/>
  <c r="BY19" i="4"/>
  <c r="T52" i="5" l="1"/>
  <c r="BN20" i="4"/>
  <c r="CF19" i="4"/>
  <c r="CE20" i="4" s="1"/>
  <c r="CF35" i="4" s="1"/>
  <c r="K3" i="95"/>
  <c r="S51" i="5" l="1"/>
  <c r="H3" i="95" l="1"/>
  <c r="H2" i="95" s="1"/>
  <c r="D2" i="9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A79057-B4CB-4FCE-A3E4-3F56BE7316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<sst xmlns="http://schemas.openxmlformats.org/spreadsheetml/2006/main" count="1257" uniqueCount="476">
  <si>
    <t>Quantity (MT)</t>
  </si>
  <si>
    <t>Sales</t>
  </si>
  <si>
    <t>Purchases</t>
  </si>
  <si>
    <t>Transportation Charges</t>
  </si>
  <si>
    <t>Transport Charges (%)</t>
  </si>
  <si>
    <t>Contribution (%)</t>
  </si>
  <si>
    <t>Receivable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</si>
  <si>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</si>
  <si>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</si>
  <si>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</si>
  <si>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</si>
  <si>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</si>
  <si>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</si>
  <si>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</si>
  <si>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</si>
  <si>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</si>
  <si>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</si>
  <si>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</si>
  <si>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</si>
  <si>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</si>
  <si>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</si>
  <si>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</si>
  <si>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</si>
  <si>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</si>
  <si>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</si>
  <si>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</si>
  <si>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</si>
  <si>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</si>
  <si>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</si>
  <si>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</si>
  <si>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</si>
  <si>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</si>
  <si>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</si>
  <si>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</si>
  <si>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</si>
  <si>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</si>
  <si>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</si>
  <si>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</si>
  <si>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</si>
  <si>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</si>
  <si>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</si>
  <si>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</si>
  <si>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</si>
  <si>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</si>
  <si>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</si>
  <si>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</si>
  <si>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</si>
  <si>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</si>
  <si>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</si>
  <si>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</si>
  <si>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</si>
  <si>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</si>
  <si>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</si>
  <si>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</si>
  <si>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</si>
  <si>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</si>
  <si>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</si>
  <si>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</si>
  <si>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</si>
  <si>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</si>
  <si>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</si>
  <si>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</si>
  <si>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</si>
  <si>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</si>
  <si>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</si>
  <si>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</si>
  <si>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</si>
  <si>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</si>
  <si>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</si>
  <si>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</si>
  <si>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</si>
  <si>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</si>
  <si>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</si>
  <si>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</si>
  <si>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</si>
  <si>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</si>
  <si>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</si>
  <si>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</si>
  <si>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</si>
  <si>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</si>
  <si>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</si>
  <si>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</si>
  <si>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</si>
  <si>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</si>
  <si>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</si>
  <si>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</si>
  <si>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</si>
  <si>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</si>
  <si>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</si>
  <si>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</si>
  <si>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Opening Provision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</si>
  <si>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</si>
  <si>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</si>
  <si>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</si>
  <si>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</si>
  <si>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</si>
  <si>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</si>
  <si>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</si>
  <si>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</si>
  <si>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</si>
  <si>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</si>
  <si>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</si>
  <si>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</si>
  <si>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</si>
  <si>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</si>
  <si>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</si>
  <si>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DN Provision</t>
  </si>
  <si>
    <t>CN Provision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</si>
  <si>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</si>
  <si>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</si>
  <si>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</si>
  <si>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</si>
  <si>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</si>
  <si>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</si>
  <si>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</si>
  <si>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</si>
  <si>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</si>
  <si>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</si>
  <si>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</si>
  <si>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</si>
  <si>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</si>
  <si>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</si>
  <si>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</si>
  <si>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</si>
  <si>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</si>
  <si>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</si>
  <si>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</si>
  <si>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</si>
  <si>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</si>
  <si>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</si>
  <si>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</si>
  <si>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</si>
  <si>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</si>
  <si>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</si>
  <si>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</si>
  <si>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</si>
  <si>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</si>
  <si>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</si>
  <si>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</si>
  <si>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</si>
  <si>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</si>
  <si>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</si>
  <si>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</si>
  <si>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</si>
  <si>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</si>
  <si>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</si>
  <si>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</si>
  <si>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Fy 2023-24 DN to Customers</t>
  </si>
  <si>
    <t>DN Provision in Zoho FY 23-24</t>
  </si>
  <si>
    <t>CN Provision in Zoho FY 23-24</t>
  </si>
  <si>
    <t>Revenue</t>
  </si>
  <si>
    <t>Margin(%</t>
  </si>
  <si>
    <t>Debit Notes</t>
  </si>
  <si>
    <t>Sale Value</t>
  </si>
  <si>
    <t>DN to Sale(%)</t>
  </si>
  <si>
    <t>Institutional Business</t>
  </si>
  <si>
    <t>No of transactions</t>
  </si>
  <si>
    <t>Avg Tran Value</t>
  </si>
  <si>
    <t>Category (Material)</t>
  </si>
  <si>
    <t>Supplier Type</t>
  </si>
  <si>
    <t>FY 2023-24 Logistics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</si>
  <si>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</si>
  <si>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</si>
  <si>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</si>
  <si>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</si>
  <si>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</si>
  <si>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</si>
  <si>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With GST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</si>
  <si>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</si>
  <si>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</si>
  <si>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</si>
  <si>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</si>
  <si>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</si>
  <si>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</si>
  <si>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</si>
  <si>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</si>
  <si>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</si>
  <si>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</si>
  <si>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</si>
  <si>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FY 2025-26</t>
  </si>
  <si>
    <t>Customer ID</t>
  </si>
  <si>
    <t xml:space="preserve">FY 2024-25 Credit notes </t>
  </si>
  <si>
    <t>CN Provision in Zoho FY 24-25</t>
  </si>
  <si>
    <t>Fy 2024-25 Logistic Provision Reversal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</si>
  <si>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</si>
  <si>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</si>
  <si>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</si>
  <si>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</si>
  <si>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</si>
  <si>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</si>
  <si>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</si>
  <si>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</si>
  <si>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</si>
  <si>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</si>
  <si>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</si>
  <si>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 xml:space="preserve">Sales </t>
  </si>
  <si>
    <t>Credit Note</t>
  </si>
  <si>
    <t>Debit Note</t>
  </si>
  <si>
    <t>Financials with GST</t>
  </si>
  <si>
    <t>Margins</t>
  </si>
  <si>
    <t>Financial with GST</t>
  </si>
  <si>
    <t>Fy 2025-26</t>
  </si>
  <si>
    <t>Full Rejection</t>
  </si>
  <si>
    <t>Sales-Revenue (MoM)</t>
  </si>
  <si>
    <t>Sales-Volume (MoM)</t>
  </si>
  <si>
    <t>Sales-Transactions (MoM)</t>
  </si>
  <si>
    <t>No of LMT @ Inception</t>
  </si>
  <si>
    <t>Value of LMT @ Inception</t>
  </si>
  <si>
    <t>No of LMT</t>
  </si>
  <si>
    <t>% of LMT</t>
  </si>
  <si>
    <t>Value of LMT</t>
  </si>
  <si>
    <t>Marketplace (AFR)</t>
  </si>
  <si>
    <t>Bill Branch</t>
  </si>
  <si>
    <t>Inv Branch</t>
  </si>
  <si>
    <t>Telangana - HO</t>
  </si>
  <si>
    <t>Raw Data -AFR</t>
  </si>
  <si>
    <t>Net Margin (%)</t>
  </si>
  <si>
    <t>Gross Margin (%)</t>
  </si>
  <si>
    <t>Opeartional Cost</t>
  </si>
  <si>
    <t>Payable</t>
  </si>
  <si>
    <t>DPO (Days)</t>
  </si>
  <si>
    <t>36AAACM4154G1ZO</t>
  </si>
  <si>
    <t>Marketplace Purchases (AFR)</t>
  </si>
  <si>
    <t>AFR</t>
  </si>
  <si>
    <t>date</t>
  </si>
  <si>
    <t>status</t>
  </si>
  <si>
    <t>entity</t>
  </si>
  <si>
    <t>age</t>
  </si>
  <si>
    <t>due_date</t>
  </si>
  <si>
    <t>transaction_number</t>
  </si>
  <si>
    <t>customer_name</t>
  </si>
  <si>
    <t>balance</t>
  </si>
  <si>
    <t>amount</t>
  </si>
  <si>
    <t>overdue</t>
  </si>
  <si>
    <t>Other Income</t>
  </si>
  <si>
    <t>invoice</t>
  </si>
  <si>
    <t>HARI HARA TRADERS</t>
  </si>
  <si>
    <t>123</t>
  </si>
  <si>
    <t>2</t>
  </si>
  <si>
    <t>MRF LIMITED (36)</t>
  </si>
  <si>
    <t/>
  </si>
  <si>
    <t>125</t>
  </si>
  <si>
    <t>126</t>
  </si>
  <si>
    <t>vendor_name</t>
  </si>
  <si>
    <t>bill</t>
  </si>
  <si>
    <t>Working Capital Days</t>
  </si>
  <si>
    <t>payment_terms</t>
  </si>
  <si>
    <t>gst_no</t>
  </si>
  <si>
    <t>credit_limit</t>
  </si>
  <si>
    <t>contact.CF.Vertical Name</t>
  </si>
  <si>
    <t xml:space="preserve">Advance Payment </t>
  </si>
  <si>
    <t>6</t>
  </si>
  <si>
    <t>2026-03-13</t>
  </si>
  <si>
    <t>SRI RAGHAVENDRA CORPORATION</t>
  </si>
  <si>
    <t>SRI PRASANNA TRADERS</t>
  </si>
  <si>
    <t>SH03260604</t>
  </si>
  <si>
    <t>SH03260909</t>
  </si>
  <si>
    <t>7</t>
  </si>
  <si>
    <t>2026-03-25</t>
  </si>
  <si>
    <t>124</t>
  </si>
  <si>
    <t>2026-03-09</t>
  </si>
  <si>
    <t>DN Provision in Zoho FY 25-26</t>
  </si>
  <si>
    <t>Debit note FY 25-26</t>
  </si>
  <si>
    <t>36/AFR/27VC00001</t>
  </si>
  <si>
    <t>36/AFR/27VC00002</t>
  </si>
  <si>
    <t>36/AFR/27VC00003</t>
  </si>
  <si>
    <t>SH03261601</t>
  </si>
  <si>
    <t>36/AFR/27CN00001</t>
  </si>
  <si>
    <t>36/AFR/27CN00002</t>
  </si>
  <si>
    <t>36/AFR/27CN00003</t>
  </si>
  <si>
    <t xml:space="preserve">
</t>
  </si>
  <si>
    <t xml:space="preserve">
</t>
  </si>
  <si>
    <t>As per Zoho Current Month</t>
  </si>
  <si>
    <t>FY 2025-26 bills considered ths year</t>
  </si>
  <si>
    <t>ATTAQUANT CATKEM TRADE LLP</t>
  </si>
  <si>
    <t>Net 3 (days)</t>
  </si>
  <si>
    <t>27ACAFA4787C1ZI</t>
  </si>
  <si>
    <t>26/MPAFR/INV0085</t>
  </si>
  <si>
    <t>SH04260801</t>
  </si>
  <si>
    <t>37ANHPG0363J1Z1</t>
  </si>
  <si>
    <t>26-27/PUR/000242</t>
  </si>
  <si>
    <t>AD</t>
  </si>
  <si>
    <t>AP39WE3236</t>
  </si>
  <si>
    <t>Pyrolysis Char - Briquettes</t>
  </si>
  <si>
    <t>36/AFR/27IN00001</t>
  </si>
  <si>
    <t>832139000056764186</t>
  </si>
  <si>
    <t>Tadpatri,Andhra Pradesh,515455</t>
  </si>
  <si>
    <t>Sadashivpet</t>
  </si>
  <si>
    <t>Telangana</t>
  </si>
  <si>
    <t>No Provision</t>
  </si>
  <si>
    <t>E-way Bill No</t>
  </si>
  <si>
    <t>SH022627033</t>
  </si>
  <si>
    <t>SH022627034</t>
  </si>
  <si>
    <t>SH032601012</t>
  </si>
  <si>
    <t>36/AFR/27VC00004</t>
  </si>
  <si>
    <t>36/AFR/27VC00007</t>
  </si>
  <si>
    <t>36/AFR/27VC00005</t>
  </si>
  <si>
    <t>36/AFR/27CN00004</t>
  </si>
  <si>
    <t>36/AFR/27CN00007</t>
  </si>
  <si>
    <t>36/AFR/27CN00005</t>
  </si>
  <si>
    <t>FY 2026-27</t>
  </si>
  <si>
    <t>Debit note Pertaining to FY 2025-26</t>
  </si>
  <si>
    <t>Credit note Pertaining to FY 2025-26</t>
  </si>
  <si>
    <t>Accounted in FY 2026-27</t>
  </si>
  <si>
    <t>FY 2025-26 Logistic Bills accounted</t>
  </si>
  <si>
    <t>Provision for Debit Notes from Customers as on 31st Mar-2026</t>
  </si>
  <si>
    <t>Accounted in FY 26-27</t>
  </si>
  <si>
    <t>SH03262203</t>
  </si>
  <si>
    <t>36/AFR/27CN00008</t>
  </si>
  <si>
    <t>SH012616025</t>
  </si>
  <si>
    <t>36/AFR/27CN00010</t>
  </si>
  <si>
    <t>SH122523036</t>
  </si>
  <si>
    <t>36/AFR/27CN00011</t>
  </si>
  <si>
    <t>SH012620031</t>
  </si>
  <si>
    <t>36/AFR/27CN00009</t>
  </si>
  <si>
    <t>36/AFR/27VC00008</t>
  </si>
  <si>
    <t>36/AFR/27VC00010</t>
  </si>
  <si>
    <t>36/AFR/27VC00009</t>
  </si>
  <si>
    <t>36/AFR/27VC00011</t>
  </si>
  <si>
    <t>36/AFR/27VC00012</t>
  </si>
  <si>
    <t>36/AFR/27CN00012</t>
  </si>
  <si>
    <t xml:space="preserve"> Provision for DN as on 31st Mar-2026</t>
  </si>
  <si>
    <t>TIMES MARINE SERVICES PRIVATE LIMITED</t>
  </si>
  <si>
    <t>33AAICT1418L1ZB</t>
  </si>
  <si>
    <t>TMSPL/047</t>
  </si>
  <si>
    <t>26-27/PUR/001067</t>
  </si>
  <si>
    <t>TN</t>
  </si>
  <si>
    <t>Technical Testing and Analysis Services</t>
  </si>
  <si>
    <t>143</t>
  </si>
  <si>
    <t>26-27/PUR/001059</t>
  </si>
  <si>
    <t>Electrical Installation Service</t>
  </si>
  <si>
    <t>144</t>
  </si>
  <si>
    <t>26-27/PUR/001060</t>
  </si>
  <si>
    <t>Manpower Services</t>
  </si>
  <si>
    <t>26-27/PUR/001354</t>
  </si>
  <si>
    <t>Bentonite Powder</t>
  </si>
  <si>
    <t>26-27/PUR/001360</t>
  </si>
  <si>
    <t>Starch</t>
  </si>
  <si>
    <t>145</t>
  </si>
  <si>
    <t>26-27/PUR/001061</t>
  </si>
  <si>
    <t>Transport Charges</t>
  </si>
  <si>
    <t>8</t>
  </si>
  <si>
    <t>26-27/PUR/001364</t>
  </si>
  <si>
    <t>Operational Expenses</t>
  </si>
  <si>
    <t>unused_credits_receivable_amount</t>
  </si>
  <si>
    <t>Marketplace Sales (AFR)</t>
  </si>
  <si>
    <t>vendor.CF.Vertical Name</t>
  </si>
  <si>
    <t>vendor.CF.MSME Category</t>
  </si>
  <si>
    <t>37AGCPV7437N2ZK</t>
  </si>
  <si>
    <t>MICRO</t>
  </si>
  <si>
    <t>SMALL</t>
  </si>
  <si>
    <t>SH05260901</t>
  </si>
  <si>
    <t>11</t>
  </si>
  <si>
    <t>26-27/PUR/001929</t>
  </si>
  <si>
    <t>TG29T7657</t>
  </si>
  <si>
    <t>36/AFR/27IN00002</t>
  </si>
  <si>
    <t>Proddatur Andhra Pradesh 516360</t>
  </si>
  <si>
    <t>2026-05-13</t>
  </si>
  <si>
    <t>SH05261303</t>
  </si>
  <si>
    <t>13</t>
  </si>
  <si>
    <t>26-27/PUR/002090</t>
  </si>
  <si>
    <t>AP39WL0468</t>
  </si>
  <si>
    <t>36/AFR/27IN00003</t>
  </si>
  <si>
    <t>Tadipatri,Andhra Pradesh,515413</t>
  </si>
  <si>
    <t>2026-05-06</t>
  </si>
  <si>
    <t>TMSPL/097</t>
  </si>
  <si>
    <t>26-27/PUR/002132</t>
  </si>
  <si>
    <t>sent</t>
  </si>
  <si>
    <t>2026-05-23</t>
  </si>
  <si>
    <t>2026-05-27</t>
  </si>
  <si>
    <t>2026-05-09</t>
  </si>
  <si>
    <t>2026-05-17</t>
  </si>
  <si>
    <t>15</t>
  </si>
  <si>
    <t>26-27/PUR/001193</t>
  </si>
  <si>
    <t>2026-05-16</t>
  </si>
  <si>
    <t>2026-05-18</t>
  </si>
  <si>
    <t>SH05262501</t>
  </si>
  <si>
    <t>19</t>
  </si>
  <si>
    <t>26-27/PUR/002617</t>
  </si>
  <si>
    <t>AP39WR1641</t>
  </si>
  <si>
    <t>36/AFR/27IN00004</t>
  </si>
  <si>
    <t>36/AFR/27VC00013</t>
  </si>
  <si>
    <t>36/AFR/27CN00013</t>
  </si>
  <si>
    <t>DN &amp; CN Issued</t>
  </si>
  <si>
    <t>4</t>
  </si>
  <si>
    <t>2026-06-09</t>
  </si>
  <si>
    <t>2026-05-26</t>
  </si>
  <si>
    <t>2026-05-30</t>
  </si>
  <si>
    <t>SH05262704</t>
  </si>
  <si>
    <t>INV-26-800</t>
  </si>
  <si>
    <t>26-27/PUR/003034</t>
  </si>
  <si>
    <t>AP27Y5049</t>
  </si>
  <si>
    <t>Chilli Husk</t>
  </si>
  <si>
    <t>SH06260301</t>
  </si>
  <si>
    <t>INV-26-802</t>
  </si>
  <si>
    <t>26-27/PUR/003224</t>
  </si>
  <si>
    <t>TS12UD3174</t>
  </si>
  <si>
    <t>SH06260302</t>
  </si>
  <si>
    <t>INV-26-801</t>
  </si>
  <si>
    <t>26-27/PUR/003226</t>
  </si>
  <si>
    <t>TG05U6911</t>
  </si>
  <si>
    <t>SH06260402</t>
  </si>
  <si>
    <t>25</t>
  </si>
  <si>
    <t>26-27/PUR/003277</t>
  </si>
  <si>
    <t>AP02TH1557</t>
  </si>
  <si>
    <t>SH06260602</t>
  </si>
  <si>
    <t>26</t>
  </si>
  <si>
    <t>26-27/PUR/003302</t>
  </si>
  <si>
    <t>AP39UL9769</t>
  </si>
  <si>
    <t>36/AFR/27IN00005</t>
  </si>
  <si>
    <t>832139000078794413</t>
  </si>
  <si>
    <t>ULTRATECH CEMENT LIMITED</t>
  </si>
  <si>
    <t>37AAACL6442L1Z9</t>
  </si>
  <si>
    <t>Guntur,Andhra Pradesh,522005</t>
  </si>
  <si>
    <t>Vijayawada</t>
  </si>
  <si>
    <t>Andhra Pradesh</t>
  </si>
  <si>
    <t>36/AFR/27IN00008</t>
  </si>
  <si>
    <t>36/AFR/27IN00007</t>
  </si>
  <si>
    <t>36/AFR/27IN00009</t>
  </si>
  <si>
    <t>36/AFR/27IN00006</t>
  </si>
  <si>
    <t>Guntur Andhra Pradesh 522005</t>
  </si>
  <si>
    <t>As per Zoho(till May)</t>
  </si>
  <si>
    <t>SH06260701</t>
  </si>
  <si>
    <t>INV-26-803</t>
  </si>
  <si>
    <t>26-27/PUR/003308</t>
  </si>
  <si>
    <t>TG04T7342</t>
  </si>
  <si>
    <t>SH06260802</t>
  </si>
  <si>
    <t>27</t>
  </si>
  <si>
    <t>26-27/PUR/003337</t>
  </si>
  <si>
    <t>AP39UV4495</t>
  </si>
  <si>
    <t>SH06261301</t>
  </si>
  <si>
    <t>32</t>
  </si>
  <si>
    <t>26-27/PUR/003646</t>
  </si>
  <si>
    <t>AP39UN1375</t>
  </si>
  <si>
    <t>36/AFR/27IN00010</t>
  </si>
  <si>
    <t>36/AFR/27IN00011</t>
  </si>
  <si>
    <t>36/AFR/27IN00012</t>
  </si>
  <si>
    <t>Proddatur,Andhra Pradesh,516360</t>
  </si>
  <si>
    <t>22</t>
  </si>
  <si>
    <t>2026-06-08</t>
  </si>
  <si>
    <t>Net 15 (Days)</t>
  </si>
  <si>
    <t>2026-06-10</t>
  </si>
  <si>
    <t>2026-06-18</t>
  </si>
  <si>
    <t>2026-06-21</t>
  </si>
  <si>
    <t>2026-06-15</t>
  </si>
  <si>
    <t>2026-06-22</t>
  </si>
  <si>
    <t>2026-06-27</t>
  </si>
  <si>
    <t>9</t>
  </si>
  <si>
    <t>2026-06-03</t>
  </si>
  <si>
    <t>2026-06-07</t>
  </si>
  <si>
    <t>2026-06-04</t>
  </si>
  <si>
    <t>3</t>
  </si>
  <si>
    <t>2026-06-11</t>
  </si>
  <si>
    <t>2026-06-12</t>
  </si>
  <si>
    <t>2026-06-13</t>
  </si>
  <si>
    <t>open</t>
  </si>
  <si>
    <t>2026-06-17</t>
  </si>
  <si>
    <t>No DN</t>
  </si>
  <si>
    <t>SH06261606</t>
  </si>
  <si>
    <t>36</t>
  </si>
  <si>
    <t>26-27/PUR/003921</t>
  </si>
  <si>
    <t>AP39WH8039</t>
  </si>
  <si>
    <t>36/AFR/27IN00013</t>
  </si>
  <si>
    <t>36/AFR/27VC00015</t>
  </si>
  <si>
    <t>36/AFR/27CN00014</t>
  </si>
  <si>
    <t>88</t>
  </si>
  <si>
    <t>29</t>
  </si>
  <si>
    <t>12</t>
  </si>
  <si>
    <t>2026-07-02</t>
  </si>
  <si>
    <t>104</t>
  </si>
  <si>
    <t>100</t>
  </si>
  <si>
    <t>39</t>
  </si>
  <si>
    <t>35</t>
  </si>
  <si>
    <t>34</t>
  </si>
  <si>
    <t>14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</si>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</sst>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mbria"/>
      <family val="1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00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8" fillId="0" borderId="0"/>
  </cellStyleXfs>
  <cellXfs count="360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0" fontId="4" fillId="0" borderId="2" xfId="0" applyFont="1" applyBorder="1"/>
    <xf numFmtId="1" fontId="4" fillId="0" borderId="9" xfId="7" applyNumberFormat="1" applyFont="1" applyBorder="1"/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5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2" xfId="0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0" fontId="13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6" fillId="0" borderId="0" xfId="12" applyNumberFormat="1" applyFont="1" applyBorder="1"/>
    <xf numFmtId="10" fontId="16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16" fillId="0" borderId="0" xfId="7" applyNumberFormat="1" applyFont="1"/>
    <xf numFmtId="165" fontId="7" fillId="6" borderId="7" xfId="7" applyNumberFormat="1" applyFont="1" applyFill="1" applyBorder="1" applyAlignment="1">
      <alignment horizontal="center"/>
    </xf>
    <xf numFmtId="4" fontId="16" fillId="0" borderId="0" xfId="7" applyNumberFormat="1" applyFont="1"/>
    <xf numFmtId="165" fontId="7" fillId="6" borderId="23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center"/>
    </xf>
    <xf numFmtId="165" fontId="7" fillId="6" borderId="0" xfId="7" applyNumberFormat="1" applyFont="1" applyFill="1" applyBorder="1" applyAlignment="1">
      <alignment horizontal="center"/>
    </xf>
    <xf numFmtId="4" fontId="0" fillId="0" borderId="0" xfId="7" applyNumberFormat="1" applyFont="1" applyBorder="1"/>
    <xf numFmtId="165" fontId="3" fillId="0" borderId="0" xfId="7" applyNumberFormat="1" applyFont="1" applyBorder="1"/>
    <xf numFmtId="165" fontId="19" fillId="0" borderId="0" xfId="7" applyNumberFormat="1" applyFont="1" applyAlignment="1"/>
    <xf numFmtId="165" fontId="20" fillId="0" borderId="0" xfId="7" applyNumberFormat="1" applyFont="1" applyAlignment="1">
      <alignment vertical="center"/>
    </xf>
    <xf numFmtId="165" fontId="19" fillId="0" borderId="0" xfId="7" applyNumberFormat="1" applyFont="1" applyAlignment="1">
      <alignment horizontal="left"/>
    </xf>
    <xf numFmtId="14" fontId="19" fillId="0" borderId="0" xfId="7" applyNumberFormat="1" applyFont="1" applyAlignment="1">
      <alignment horizontal="left"/>
    </xf>
    <xf numFmtId="165" fontId="19" fillId="4" borderId="0" xfId="7" applyNumberFormat="1" applyFont="1" applyFill="1" applyBorder="1" applyAlignment="1">
      <alignment horizontal="center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Alignment="1">
      <alignment horizontal="center" vertical="center"/>
    </xf>
    <xf numFmtId="165" fontId="19" fillId="4" borderId="0" xfId="7" applyNumberFormat="1" applyFont="1" applyFill="1" applyAlignment="1">
      <alignment vertical="center"/>
    </xf>
    <xf numFmtId="165" fontId="19" fillId="0" borderId="0" xfId="7" applyNumberFormat="1" applyFont="1" applyFill="1" applyBorder="1" applyAlignment="1"/>
    <xf numFmtId="165" fontId="19" fillId="5" borderId="0" xfId="7" applyNumberFormat="1" applyFont="1" applyFill="1" applyBorder="1" applyAlignment="1">
      <alignment horizontal="center"/>
    </xf>
    <xf numFmtId="165" fontId="19" fillId="0" borderId="0" xfId="7" applyNumberFormat="1" applyFont="1" applyAlignment="1">
      <alignment horizontal="left" vertical="top"/>
    </xf>
    <xf numFmtId="165" fontId="22" fillId="0" borderId="13" xfId="7" applyNumberFormat="1" applyFont="1" applyBorder="1" applyAlignment="1"/>
    <xf numFmtId="14" fontId="22" fillId="0" borderId="13" xfId="7" applyNumberFormat="1" applyFont="1" applyBorder="1" applyAlignment="1"/>
    <xf numFmtId="165" fontId="20" fillId="0" borderId="0" xfId="7" applyNumberFormat="1" applyFont="1" applyFill="1" applyBorder="1" applyAlignment="1">
      <alignment horizontal="right"/>
    </xf>
    <xf numFmtId="165" fontId="22" fillId="0" borderId="13" xfId="7" applyNumberFormat="1" applyFont="1" applyBorder="1" applyAlignment="1">
      <alignment vertical="center"/>
    </xf>
    <xf numFmtId="165" fontId="19" fillId="0" borderId="0" xfId="7" applyNumberFormat="1" applyFont="1" applyAlignment="1">
      <alignment horizontal="right"/>
    </xf>
    <xf numFmtId="165" fontId="23" fillId="0" borderId="13" xfId="7" applyNumberFormat="1" applyFont="1" applyFill="1" applyBorder="1" applyAlignment="1"/>
    <xf numFmtId="10" fontId="19" fillId="0" borderId="0" xfId="12" applyNumberFormat="1" applyFont="1" applyFill="1" applyBorder="1" applyAlignment="1">
      <alignment horizontal="right"/>
    </xf>
    <xf numFmtId="165" fontId="23" fillId="0" borderId="0" xfId="7" applyNumberFormat="1" applyFont="1" applyBorder="1" applyAlignment="1">
      <alignment horizontal="center" vertical="center"/>
    </xf>
    <xf numFmtId="165" fontId="20" fillId="0" borderId="0" xfId="7" applyNumberFormat="1" applyFont="1" applyBorder="1" applyAlignment="1">
      <alignment horizontal="center"/>
    </xf>
    <xf numFmtId="165" fontId="19" fillId="0" borderId="0" xfId="7" applyNumberFormat="1" applyFont="1" applyAlignment="1">
      <alignment horizontal="left" vertical="center"/>
    </xf>
    <xf numFmtId="165" fontId="19" fillId="0" borderId="0" xfId="7" applyNumberFormat="1" applyFont="1" applyBorder="1" applyAlignment="1">
      <alignment horizontal="right"/>
    </xf>
    <xf numFmtId="165" fontId="19" fillId="0" borderId="0" xfId="7" applyNumberFormat="1" applyFont="1" applyBorder="1" applyAlignment="1"/>
    <xf numFmtId="165" fontId="19" fillId="0" borderId="0" xfId="7" applyNumberFormat="1" applyFont="1" applyAlignment="1">
      <alignment horizontal="center"/>
    </xf>
    <xf numFmtId="165" fontId="20" fillId="0" borderId="0" xfId="7" applyNumberFormat="1" applyFont="1" applyAlignment="1">
      <alignment horizontal="right"/>
    </xf>
    <xf numFmtId="165" fontId="20" fillId="0" borderId="0" xfId="7" applyNumberFormat="1" applyFont="1" applyAlignment="1"/>
    <xf numFmtId="165" fontId="19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>
      <alignment horizontal="right"/>
    </xf>
    <xf numFmtId="165" fontId="19" fillId="0" borderId="1" xfId="7" applyNumberFormat="1" applyFont="1" applyBorder="1" applyAlignment="1"/>
    <xf numFmtId="165" fontId="19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3" fillId="0" borderId="0" xfId="7" applyNumberFormat="1" applyFont="1" applyBorder="1" applyAlignment="1"/>
    <xf numFmtId="165" fontId="25" fillId="6" borderId="5" xfId="7" applyNumberFormat="1" applyFont="1" applyFill="1" applyBorder="1" applyAlignment="1">
      <alignment horizontal="center" vertical="center"/>
    </xf>
    <xf numFmtId="165" fontId="25" fillId="6" borderId="8" xfId="7" applyNumberFormat="1" applyFont="1" applyFill="1" applyBorder="1" applyAlignment="1">
      <alignment horizontal="center" vertical="center"/>
    </xf>
    <xf numFmtId="165" fontId="25" fillId="6" borderId="7" xfId="7" applyNumberFormat="1" applyFont="1" applyFill="1" applyBorder="1" applyAlignment="1">
      <alignment horizontal="center" vertical="center"/>
    </xf>
    <xf numFmtId="14" fontId="25" fillId="6" borderId="8" xfId="7" applyNumberFormat="1" applyFont="1" applyFill="1" applyBorder="1" applyAlignment="1">
      <alignment horizontal="center" vertical="center"/>
    </xf>
    <xf numFmtId="165" fontId="25" fillId="6" borderId="6" xfId="7" applyNumberFormat="1" applyFont="1" applyFill="1" applyBorder="1" applyAlignment="1">
      <alignment horizontal="center" vertical="center"/>
    </xf>
    <xf numFmtId="165" fontId="25" fillId="6" borderId="0" xfId="7" applyNumberFormat="1" applyFont="1" applyFill="1" applyBorder="1" applyAlignment="1">
      <alignment horizontal="center" vertical="center"/>
    </xf>
    <xf numFmtId="165" fontId="25" fillId="6" borderId="19" xfId="7" applyNumberFormat="1" applyFont="1" applyFill="1" applyBorder="1" applyAlignment="1">
      <alignment horizontal="center" vertical="center"/>
    </xf>
    <xf numFmtId="165" fontId="20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4" fontId="11" fillId="0" borderId="21" xfId="7" applyNumberFormat="1" applyFont="1" applyBorder="1" applyAlignment="1">
      <alignment horizontal="left"/>
    </xf>
    <xf numFmtId="165" fontId="11" fillId="0" borderId="25" xfId="7" applyNumberFormat="1" applyFont="1" applyBorder="1" applyAlignment="1">
      <alignment horizontal="left"/>
    </xf>
    <xf numFmtId="165" fontId="11" fillId="0" borderId="25" xfId="7" applyNumberFormat="1" applyFont="1" applyFill="1" applyBorder="1" applyAlignment="1"/>
    <xf numFmtId="165" fontId="11" fillId="0" borderId="21" xfId="7" applyNumberFormat="1" applyFont="1" applyFill="1" applyBorder="1" applyAlignment="1">
      <alignment horizontal="center"/>
    </xf>
    <xf numFmtId="165" fontId="26" fillId="0" borderId="5" xfId="7" applyNumberFormat="1" applyFont="1" applyFill="1" applyBorder="1" applyAlignment="1"/>
    <xf numFmtId="165" fontId="26" fillId="0" borderId="7" xfId="7" applyNumberFormat="1" applyFont="1" applyFill="1" applyBorder="1" applyAlignment="1"/>
    <xf numFmtId="165" fontId="26" fillId="0" borderId="7" xfId="7" applyNumberFormat="1" applyFont="1" applyBorder="1" applyAlignment="1">
      <alignment horizontal="left"/>
    </xf>
    <xf numFmtId="14" fontId="26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6" fillId="0" borderId="7" xfId="7" applyNumberFormat="1" applyFont="1" applyBorder="1" applyAlignment="1">
      <alignment horizontal="left" vertical="top"/>
    </xf>
    <xf numFmtId="165" fontId="26" fillId="0" borderId="7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/>
    </xf>
    <xf numFmtId="165" fontId="26" fillId="0" borderId="7" xfId="7" applyNumberFormat="1" applyFont="1" applyBorder="1" applyAlignment="1">
      <alignment horizontal="left" vertical="center"/>
    </xf>
    <xf numFmtId="165" fontId="26" fillId="0" borderId="7" xfId="7" applyNumberFormat="1" applyFont="1" applyBorder="1" applyAlignment="1">
      <alignment horizontal="center" vertical="center"/>
    </xf>
    <xf numFmtId="165" fontId="26" fillId="0" borderId="7" xfId="7" applyNumberFormat="1" applyFont="1" applyBorder="1" applyAlignment="1">
      <alignment horizontal="center"/>
    </xf>
    <xf numFmtId="165" fontId="26" fillId="0" borderId="6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 vertical="center"/>
    </xf>
    <xf numFmtId="165" fontId="26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6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6" fillId="0" borderId="0" xfId="7" applyNumberFormat="1" applyFont="1" applyBorder="1" applyAlignment="1"/>
    <xf numFmtId="165" fontId="26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7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6" fillId="0" borderId="9" xfId="7" applyNumberFormat="1" applyFont="1" applyBorder="1" applyAlignment="1"/>
    <xf numFmtId="165" fontId="26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12" fillId="0" borderId="10" xfId="7" applyNumberFormat="1" applyFont="1" applyBorder="1" applyAlignment="1"/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/>
    <xf numFmtId="165" fontId="26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7" fillId="4" borderId="32" xfId="0" applyFont="1" applyFill="1" applyBorder="1" applyAlignment="1">
      <alignment horizontal="center" vertical="center"/>
    </xf>
    <xf numFmtId="165" fontId="0" fillId="0" borderId="33" xfId="0" applyNumberForma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0" fillId="0" borderId="36" xfId="7" applyNumberFormat="1" applyFont="1" applyBorder="1"/>
    <xf numFmtId="0" fontId="28" fillId="0" borderId="0" xfId="1" applyFont="1" applyAlignment="1">
      <alignment horizontal="left" indent="1"/>
    </xf>
    <xf numFmtId="0" fontId="28" fillId="0" borderId="0" xfId="1" applyFont="1"/>
    <xf numFmtId="43" fontId="28" fillId="0" borderId="0" xfId="7" applyFont="1"/>
    <xf numFmtId="17" fontId="29" fillId="0" borderId="0" xfId="1" applyNumberFormat="1" applyFont="1" applyAlignment="1">
      <alignment horizontal="center"/>
    </xf>
    <xf numFmtId="0" fontId="30" fillId="6" borderId="23" xfId="1" applyFont="1" applyFill="1" applyBorder="1" applyAlignment="1">
      <alignment horizontal="center"/>
    </xf>
    <xf numFmtId="17" fontId="30" fillId="6" borderId="14" xfId="1" applyNumberFormat="1" applyFont="1" applyFill="1" applyBorder="1" applyAlignment="1">
      <alignment horizontal="center" vertical="center"/>
    </xf>
    <xf numFmtId="17" fontId="30" fillId="6" borderId="12" xfId="1" applyNumberFormat="1" applyFont="1" applyFill="1" applyBorder="1" applyAlignment="1">
      <alignment horizontal="center" vertical="center"/>
    </xf>
    <xf numFmtId="0" fontId="30" fillId="6" borderId="14" xfId="1" applyFont="1" applyFill="1" applyBorder="1" applyAlignment="1">
      <alignment horizontal="center" vertical="center"/>
    </xf>
    <xf numFmtId="0" fontId="28" fillId="0" borderId="2" xfId="1" applyFont="1" applyBorder="1" applyAlignment="1">
      <alignment horizontal="left" indent="1"/>
    </xf>
    <xf numFmtId="164" fontId="28" fillId="0" borderId="9" xfId="2" applyNumberFormat="1" applyFont="1" applyBorder="1" applyAlignment="1"/>
    <xf numFmtId="164" fontId="28" fillId="0" borderId="0" xfId="1" applyNumberFormat="1" applyFont="1"/>
    <xf numFmtId="165" fontId="28" fillId="0" borderId="9" xfId="7" applyNumberFormat="1" applyFont="1" applyBorder="1" applyAlignment="1"/>
    <xf numFmtId="165" fontId="28" fillId="0" borderId="0" xfId="7" applyNumberFormat="1" applyFont="1" applyBorder="1"/>
    <xf numFmtId="43" fontId="28" fillId="0" borderId="0" xfId="7" applyFont="1" applyBorder="1"/>
    <xf numFmtId="164" fontId="28" fillId="0" borderId="0" xfId="2" applyNumberFormat="1" applyFont="1" applyBorder="1"/>
    <xf numFmtId="0" fontId="31" fillId="0" borderId="2" xfId="1" applyFont="1" applyBorder="1" applyAlignment="1">
      <alignment horizontal="left" indent="1"/>
    </xf>
    <xf numFmtId="43" fontId="28" fillId="0" borderId="0" xfId="1" applyNumberFormat="1" applyFont="1"/>
    <xf numFmtId="0" fontId="32" fillId="0" borderId="2" xfId="1" applyFont="1" applyBorder="1" applyAlignment="1">
      <alignment horizontal="left" indent="1"/>
    </xf>
    <xf numFmtId="10" fontId="32" fillId="0" borderId="9" xfId="3" applyNumberFormat="1" applyFont="1" applyBorder="1" applyAlignment="1"/>
    <xf numFmtId="165" fontId="28" fillId="0" borderId="0" xfId="1" applyNumberFormat="1" applyFont="1"/>
    <xf numFmtId="165" fontId="28" fillId="0" borderId="9" xfId="2" applyNumberFormat="1" applyFont="1" applyBorder="1" applyAlignment="1"/>
    <xf numFmtId="165" fontId="28" fillId="0" borderId="0" xfId="2" applyNumberFormat="1" applyFont="1" applyBorder="1" applyAlignment="1"/>
    <xf numFmtId="165" fontId="28" fillId="0" borderId="2" xfId="2" applyNumberFormat="1" applyFont="1" applyBorder="1" applyAlignment="1"/>
    <xf numFmtId="0" fontId="30" fillId="6" borderId="23" xfId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indent="1"/>
    </xf>
    <xf numFmtId="3" fontId="28" fillId="0" borderId="9" xfId="12" applyNumberFormat="1" applyFont="1" applyBorder="1" applyAlignment="1">
      <alignment horizontal="center"/>
    </xf>
    <xf numFmtId="3" fontId="31" fillId="0" borderId="9" xfId="12" applyNumberFormat="1" applyFont="1" applyBorder="1" applyAlignment="1">
      <alignment horizontal="center"/>
    </xf>
    <xf numFmtId="3" fontId="31" fillId="0" borderId="0" xfId="12" applyNumberFormat="1" applyFont="1" applyBorder="1" applyAlignment="1">
      <alignment horizontal="center"/>
    </xf>
    <xf numFmtId="0" fontId="28" fillId="0" borderId="4" xfId="0" applyFont="1" applyBorder="1" applyAlignment="1">
      <alignment horizontal="left" indent="1"/>
    </xf>
    <xf numFmtId="10" fontId="31" fillId="0" borderId="10" xfId="12" applyNumberFormat="1" applyFont="1" applyBorder="1" applyAlignment="1">
      <alignment horizontal="center"/>
    </xf>
    <xf numFmtId="10" fontId="31" fillId="0" borderId="13" xfId="12" applyNumberFormat="1" applyFont="1" applyBorder="1" applyAlignment="1">
      <alignment horizontal="center"/>
    </xf>
    <xf numFmtId="9" fontId="31" fillId="0" borderId="9" xfId="3" applyFont="1" applyBorder="1" applyAlignment="1"/>
    <xf numFmtId="9" fontId="31" fillId="0" borderId="0" xfId="3" applyFont="1" applyBorder="1" applyAlignment="1"/>
    <xf numFmtId="0" fontId="28" fillId="0" borderId="4" xfId="1" applyFont="1" applyBorder="1" applyAlignment="1">
      <alignment horizontal="left" indent="1"/>
    </xf>
    <xf numFmtId="9" fontId="31" fillId="0" borderId="10" xfId="3" applyFont="1" applyBorder="1" applyAlignment="1"/>
    <xf numFmtId="9" fontId="31" fillId="0" borderId="13" xfId="3" applyFont="1" applyBorder="1" applyAlignment="1"/>
    <xf numFmtId="165" fontId="28" fillId="0" borderId="10" xfId="2" applyNumberFormat="1" applyFont="1" applyBorder="1" applyAlignment="1"/>
    <xf numFmtId="164" fontId="28" fillId="0" borderId="9" xfId="2" applyNumberFormat="1" applyFont="1" applyBorder="1"/>
    <xf numFmtId="10" fontId="31" fillId="0" borderId="9" xfId="12" applyNumberFormat="1" applyFont="1" applyBorder="1" applyAlignment="1"/>
    <xf numFmtId="10" fontId="31" fillId="0" borderId="0" xfId="12" applyNumberFormat="1" applyFont="1" applyBorder="1" applyAlignment="1"/>
    <xf numFmtId="165" fontId="28" fillId="0" borderId="13" xfId="2" applyNumberFormat="1" applyFont="1" applyBorder="1" applyAlignment="1"/>
    <xf numFmtId="165" fontId="28" fillId="0" borderId="0" xfId="7" applyNumberFormat="1" applyFont="1"/>
    <xf numFmtId="165" fontId="28" fillId="0" borderId="9" xfId="7" applyNumberFormat="1" applyFont="1" applyBorder="1" applyAlignment="1">
      <alignment horizontal="center"/>
    </xf>
    <xf numFmtId="3" fontId="28" fillId="0" borderId="3" xfId="12" applyNumberFormat="1" applyFont="1" applyBorder="1" applyAlignment="1">
      <alignment horizontal="center"/>
    </xf>
    <xf numFmtId="3" fontId="28" fillId="0" borderId="0" xfId="1" applyNumberFormat="1" applyFont="1"/>
    <xf numFmtId="165" fontId="28" fillId="0" borderId="10" xfId="7" applyNumberFormat="1" applyFont="1" applyBorder="1" applyAlignment="1">
      <alignment horizontal="center"/>
    </xf>
    <xf numFmtId="3" fontId="28" fillId="0" borderId="24" xfId="12" applyNumberFormat="1" applyFont="1" applyBorder="1" applyAlignment="1">
      <alignment horizontal="center"/>
    </xf>
    <xf numFmtId="165" fontId="28" fillId="0" borderId="9" xfId="7" applyNumberFormat="1" applyFont="1" applyBorder="1"/>
    <xf numFmtId="43" fontId="11" fillId="0" borderId="22" xfId="7" applyFont="1" applyBorder="1" applyAlignment="1">
      <alignment horizontal="left"/>
    </xf>
    <xf numFmtId="164" fontId="28" fillId="0" borderId="10" xfId="2" applyNumberFormat="1" applyFont="1" applyBorder="1" applyAlignment="1"/>
    <xf numFmtId="0" fontId="33" fillId="8" borderId="14" xfId="1" applyFont="1" applyFill="1" applyBorder="1" applyAlignment="1">
      <alignment horizontal="center" vertical="center"/>
    </xf>
    <xf numFmtId="17" fontId="33" fillId="8" borderId="12" xfId="1" applyNumberFormat="1" applyFont="1" applyFill="1" applyBorder="1" applyAlignment="1">
      <alignment horizontal="center" vertical="center"/>
    </xf>
    <xf numFmtId="17" fontId="33" fillId="8" borderId="11" xfId="1" applyNumberFormat="1" applyFont="1" applyFill="1" applyBorder="1" applyAlignment="1">
      <alignment horizontal="center" vertical="center"/>
    </xf>
    <xf numFmtId="0" fontId="34" fillId="0" borderId="10" xfId="1" applyFont="1" applyBorder="1" applyAlignment="1">
      <alignment horizontal="left" indent="1"/>
    </xf>
    <xf numFmtId="164" fontId="34" fillId="0" borderId="10" xfId="2" applyNumberFormat="1" applyFont="1" applyFill="1" applyBorder="1" applyAlignment="1"/>
    <xf numFmtId="0" fontId="34" fillId="0" borderId="0" xfId="1" applyFont="1" applyAlignment="1">
      <alignment horizontal="left" indent="1"/>
    </xf>
    <xf numFmtId="165" fontId="34" fillId="0" borderId="0" xfId="7" applyNumberFormat="1" applyFont="1" applyFill="1" applyBorder="1"/>
    <xf numFmtId="0" fontId="34" fillId="0" borderId="0" xfId="1" applyFont="1"/>
    <xf numFmtId="17" fontId="33" fillId="8" borderId="14" xfId="1" applyNumberFormat="1" applyFont="1" applyFill="1" applyBorder="1" applyAlignment="1">
      <alignment horizontal="center" vertical="center"/>
    </xf>
    <xf numFmtId="165" fontId="34" fillId="0" borderId="23" xfId="7" applyNumberFormat="1" applyFont="1" applyFill="1" applyBorder="1"/>
    <xf numFmtId="164" fontId="34" fillId="0" borderId="14" xfId="2" applyNumberFormat="1" applyFont="1" applyFill="1" applyBorder="1" applyAlignment="1"/>
    <xf numFmtId="165" fontId="34" fillId="0" borderId="2" xfId="7" applyNumberFormat="1" applyFont="1" applyFill="1" applyBorder="1"/>
    <xf numFmtId="164" fontId="34" fillId="0" borderId="9" xfId="2" applyNumberFormat="1" applyFont="1" applyFill="1" applyBorder="1" applyAlignment="1"/>
    <xf numFmtId="165" fontId="34" fillId="0" borderId="4" xfId="7" applyNumberFormat="1" applyFont="1" applyFill="1" applyBorder="1"/>
    <xf numFmtId="43" fontId="34" fillId="0" borderId="0" xfId="7" applyFont="1" applyFill="1" applyBorder="1"/>
    <xf numFmtId="165" fontId="33" fillId="8" borderId="23" xfId="7" applyNumberFormat="1" applyFont="1" applyFill="1" applyBorder="1" applyAlignment="1">
      <alignment horizontal="center" vertical="center"/>
    </xf>
    <xf numFmtId="165" fontId="33" fillId="8" borderId="12" xfId="7" applyNumberFormat="1" applyFont="1" applyFill="1" applyBorder="1" applyAlignment="1">
      <alignment horizontal="center" vertical="center"/>
    </xf>
    <xf numFmtId="165" fontId="33" fillId="8" borderId="11" xfId="7" applyNumberFormat="1" applyFont="1" applyFill="1" applyBorder="1" applyAlignment="1">
      <alignment horizontal="center" vertical="center"/>
    </xf>
    <xf numFmtId="165" fontId="34" fillId="0" borderId="2" xfId="7" applyNumberFormat="1" applyFont="1" applyBorder="1" applyAlignment="1">
      <alignment horizontal="left" indent="1"/>
    </xf>
    <xf numFmtId="165" fontId="34" fillId="0" borderId="4" xfId="7" applyNumberFormat="1" applyFont="1" applyBorder="1" applyAlignment="1">
      <alignment horizontal="left" indent="1"/>
    </xf>
    <xf numFmtId="14" fontId="34" fillId="0" borderId="2" xfId="7" applyNumberFormat="1" applyFont="1" applyBorder="1" applyAlignment="1">
      <alignment horizontal="left" indent="1"/>
    </xf>
    <xf numFmtId="165" fontId="34" fillId="0" borderId="9" xfId="7" applyNumberFormat="1" applyFont="1" applyBorder="1" applyAlignment="1">
      <alignment horizontal="left" indent="1"/>
    </xf>
    <xf numFmtId="165" fontId="34" fillId="0" borderId="10" xfId="7" applyNumberFormat="1" applyFont="1" applyBorder="1" applyAlignment="1">
      <alignment horizontal="left" indent="1"/>
    </xf>
    <xf numFmtId="43" fontId="28" fillId="0" borderId="9" xfId="7" applyFont="1" applyBorder="1" applyAlignment="1"/>
    <xf numFmtId="43" fontId="28" fillId="0" borderId="9" xfId="2" applyFont="1" applyBorder="1" applyAlignment="1"/>
    <xf numFmtId="165" fontId="31" fillId="0" borderId="2" xfId="7" applyNumberFormat="1" applyFont="1" applyBorder="1" applyAlignment="1">
      <alignment horizontal="left" indent="1"/>
    </xf>
    <xf numFmtId="165" fontId="31" fillId="0" borderId="9" xfId="7" applyNumberFormat="1" applyFont="1" applyBorder="1" applyAlignment="1"/>
    <xf numFmtId="165" fontId="31" fillId="0" borderId="9" xfId="7" applyNumberFormat="1" applyFont="1" applyFill="1" applyBorder="1" applyAlignment="1"/>
    <xf numFmtId="10" fontId="28" fillId="0" borderId="9" xfId="3" applyNumberFormat="1" applyFont="1" applyBorder="1" applyAlignment="1"/>
    <xf numFmtId="10" fontId="28" fillId="0" borderId="9" xfId="3" applyNumberFormat="1" applyFont="1" applyFill="1" applyBorder="1" applyAlignment="1"/>
    <xf numFmtId="10" fontId="28" fillId="0" borderId="10" xfId="3" applyNumberFormat="1" applyFont="1" applyBorder="1" applyAlignment="1"/>
    <xf numFmtId="10" fontId="28" fillId="0" borderId="10" xfId="3" applyNumberFormat="1" applyFont="1" applyFill="1" applyBorder="1" applyAlignment="1"/>
    <xf numFmtId="14" fontId="11" fillId="0" borderId="18" xfId="7" applyNumberFormat="1" applyFont="1" applyFill="1" applyBorder="1" applyAlignment="1"/>
    <xf numFmtId="14" fontId="0" fillId="0" borderId="0" xfId="0" applyNumberFormat="1"/>
    <xf numFmtId="0" fontId="7" fillId="6" borderId="0" xfId="0" applyFont="1" applyFill="1" applyAlignment="1">
      <alignment horizontal="center"/>
    </xf>
    <xf numFmtId="14" fontId="7" fillId="6" borderId="0" xfId="0" applyNumberFormat="1" applyFont="1" applyFill="1" applyAlignment="1">
      <alignment horizontal="center"/>
    </xf>
    <xf numFmtId="165" fontId="7" fillId="6" borderId="0" xfId="7" applyNumberFormat="1" applyFont="1" applyFill="1" applyAlignment="1">
      <alignment horizontal="center"/>
    </xf>
    <xf numFmtId="0" fontId="35" fillId="0" borderId="0" xfId="1" applyFont="1"/>
    <xf numFmtId="14" fontId="35" fillId="0" borderId="0" xfId="1" applyNumberFormat="1" applyFont="1"/>
    <xf numFmtId="165" fontId="35" fillId="0" borderId="0" xfId="7" applyNumberFormat="1" applyFont="1"/>
    <xf numFmtId="165" fontId="31" fillId="0" borderId="4" xfId="7" applyNumberFormat="1" applyFont="1" applyBorder="1" applyAlignment="1">
      <alignment horizontal="left" indent="1"/>
    </xf>
    <xf numFmtId="165" fontId="31" fillId="0" borderId="10" xfId="7" applyNumberFormat="1" applyFont="1" applyBorder="1" applyAlignment="1"/>
    <xf numFmtId="165" fontId="11" fillId="0" borderId="0" xfId="7" applyNumberFormat="1" applyFont="1" applyFill="1" applyBorder="1" applyAlignment="1">
      <alignment wrapText="1"/>
    </xf>
    <xf numFmtId="14" fontId="11" fillId="0" borderId="15" xfId="7" applyNumberFormat="1" applyFont="1" applyFill="1" applyBorder="1" applyAlignment="1"/>
    <xf numFmtId="43" fontId="11" fillId="0" borderId="22" xfId="7" applyFont="1" applyFill="1" applyBorder="1" applyAlignment="1"/>
    <xf numFmtId="165" fontId="26" fillId="0" borderId="0" xfId="7" applyNumberFormat="1" applyFont="1" applyBorder="1" applyAlignment="1">
      <alignment horizontal="left"/>
    </xf>
    <xf numFmtId="14" fontId="26" fillId="0" borderId="0" xfId="7" applyNumberFormat="1" applyFont="1" applyFill="1" applyBorder="1" applyAlignment="1"/>
    <xf numFmtId="165" fontId="11" fillId="0" borderId="0" xfId="7" applyNumberFormat="1" applyFont="1" applyBorder="1" applyAlignment="1">
      <alignment horizontal="left"/>
    </xf>
    <xf numFmtId="165" fontId="26" fillId="0" borderId="0" xfId="7" applyNumberFormat="1" applyFont="1" applyFill="1" applyBorder="1" applyAlignment="1">
      <alignment horizontal="right"/>
    </xf>
    <xf numFmtId="165" fontId="26" fillId="0" borderId="0" xfId="7" applyNumberFormat="1" applyFont="1" applyBorder="1" applyAlignment="1">
      <alignment horizontal="left" vertical="center"/>
    </xf>
    <xf numFmtId="165" fontId="26" fillId="0" borderId="0" xfId="7" applyNumberFormat="1" applyFont="1" applyBorder="1" applyAlignment="1">
      <alignment horizontal="center" vertical="center"/>
    </xf>
    <xf numFmtId="165" fontId="26" fillId="0" borderId="0" xfId="7" applyNumberFormat="1" applyFont="1" applyBorder="1" applyAlignment="1">
      <alignment horizontal="center"/>
    </xf>
    <xf numFmtId="165" fontId="11" fillId="0" borderId="6" xfId="7" applyNumberFormat="1" applyFont="1" applyBorder="1" applyAlignment="1">
      <alignment horizontal="left"/>
    </xf>
    <xf numFmtId="165" fontId="26" fillId="0" borderId="0" xfId="7" applyNumberFormat="1" applyFont="1" applyBorder="1" applyAlignment="1">
      <alignment horizontal="right" vertical="center"/>
    </xf>
    <xf numFmtId="43" fontId="11" fillId="0" borderId="15" xfId="7" applyFont="1" applyFill="1" applyBorder="1" applyAlignment="1"/>
    <xf numFmtId="43" fontId="11" fillId="0" borderId="18" xfId="7" applyFont="1" applyFill="1" applyBorder="1" applyAlignment="1"/>
    <xf numFmtId="165" fontId="3" fillId="0" borderId="0" xfId="0" applyNumberFormat="1" applyFont="1"/>
    <xf numFmtId="0" fontId="7" fillId="9" borderId="0" xfId="0" applyFont="1" applyFill="1"/>
    <xf numFmtId="14" fontId="7" fillId="9" borderId="0" xfId="0" applyNumberFormat="1" applyFont="1" applyFill="1"/>
    <xf numFmtId="165" fontId="25" fillId="6" borderId="26" xfId="7" applyNumberFormat="1" applyFont="1" applyFill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20" fillId="0" borderId="5" xfId="7" applyNumberFormat="1" applyFont="1" applyBorder="1" applyAlignment="1">
      <alignment horizontal="center"/>
    </xf>
    <xf numFmtId="165" fontId="20" fillId="0" borderId="6" xfId="7" applyNumberFormat="1" applyFont="1" applyBorder="1" applyAlignment="1">
      <alignment horizontal="center"/>
    </xf>
    <xf numFmtId="165" fontId="21" fillId="0" borderId="13" xfId="7" applyNumberFormat="1" applyFont="1" applyBorder="1" applyAlignment="1">
      <alignment horizontal="center"/>
    </xf>
    <xf numFmtId="165" fontId="23" fillId="0" borderId="13" xfId="7" applyNumberFormat="1" applyFont="1" applyBorder="1" applyAlignment="1">
      <alignment horizontal="center" vertical="center"/>
    </xf>
    <xf numFmtId="165" fontId="19" fillId="5" borderId="0" xfId="7" applyNumberFormat="1" applyFont="1" applyFill="1" applyBorder="1" applyAlignment="1">
      <alignment horizontal="center"/>
    </xf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/>
    </xf>
    <xf numFmtId="165" fontId="12" fillId="0" borderId="6" xfId="7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W71"/>
  <sheetViews>
    <sheetView showGridLines="0" tabSelected="1" zoomScale="82" zoomScaleNormal="60" workbookViewId="0">
      <selection activeCell="T15" sqref="T15"/>
    </sheetView>
  </sheetViews>
  <sheetFormatPr defaultColWidth="8.6328125" defaultRowHeight="15.5" x14ac:dyDescent="0.35"/>
  <cols>
    <col min="1" max="1" width="8.6328125" style="233"/>
    <col min="2" max="2" width="2.81640625" style="233" customWidth="1"/>
    <col min="3" max="3" width="31.81640625" style="232" bestFit="1" customWidth="1"/>
    <col min="4" max="4" width="11.1796875" style="233" bestFit="1" customWidth="1"/>
    <col min="5" max="5" width="12.26953125" style="233" bestFit="1" customWidth="1"/>
    <col min="6" max="6" width="11" style="233" bestFit="1" customWidth="1"/>
    <col min="7" max="17" width="8" style="233" hidden="1" customWidth="1"/>
    <col min="18" max="18" width="11" style="233" bestFit="1" customWidth="1"/>
    <col min="19" max="19" width="13.36328125" style="233" bestFit="1" customWidth="1"/>
    <col min="20" max="20" width="11" style="234" bestFit="1" customWidth="1"/>
    <col min="21" max="22" width="5" style="234" customWidth="1"/>
    <col min="23" max="23" width="11" style="233" bestFit="1" customWidth="1"/>
    <col min="24" max="16384" width="8.6328125" style="233"/>
  </cols>
  <sheetData>
    <row r="2" spans="3:23" x14ac:dyDescent="0.35">
      <c r="D2" s="235" t="str">
        <f>TEXT(D4, "mmm-yy")</f>
        <v>Apr-26</v>
      </c>
      <c r="E2" s="235" t="str">
        <f t="shared" ref="E2:Q2" si="0">TEXT(E4, "mmm-yy")</f>
        <v>May-26</v>
      </c>
      <c r="F2" s="235" t="str">
        <f t="shared" si="0"/>
        <v>Jun-26</v>
      </c>
      <c r="G2" s="235" t="str">
        <f t="shared" si="0"/>
        <v>Jul-26</v>
      </c>
      <c r="H2" s="235" t="str">
        <f t="shared" si="0"/>
        <v>Aug-26</v>
      </c>
      <c r="I2" s="235" t="str">
        <f t="shared" si="0"/>
        <v>Sep-26</v>
      </c>
      <c r="J2" s="235" t="str">
        <f t="shared" si="0"/>
        <v>Oct-25</v>
      </c>
      <c r="K2" s="235" t="str">
        <f t="shared" si="0"/>
        <v>Nov-25</v>
      </c>
      <c r="L2" s="235" t="str">
        <f t="shared" si="0"/>
        <v>Oct-26</v>
      </c>
      <c r="M2" s="235" t="str">
        <f t="shared" si="0"/>
        <v>Nov-26</v>
      </c>
      <c r="N2" s="235" t="str">
        <f t="shared" si="0"/>
        <v>Dec-25</v>
      </c>
      <c r="O2" s="235" t="str">
        <f t="shared" si="0"/>
        <v>Jan-26</v>
      </c>
      <c r="P2" s="235" t="str">
        <f t="shared" si="0"/>
        <v>Feb-26</v>
      </c>
      <c r="Q2" s="235" t="str">
        <f t="shared" si="0"/>
        <v>Mar-26</v>
      </c>
    </row>
    <row r="3" spans="3:23" ht="16" thickBot="1" x14ac:dyDescent="0.4">
      <c r="D3" s="233">
        <v>30</v>
      </c>
      <c r="E3" s="233">
        <v>31</v>
      </c>
      <c r="F3" s="233">
        <v>21</v>
      </c>
      <c r="G3" s="233">
        <v>0</v>
      </c>
      <c r="H3" s="233">
        <v>0</v>
      </c>
      <c r="I3" s="233">
        <v>0</v>
      </c>
      <c r="J3" s="233">
        <v>0</v>
      </c>
      <c r="K3" s="233">
        <v>0</v>
      </c>
      <c r="L3" s="233">
        <v>0</v>
      </c>
      <c r="M3" s="233">
        <v>0</v>
      </c>
      <c r="N3" s="233">
        <v>0</v>
      </c>
      <c r="O3" s="233">
        <v>0</v>
      </c>
      <c r="P3" s="233">
        <v>0</v>
      </c>
      <c r="Q3" s="233">
        <v>0</v>
      </c>
      <c r="R3" s="233">
        <f>SUM(D3:Q3)</f>
        <v>82</v>
      </c>
    </row>
    <row r="4" spans="3:23" x14ac:dyDescent="0.35">
      <c r="C4" s="236" t="s">
        <v>211</v>
      </c>
      <c r="D4" s="237">
        <v>46113</v>
      </c>
      <c r="E4" s="237">
        <v>46143</v>
      </c>
      <c r="F4" s="237">
        <v>46174</v>
      </c>
      <c r="G4" s="237">
        <v>46204</v>
      </c>
      <c r="H4" s="237">
        <v>46235</v>
      </c>
      <c r="I4" s="237">
        <v>46266</v>
      </c>
      <c r="J4" s="237">
        <v>45931</v>
      </c>
      <c r="K4" s="237">
        <v>45962</v>
      </c>
      <c r="L4" s="237">
        <v>46296</v>
      </c>
      <c r="M4" s="237">
        <v>46327</v>
      </c>
      <c r="N4" s="237">
        <v>45992</v>
      </c>
      <c r="O4" s="237">
        <v>46023</v>
      </c>
      <c r="P4" s="237">
        <v>46054</v>
      </c>
      <c r="Q4" s="237">
        <v>46082</v>
      </c>
      <c r="R4" s="239" t="s">
        <v>300</v>
      </c>
    </row>
    <row r="5" spans="3:23" x14ac:dyDescent="0.35">
      <c r="C5" s="240" t="s">
        <v>0</v>
      </c>
      <c r="D5" s="241">
        <v>19.16</v>
      </c>
      <c r="E5" s="241">
        <f>SUMIFS(Details!$BB$4:$BB$18,Details!$C$4:$C$18,Summary!E$4)/1000</f>
        <v>55.8</v>
      </c>
      <c r="F5" s="241">
        <f>SUMIFS(Details!$BB$4:$BB$18,Details!$C$4:$C$18,Summary!F$4)/1000</f>
        <v>112.91</v>
      </c>
      <c r="G5" s="241">
        <f>SUMIFS(Details!$BB$4:$BB$18,Details!$C$4:$C$18,Summary!G$4)/1000</f>
        <v>0</v>
      </c>
      <c r="H5" s="241">
        <f>SUMIFS(Details!$BB$4:$BB$18,Details!$C$4:$C$18,Summary!H$4)/1000</f>
        <v>0</v>
      </c>
      <c r="I5" s="241">
        <f>SUMIFS(Details!$BB$4:$BB$18,Details!$C$4:$C$18,Summary!I$4)/1000</f>
        <v>0</v>
      </c>
      <c r="J5" s="241">
        <f>SUMIFS(Details!$BB$4:$BB$18,Details!$C$4:$C$18,Summary!J$4)/1000</f>
        <v>0</v>
      </c>
      <c r="K5" s="241">
        <f>SUMIFS(Details!$BB$4:$BB$18,Details!$C$4:$C$18,Summary!K$4)/1000</f>
        <v>0</v>
      </c>
      <c r="L5" s="241">
        <f>SUMIFS(Details!$BB$4:$BB$18,Details!$C$4:$C$18,Summary!L$4)/1000</f>
        <v>0</v>
      </c>
      <c r="M5" s="241">
        <f>SUMIFS(Details!$BB$4:$BB$18,Details!$C$4:$C$18,Summary!M$4)/1000</f>
        <v>0</v>
      </c>
      <c r="N5" s="241">
        <f>SUMIFS(Details!$BB$4:$BB$18,Details!$C$4:$C$18,Summary!N$4)/1000</f>
        <v>0</v>
      </c>
      <c r="O5" s="241">
        <f>SUMIFS(Details!$BB$4:$BB$18,Details!$C$4:$C$18,Summary!O$4)/1000</f>
        <v>0</v>
      </c>
      <c r="P5" s="241">
        <f>SUMIFS(Details!$BB$4:$BB$18,Details!$C$4:$C$18,Summary!P$4)/1000</f>
        <v>0</v>
      </c>
      <c r="Q5" s="241">
        <f>SUMIFS(Details!$BB$4:$BB$18,Details!$C$4:$C$18,Summary!Q$4)/1000</f>
        <v>0</v>
      </c>
      <c r="R5" s="241">
        <f t="shared" ref="R5:R11" si="1">SUM(D5:Q5)</f>
        <v>187.87</v>
      </c>
      <c r="S5" s="242">
        <f>Details!BB19/1000</f>
        <v>187.87</v>
      </c>
      <c r="T5" s="234">
        <f>R5-S5</f>
        <v>0</v>
      </c>
      <c r="U5" s="234">
        <f>-T5</f>
        <v>0</v>
      </c>
    </row>
    <row r="6" spans="3:23" x14ac:dyDescent="0.35">
      <c r="C6" s="240" t="s">
        <v>1</v>
      </c>
      <c r="D6" s="241">
        <v>268100</v>
      </c>
      <c r="E6" s="241">
        <f>SUMIFS(Details!$BO$4:$BO$18,Details!$C$4:$C$18,Summary!E$4)</f>
        <v>729921</v>
      </c>
      <c r="F6" s="241">
        <f>SUMIFS(Details!$BO$4:$BO$18,Details!$C$4:$C$18,Summary!F$4)</f>
        <v>1028032.6000000001</v>
      </c>
      <c r="G6" s="241">
        <f>SUMIFS(Details!$BO$4:$BO$18,Details!$C$4:$C$18,Summary!G$4)</f>
        <v>0</v>
      </c>
      <c r="H6" s="241">
        <f>SUMIFS(Details!$BO$4:$BO$18,Details!$C$4:$C$18,Summary!H$4)</f>
        <v>0</v>
      </c>
      <c r="I6" s="241">
        <f>SUMIFS(Details!$BO$4:$BO$18,Details!$C$4:$C$18,Summary!I$4)</f>
        <v>0</v>
      </c>
      <c r="J6" s="241">
        <f>SUMIFS(Details!$BO$4:$BO$18,Details!$C$4:$C$18,Summary!J$4)</f>
        <v>0</v>
      </c>
      <c r="K6" s="241">
        <f>SUMIFS(Details!$BO$4:$BO$18,Details!$C$4:$C$18,Summary!K$4)</f>
        <v>0</v>
      </c>
      <c r="L6" s="241">
        <f>SUMIFS(Details!$BO$4:$BO$18,Details!$C$4:$C$18,Summary!L$4)</f>
        <v>0</v>
      </c>
      <c r="M6" s="241">
        <f>SUMIFS(Details!$BO$4:$BO$18,Details!$C$4:$C$18,Summary!M$4)</f>
        <v>0</v>
      </c>
      <c r="N6" s="241">
        <f>SUMIFS(Details!$BO$4:$BO$18,Details!$C$4:$C$18,Summary!N$4)</f>
        <v>0</v>
      </c>
      <c r="O6" s="241">
        <f>SUMIFS(Details!$BO$4:$BO$18,Details!$C$4:$C$18,Summary!O$4)</f>
        <v>0</v>
      </c>
      <c r="P6" s="241">
        <f>SUMIFS(Details!$BO$4:$BO$18,Details!$C$4:$C$18,Summary!P$4)</f>
        <v>0</v>
      </c>
      <c r="Q6" s="241">
        <f>SUMIFS(Details!$BO$4:$BO$18,Details!$C$4:$C$18,Summary!Q$4)</f>
        <v>0</v>
      </c>
      <c r="R6" s="243">
        <f t="shared" si="1"/>
        <v>2026053.6</v>
      </c>
      <c r="S6" s="244">
        <f>Details!BO19</f>
        <v>2026053.6</v>
      </c>
      <c r="T6" s="234">
        <f>R6-S6+R71</f>
        <v>0</v>
      </c>
      <c r="U6" s="234">
        <f t="shared" ref="U6:U7" si="2">-T6</f>
        <v>0</v>
      </c>
      <c r="W6" s="242"/>
    </row>
    <row r="7" spans="3:23" x14ac:dyDescent="0.35">
      <c r="C7" s="240" t="s">
        <v>2</v>
      </c>
      <c r="D7" s="241">
        <v>220225</v>
      </c>
      <c r="E7" s="241">
        <f>SUMIFS(Details!$AM$4:$AM$18,Details!$C$4:$C$18,Summary!E$4)-SUMIFS(Details!$AB$4:$AB$18,Details!$C$4:$C$18,Summary!E$4)</f>
        <v>660165</v>
      </c>
      <c r="F7" s="241">
        <f>SUMIFS(Details!$AM$4:$AM$18,Details!$C$4:$C$18,Summary!F$4)-SUMIFS(Details!$AB$4:$AB$18,Details!$C$4:$C$18,Summary!F$4)</f>
        <v>969640</v>
      </c>
      <c r="G7" s="241">
        <f>SUMIFS(Details!$AM$4:$AM$18,Details!$C$4:$C$18,Summary!G$4)-SUMIFS(Details!$AB$4:$AB$18,Details!$C$4:$C$18,Summary!G$4)</f>
        <v>0</v>
      </c>
      <c r="H7" s="241">
        <f>SUMIFS(Details!$AM$4:$AM$18,Details!$C$4:$C$18,Summary!H$4)-SUMIFS(Details!$AB$4:$AB$18,Details!$C$4:$C$18,Summary!H$4)</f>
        <v>0</v>
      </c>
      <c r="I7" s="241">
        <f>SUMIFS(Details!$AM$4:$AM$18,Details!$C$4:$C$18,Summary!I$4)-SUMIFS(Details!$AB$4:$AB$18,Details!$C$4:$C$18,Summary!I$4)</f>
        <v>0</v>
      </c>
      <c r="J7" s="241">
        <f>SUMIFS(Details!$AM$4:$AM$18,Details!$C$4:$C$18,Summary!J$4)-SUMIFS(Details!$AB$4:$AB$18,Details!$C$4:$C$18,Summary!J$4)</f>
        <v>0</v>
      </c>
      <c r="K7" s="241">
        <f>SUMIFS(Details!$AM$4:$AM$18,Details!$C$4:$C$18,Summary!K$4)-SUMIFS(Details!$AB$4:$AB$18,Details!$C$4:$C$18,Summary!K$4)</f>
        <v>0</v>
      </c>
      <c r="L7" s="241">
        <f>SUMIFS(Details!$AM$4:$AM$18,Details!$C$4:$C$18,Summary!L$4)-SUMIFS(Details!$AB$4:$AB$18,Details!$C$4:$C$18,Summary!L$4)</f>
        <v>0</v>
      </c>
      <c r="M7" s="241">
        <f>SUMIFS(Details!$AM$4:$AM$18,Details!$C$4:$C$18,Summary!M$4)-SUMIFS(Details!$AB$4:$AB$18,Details!$C$4:$C$18,Summary!M$4)</f>
        <v>0</v>
      </c>
      <c r="N7" s="241">
        <f>SUMIFS(Details!$AM$4:$AM$18,Details!$C$4:$C$18,Summary!N$4)-SUMIFS(Details!$AB$4:$AB$18,Details!$C$4:$C$18,Summary!N$4)</f>
        <v>0</v>
      </c>
      <c r="O7" s="241">
        <f>SUMIFS(Details!$AM$4:$AM$18,Details!$C$4:$C$18,Summary!O$4)-SUMIFS(Details!$AB$4:$AB$18,Details!$C$4:$C$18,Summary!O$4)</f>
        <v>0</v>
      </c>
      <c r="P7" s="241">
        <f>SUMIFS(Details!$AM$4:$AM$18,Details!$C$4:$C$18,Summary!P$4)-SUMIFS(Details!$AB$4:$AB$18,Details!$C$4:$C$18,Summary!P$4)</f>
        <v>0</v>
      </c>
      <c r="Q7" s="241">
        <f>SUMIFS(Details!$AM$4:$AM$18,Details!$C$4:$C$18,Summary!Q$4)-SUMIFS(Details!$AB$4:$AB$18,Details!$C$4:$C$18,Summary!Q$4)</f>
        <v>0</v>
      </c>
      <c r="R7" s="243">
        <f t="shared" si="1"/>
        <v>1850030</v>
      </c>
      <c r="S7" s="244">
        <f>Details!P20</f>
        <v>1850030</v>
      </c>
      <c r="T7" s="245">
        <f>R7-S7</f>
        <v>0</v>
      </c>
      <c r="U7" s="234">
        <f t="shared" si="2"/>
        <v>0</v>
      </c>
      <c r="V7" s="245"/>
      <c r="W7" s="242"/>
    </row>
    <row r="8" spans="3:23" x14ac:dyDescent="0.35">
      <c r="C8" s="240" t="s">
        <v>187</v>
      </c>
      <c r="D8" s="241">
        <f t="shared" ref="D8:Q8" si="3">D6-D7</f>
        <v>47875</v>
      </c>
      <c r="E8" s="241">
        <f t="shared" si="3"/>
        <v>69756</v>
      </c>
      <c r="F8" s="241">
        <f t="shared" si="3"/>
        <v>58392.600000000093</v>
      </c>
      <c r="G8" s="241">
        <f t="shared" si="3"/>
        <v>0</v>
      </c>
      <c r="H8" s="241">
        <f t="shared" si="3"/>
        <v>0</v>
      </c>
      <c r="I8" s="241">
        <f t="shared" si="3"/>
        <v>0</v>
      </c>
      <c r="J8" s="241">
        <f t="shared" si="3"/>
        <v>0</v>
      </c>
      <c r="K8" s="241">
        <f t="shared" si="3"/>
        <v>0</v>
      </c>
      <c r="L8" s="241">
        <f t="shared" si="3"/>
        <v>0</v>
      </c>
      <c r="M8" s="241">
        <f t="shared" si="3"/>
        <v>0</v>
      </c>
      <c r="N8" s="241">
        <f t="shared" si="3"/>
        <v>0</v>
      </c>
      <c r="O8" s="241">
        <f t="shared" si="3"/>
        <v>0</v>
      </c>
      <c r="P8" s="241">
        <f t="shared" si="3"/>
        <v>0</v>
      </c>
      <c r="Q8" s="241">
        <f t="shared" si="3"/>
        <v>0</v>
      </c>
      <c r="R8" s="241">
        <f>SUM(D8:Q8)</f>
        <v>176023.60000000009</v>
      </c>
      <c r="S8" s="248"/>
      <c r="W8" s="242"/>
    </row>
    <row r="9" spans="3:23" x14ac:dyDescent="0.35">
      <c r="C9" s="247" t="s">
        <v>217</v>
      </c>
      <c r="D9" s="250">
        <f>IFERROR((D8/D6),0)</f>
        <v>0.17857142857142858</v>
      </c>
      <c r="E9" s="250">
        <f t="shared" ref="E9:R9" si="4">IFERROR((E8/E6),0)</f>
        <v>9.5566506512348603E-2</v>
      </c>
      <c r="F9" s="250">
        <f t="shared" si="4"/>
        <v>5.6800338821940168E-2</v>
      </c>
      <c r="G9" s="250">
        <f t="shared" si="4"/>
        <v>0</v>
      </c>
      <c r="H9" s="250">
        <f t="shared" si="4"/>
        <v>0</v>
      </c>
      <c r="I9" s="250">
        <f t="shared" si="4"/>
        <v>0</v>
      </c>
      <c r="J9" s="250">
        <f t="shared" si="4"/>
        <v>0</v>
      </c>
      <c r="K9" s="250">
        <f t="shared" si="4"/>
        <v>0</v>
      </c>
      <c r="L9" s="250">
        <f t="shared" si="4"/>
        <v>0</v>
      </c>
      <c r="M9" s="250">
        <f t="shared" si="4"/>
        <v>0</v>
      </c>
      <c r="N9" s="250">
        <f t="shared" si="4"/>
        <v>0</v>
      </c>
      <c r="O9" s="250">
        <f t="shared" si="4"/>
        <v>0</v>
      </c>
      <c r="P9" s="250">
        <f t="shared" si="4"/>
        <v>0</v>
      </c>
      <c r="Q9" s="250">
        <f t="shared" si="4"/>
        <v>0</v>
      </c>
      <c r="R9" s="250">
        <f t="shared" si="4"/>
        <v>8.6880031209440892E-2</v>
      </c>
      <c r="W9" s="242"/>
    </row>
    <row r="10" spans="3:23" x14ac:dyDescent="0.35">
      <c r="C10" s="240" t="s">
        <v>3</v>
      </c>
      <c r="D10" s="241">
        <v>54711</v>
      </c>
      <c r="E10" s="241">
        <f>SUMIFS(Details!$AB$4:$AB$18,Details!$C$4:$C$18,Summary!E$4)</f>
        <v>0</v>
      </c>
      <c r="F10" s="241">
        <f>SUMIFS(Details!$AB$4:$AB$18,Details!$C$4:$C$18,Summary!F$4)</f>
        <v>0</v>
      </c>
      <c r="G10" s="241">
        <f>SUMIFS(Details!$AB$4:$AB$18,Details!$C$4:$C$18,Summary!G$4)</f>
        <v>0</v>
      </c>
      <c r="H10" s="241">
        <f>SUMIFS(Details!$AB$4:$AB$18,Details!$C$4:$C$18,Summary!H$4)</f>
        <v>0</v>
      </c>
      <c r="I10" s="241">
        <f>SUMIFS(Details!$AB$4:$AB$18,Details!$C$4:$C$18,Summary!I$4)</f>
        <v>0</v>
      </c>
      <c r="J10" s="241">
        <f>SUMIFS(Details!$AB$4:$AB$18,Details!$C$4:$C$18,Summary!J$4)</f>
        <v>0</v>
      </c>
      <c r="K10" s="241">
        <f>SUMIFS(Details!$AB$4:$AB$18,Details!$C$4:$C$18,Summary!K$4)</f>
        <v>0</v>
      </c>
      <c r="L10" s="241">
        <f>SUMIFS(Details!$AB$4:$AB$18,Details!$C$4:$C$18,Summary!L$4)</f>
        <v>0</v>
      </c>
      <c r="M10" s="241">
        <f>SUMIFS(Details!$AB$4:$AB$18,Details!$C$4:$C$18,Summary!M$4)</f>
        <v>0</v>
      </c>
      <c r="N10" s="241">
        <f>SUMIFS(Details!$AB$4:$AB$18,Details!$C$4:$C$18,Summary!N$4)</f>
        <v>0</v>
      </c>
      <c r="O10" s="241">
        <f>SUMIFS(Details!$AB$4:$AB$18,Details!$C$4:$C$18,Summary!O$4)</f>
        <v>0</v>
      </c>
      <c r="P10" s="241">
        <f>SUMIFS(Details!$AB$4:$AB$18,Details!$C$4:$C$18,Summary!P$4)</f>
        <v>0</v>
      </c>
      <c r="Q10" s="241">
        <f>SUMIFS(Details!$AB$4:$AB$18,Details!$C$4:$C$18,Summary!Q$4)</f>
        <v>0</v>
      </c>
      <c r="R10" s="241">
        <f t="shared" si="1"/>
        <v>54711</v>
      </c>
      <c r="S10" s="246">
        <f>Details!AB19+Details!AB35</f>
        <v>54711</v>
      </c>
      <c r="T10" s="245">
        <f>R10-S10</f>
        <v>0</v>
      </c>
      <c r="U10" s="234">
        <f t="shared" ref="U10" si="5">-T10</f>
        <v>0</v>
      </c>
      <c r="V10" s="245"/>
      <c r="W10" s="242"/>
    </row>
    <row r="11" spans="3:23" x14ac:dyDescent="0.35">
      <c r="C11" s="240" t="s">
        <v>343</v>
      </c>
      <c r="D11" s="241">
        <f>SUMIFS(Details!$AC$4:$AC$18,Details!$C$4:$C$18,Summary!D$4)+SUMIFS(Details!AM24:AM34,Details!C24:C34,Summary!D4)-SUMIFS(Details!AB24:AB34,Details!C24:C34,Summary!D4)</f>
        <v>332906</v>
      </c>
      <c r="E11" s="241">
        <f>SUMIFS(Details!$AC$5:$AC$18,Details!$C$5:$C$18,Summary!E$4)+SUMIFS(Details!AM24:AM34,Details!C24:C34,Summary!E4)-SUMIFS(Details!AB24:AB34,Details!C24:C34,Summary!E4)</f>
        <v>222000</v>
      </c>
      <c r="F11" s="241">
        <f>SUMIFS(Details!$AC$4:$AC$18,Details!$C$4:$C$18,Summary!F$4)</f>
        <v>0</v>
      </c>
      <c r="G11" s="241">
        <f>SUMIFS(Details!$AC$4:$AC$18,Details!$C$4:$C$18,Summary!G$4)</f>
        <v>0</v>
      </c>
      <c r="H11" s="241">
        <f>SUMIFS(Details!$AC$4:$AC$18,Details!$C$4:$C$18,Summary!H$4)</f>
        <v>0</v>
      </c>
      <c r="I11" s="241">
        <f>SUMIFS(Details!$AC$4:$AC$18,Details!$C$4:$C$18,Summary!I$4)</f>
        <v>0</v>
      </c>
      <c r="J11" s="241">
        <f>SUMIFS(Details!$AC$4:$AC$18,Details!$C$4:$C$18,Summary!J$4)</f>
        <v>0</v>
      </c>
      <c r="K11" s="241">
        <f>SUMIFS(Details!$AC$4:$AC$18,Details!$C$4:$C$18,Summary!K$4)</f>
        <v>0</v>
      </c>
      <c r="L11" s="241">
        <f>SUMIFS(Details!$AC$4:$AC$18,Details!$C$4:$C$18,Summary!L$4)</f>
        <v>0</v>
      </c>
      <c r="M11" s="241">
        <f>SUMIFS(Details!$AC$4:$AC$18,Details!$C$4:$C$18,Summary!M$4)</f>
        <v>0</v>
      </c>
      <c r="N11" s="241">
        <f>SUMIFS(Details!$AC$4:$AC$18,Details!$C$4:$C$18,Summary!N$4)</f>
        <v>0</v>
      </c>
      <c r="O11" s="241">
        <f>SUMIFS(Details!$AC$4:$AC$18,Details!$C$4:$C$18,Summary!O$4)</f>
        <v>0</v>
      </c>
      <c r="P11" s="241">
        <f>SUMIFS(Details!$AC$4:$AC$18,Details!$C$4:$C$18,Summary!P$4)</f>
        <v>0</v>
      </c>
      <c r="Q11" s="241">
        <f>SUMIFS(Details!$AC$4:$AC$18,Details!$C$4:$C$18,Summary!Q$4)</f>
        <v>0</v>
      </c>
      <c r="R11" s="241">
        <f t="shared" si="1"/>
        <v>554906</v>
      </c>
      <c r="S11" s="246"/>
      <c r="T11" s="245"/>
      <c r="U11" s="245"/>
      <c r="V11" s="245"/>
      <c r="W11" s="242"/>
    </row>
    <row r="12" spans="3:23" x14ac:dyDescent="0.35">
      <c r="C12" s="240" t="s">
        <v>189</v>
      </c>
      <c r="D12" s="241">
        <f>D6-D7-D10-D11</f>
        <v>-339742</v>
      </c>
      <c r="E12" s="241">
        <f>E6-E7-E10-E11</f>
        <v>-152244</v>
      </c>
      <c r="F12" s="241">
        <f t="shared" ref="F12:Q12" si="6">F6-F7-F10</f>
        <v>58392.600000000093</v>
      </c>
      <c r="G12" s="241">
        <f t="shared" si="6"/>
        <v>0</v>
      </c>
      <c r="H12" s="241">
        <f t="shared" si="6"/>
        <v>0</v>
      </c>
      <c r="I12" s="241">
        <f t="shared" si="6"/>
        <v>0</v>
      </c>
      <c r="J12" s="241">
        <f t="shared" si="6"/>
        <v>0</v>
      </c>
      <c r="K12" s="241">
        <f t="shared" si="6"/>
        <v>0</v>
      </c>
      <c r="L12" s="241">
        <f t="shared" si="6"/>
        <v>0</v>
      </c>
      <c r="M12" s="241">
        <f t="shared" si="6"/>
        <v>0</v>
      </c>
      <c r="N12" s="241">
        <f t="shared" si="6"/>
        <v>0</v>
      </c>
      <c r="O12" s="241">
        <f t="shared" si="6"/>
        <v>0</v>
      </c>
      <c r="P12" s="241">
        <f t="shared" si="6"/>
        <v>0</v>
      </c>
      <c r="Q12" s="241">
        <f t="shared" si="6"/>
        <v>0</v>
      </c>
      <c r="R12" s="241">
        <f>SUM(D12:Q12)</f>
        <v>-433593.39999999991</v>
      </c>
      <c r="S12" s="242" t="s">
        <v>117</v>
      </c>
      <c r="W12" s="242"/>
    </row>
    <row r="13" spans="3:23" x14ac:dyDescent="0.35">
      <c r="C13" s="249" t="s">
        <v>216</v>
      </c>
      <c r="D13" s="250">
        <f>IFERROR((D12/D6),0)</f>
        <v>-1.2672211861245803</v>
      </c>
      <c r="E13" s="250">
        <f t="shared" ref="E13:R13" si="7">IFERROR((E12/E6),0)</f>
        <v>-0.20857599658045187</v>
      </c>
      <c r="F13" s="250">
        <f t="shared" si="7"/>
        <v>5.6800338821940168E-2</v>
      </c>
      <c r="G13" s="250">
        <f t="shared" si="7"/>
        <v>0</v>
      </c>
      <c r="H13" s="250">
        <f t="shared" si="7"/>
        <v>0</v>
      </c>
      <c r="I13" s="250">
        <f t="shared" si="7"/>
        <v>0</v>
      </c>
      <c r="J13" s="250">
        <f t="shared" si="7"/>
        <v>0</v>
      </c>
      <c r="K13" s="250">
        <f t="shared" si="7"/>
        <v>0</v>
      </c>
      <c r="L13" s="250">
        <f t="shared" si="7"/>
        <v>0</v>
      </c>
      <c r="M13" s="250">
        <f t="shared" si="7"/>
        <v>0</v>
      </c>
      <c r="N13" s="250">
        <f t="shared" si="7"/>
        <v>0</v>
      </c>
      <c r="O13" s="250">
        <f t="shared" si="7"/>
        <v>0</v>
      </c>
      <c r="P13" s="250">
        <f t="shared" si="7"/>
        <v>0</v>
      </c>
      <c r="Q13" s="250">
        <f t="shared" si="7"/>
        <v>0</v>
      </c>
      <c r="R13" s="250">
        <f t="shared" si="7"/>
        <v>-0.21400884951908472</v>
      </c>
      <c r="W13" s="242"/>
    </row>
    <row r="14" spans="3:23" x14ac:dyDescent="0.35">
      <c r="C14" s="240" t="s">
        <v>234</v>
      </c>
      <c r="D14" s="243">
        <v>0</v>
      </c>
      <c r="E14" s="243">
        <v>0</v>
      </c>
      <c r="F14" s="243">
        <v>0</v>
      </c>
      <c r="G14" s="243">
        <v>0</v>
      </c>
      <c r="H14" s="243">
        <v>0</v>
      </c>
      <c r="I14" s="243">
        <v>0</v>
      </c>
      <c r="J14" s="243">
        <v>0</v>
      </c>
      <c r="K14" s="243">
        <v>0</v>
      </c>
      <c r="L14" s="243">
        <v>0</v>
      </c>
      <c r="M14" s="243">
        <v>0</v>
      </c>
      <c r="N14" s="243">
        <v>0</v>
      </c>
      <c r="O14" s="243">
        <v>0</v>
      </c>
      <c r="P14" s="243">
        <v>0</v>
      </c>
      <c r="Q14" s="243">
        <v>0</v>
      </c>
      <c r="R14" s="241">
        <f>SUM(D14:Q14)</f>
        <v>0</v>
      </c>
      <c r="S14" s="251"/>
      <c r="W14" s="242"/>
    </row>
    <row r="15" spans="3:23" x14ac:dyDescent="0.35">
      <c r="C15" s="240" t="s">
        <v>4</v>
      </c>
      <c r="D15" s="310">
        <f t="shared" ref="D15:R15" si="8">IFERROR((D10/D6),0)</f>
        <v>0.20406937709809772</v>
      </c>
      <c r="E15" s="310">
        <f t="shared" si="8"/>
        <v>0</v>
      </c>
      <c r="F15" s="310">
        <f t="shared" si="8"/>
        <v>0</v>
      </c>
      <c r="G15" s="310">
        <f t="shared" si="8"/>
        <v>0</v>
      </c>
      <c r="H15" s="310">
        <f t="shared" si="8"/>
        <v>0</v>
      </c>
      <c r="I15" s="310">
        <f t="shared" si="8"/>
        <v>0</v>
      </c>
      <c r="J15" s="310">
        <f t="shared" si="8"/>
        <v>0</v>
      </c>
      <c r="K15" s="310">
        <f t="shared" si="8"/>
        <v>0</v>
      </c>
      <c r="L15" s="310">
        <f t="shared" si="8"/>
        <v>0</v>
      </c>
      <c r="M15" s="310">
        <f t="shared" si="8"/>
        <v>0</v>
      </c>
      <c r="N15" s="310">
        <f t="shared" si="8"/>
        <v>0</v>
      </c>
      <c r="O15" s="310">
        <f t="shared" si="8"/>
        <v>0</v>
      </c>
      <c r="P15" s="310">
        <f t="shared" si="8"/>
        <v>0</v>
      </c>
      <c r="Q15" s="310">
        <f t="shared" si="8"/>
        <v>0</v>
      </c>
      <c r="R15" s="310">
        <f t="shared" si="8"/>
        <v>2.7003727838197371E-2</v>
      </c>
      <c r="S15" s="251"/>
      <c r="W15" s="242"/>
    </row>
    <row r="16" spans="3:23" x14ac:dyDescent="0.35">
      <c r="C16" s="240" t="s">
        <v>8</v>
      </c>
      <c r="D16" s="305">
        <f t="shared" ref="D16:Q16" si="9">IFERROR(+D6/(D5*1000),0)</f>
        <v>13.992693110647181</v>
      </c>
      <c r="E16" s="305">
        <f t="shared" si="9"/>
        <v>13.081021505376343</v>
      </c>
      <c r="F16" s="305">
        <f t="shared" si="9"/>
        <v>9.104885306881588</v>
      </c>
      <c r="G16" s="305">
        <f t="shared" si="9"/>
        <v>0</v>
      </c>
      <c r="H16" s="305">
        <f t="shared" si="9"/>
        <v>0</v>
      </c>
      <c r="I16" s="305">
        <f t="shared" si="9"/>
        <v>0</v>
      </c>
      <c r="J16" s="305">
        <f t="shared" si="9"/>
        <v>0</v>
      </c>
      <c r="K16" s="305">
        <f t="shared" si="9"/>
        <v>0</v>
      </c>
      <c r="L16" s="305">
        <f t="shared" si="9"/>
        <v>0</v>
      </c>
      <c r="M16" s="305">
        <f t="shared" si="9"/>
        <v>0</v>
      </c>
      <c r="N16" s="305">
        <f t="shared" si="9"/>
        <v>0</v>
      </c>
      <c r="O16" s="305">
        <f t="shared" si="9"/>
        <v>0</v>
      </c>
      <c r="P16" s="305">
        <f t="shared" si="9"/>
        <v>0</v>
      </c>
      <c r="Q16" s="305">
        <f t="shared" si="9"/>
        <v>0</v>
      </c>
      <c r="R16" s="306">
        <f>+R6/(R5*1000)</f>
        <v>10.784338106137223</v>
      </c>
      <c r="T16" s="245"/>
      <c r="U16" s="245"/>
      <c r="V16" s="245"/>
    </row>
    <row r="17" spans="3:23" x14ac:dyDescent="0.35">
      <c r="C17" s="240" t="s">
        <v>9</v>
      </c>
      <c r="D17" s="305">
        <f t="shared" ref="D17:Q17" si="10">IFERROR(+D7/(D5*1000),0)</f>
        <v>11.493997912317328</v>
      </c>
      <c r="E17" s="305">
        <f t="shared" si="10"/>
        <v>11.830913978494623</v>
      </c>
      <c r="F17" s="305">
        <f t="shared" si="10"/>
        <v>8.5877247365158098</v>
      </c>
      <c r="G17" s="305">
        <f t="shared" si="10"/>
        <v>0</v>
      </c>
      <c r="H17" s="305">
        <f t="shared" si="10"/>
        <v>0</v>
      </c>
      <c r="I17" s="305">
        <f t="shared" si="10"/>
        <v>0</v>
      </c>
      <c r="J17" s="305">
        <f t="shared" si="10"/>
        <v>0</v>
      </c>
      <c r="K17" s="305">
        <f t="shared" si="10"/>
        <v>0</v>
      </c>
      <c r="L17" s="305">
        <f t="shared" si="10"/>
        <v>0</v>
      </c>
      <c r="M17" s="305">
        <f t="shared" si="10"/>
        <v>0</v>
      </c>
      <c r="N17" s="305">
        <f t="shared" si="10"/>
        <v>0</v>
      </c>
      <c r="O17" s="305">
        <f t="shared" si="10"/>
        <v>0</v>
      </c>
      <c r="P17" s="305">
        <f t="shared" si="10"/>
        <v>0</v>
      </c>
      <c r="Q17" s="305">
        <f t="shared" si="10"/>
        <v>0</v>
      </c>
      <c r="R17" s="306">
        <f>+R7/(R5*1000)</f>
        <v>9.8473944749028579</v>
      </c>
    </row>
    <row r="18" spans="3:23" x14ac:dyDescent="0.35">
      <c r="C18" s="240" t="s">
        <v>10</v>
      </c>
      <c r="D18" s="305">
        <f t="shared" ref="D18:Q18" si="11">IFERROR(D10/(D5*1000),0)</f>
        <v>2.8554801670146137</v>
      </c>
      <c r="E18" s="305">
        <f t="shared" si="11"/>
        <v>0</v>
      </c>
      <c r="F18" s="305">
        <f t="shared" si="11"/>
        <v>0</v>
      </c>
      <c r="G18" s="305">
        <f t="shared" si="11"/>
        <v>0</v>
      </c>
      <c r="H18" s="305">
        <f t="shared" si="11"/>
        <v>0</v>
      </c>
      <c r="I18" s="305">
        <f t="shared" si="11"/>
        <v>0</v>
      </c>
      <c r="J18" s="305">
        <f t="shared" si="11"/>
        <v>0</v>
      </c>
      <c r="K18" s="305">
        <f t="shared" si="11"/>
        <v>0</v>
      </c>
      <c r="L18" s="305">
        <f t="shared" si="11"/>
        <v>0</v>
      </c>
      <c r="M18" s="305">
        <f t="shared" si="11"/>
        <v>0</v>
      </c>
      <c r="N18" s="305">
        <f t="shared" si="11"/>
        <v>0</v>
      </c>
      <c r="O18" s="305">
        <f t="shared" si="11"/>
        <v>0</v>
      </c>
      <c r="P18" s="305">
        <f t="shared" si="11"/>
        <v>0</v>
      </c>
      <c r="Q18" s="305">
        <f t="shared" si="11"/>
        <v>0</v>
      </c>
      <c r="R18" s="306">
        <f>R10/(R5*1000)</f>
        <v>0.29121733113323045</v>
      </c>
    </row>
    <row r="19" spans="3:23" x14ac:dyDescent="0.35">
      <c r="C19" s="240" t="s">
        <v>11</v>
      </c>
      <c r="D19" s="279" cm="1">
        <f t="array" ref="D19">IFERROR(ROWS(_xlfn.UNIQUE(_xlfn._xlws.FILTER(Details!$AO$5:$AO$18, (Details!$C$5:$C$18)=Summary!D$2))),0)</f>
        <v>1</v>
      </c>
      <c r="E19" s="279" cm="1">
        <f t="array" ref="E19">IFERROR(ROWS(_xlfn.UNIQUE(_xlfn._xlws.FILTER(Details!$AO$5:$AO$18, (Details!$C$5:$C$18)=Summary!E$2))),0)</f>
        <v>3</v>
      </c>
      <c r="F19" s="279" cm="1">
        <f t="array" ref="F19">IFERROR(ROWS(_xlfn.UNIQUE(_xlfn._xlws.FILTER(Details!$AO$5:$AO$18, (Details!$C$5:$C$18)=Summary!F$2))),0)</f>
        <v>9</v>
      </c>
      <c r="G19" s="279" cm="1">
        <f t="array" ref="G19">IFERROR(ROWS(_xlfn.UNIQUE(_xlfn._xlws.FILTER(Details!$AO$5:$AO$18, (Details!$C$5:$C$18)=Summary!G$2))),0)</f>
        <v>0</v>
      </c>
      <c r="H19" s="279" cm="1">
        <f t="array" ref="H19">IFERROR(ROWS(_xlfn.UNIQUE(_xlfn._xlws.FILTER(Details!$AO$5:$AO$18, (Details!$C$5:$C$18)=Summary!H$2))),0)</f>
        <v>0</v>
      </c>
      <c r="I19" s="279" cm="1">
        <f t="array" ref="I19">IFERROR(ROWS(_xlfn.UNIQUE(_xlfn._xlws.FILTER(Details!$AO$5:$AO$18, (Details!$C$5:$C$18)=Summary!I$2))),0)</f>
        <v>0</v>
      </c>
      <c r="J19" s="279" cm="1">
        <f t="array" ref="J19">IFERROR(ROWS(_xlfn.UNIQUE(_xlfn._xlws.FILTER(Details!$AO$5:$AO$18, (Details!$C$5:$C$18)=Summary!J$2))),0)</f>
        <v>0</v>
      </c>
      <c r="K19" s="279" cm="1">
        <f t="array" ref="K19">IFERROR(ROWS(_xlfn.UNIQUE(_xlfn._xlws.FILTER(Details!$AO$5:$AO$18, (Details!$C$5:$C$18)=Summary!K$2))),0)</f>
        <v>0</v>
      </c>
      <c r="L19" s="279" cm="1">
        <f t="array" ref="L19">IFERROR(ROWS(_xlfn.UNIQUE(_xlfn._xlws.FILTER(Details!$AO$5:$AO$18, (Details!$C$5:$C$18)=Summary!L$2))),0)</f>
        <v>0</v>
      </c>
      <c r="M19" s="279" cm="1">
        <f t="array" ref="M19">IFERROR(ROWS(_xlfn.UNIQUE(_xlfn._xlws.FILTER(Details!$AO$5:$AO$18, (Details!$C$5:$C$18)=Summary!M$2))),0)</f>
        <v>0</v>
      </c>
      <c r="N19" s="279" cm="1">
        <f t="array" ref="N19">IFERROR(ROWS(_xlfn.UNIQUE(_xlfn._xlws.FILTER(Details!$AO$5:$AO$18, (Details!$C$5:$C$18)=Summary!N$2))),0)</f>
        <v>0</v>
      </c>
      <c r="O19" s="279" cm="1">
        <f t="array" ref="O19">IFERROR(ROWS(_xlfn.UNIQUE(_xlfn._xlws.FILTER(Details!$AO$5:$AO$18, (Details!$C$5:$C$18)=Summary!O$2))),0)</f>
        <v>0</v>
      </c>
      <c r="P19" s="279" cm="1">
        <f t="array" ref="P19">IFERROR(ROWS(_xlfn.UNIQUE(_xlfn._xlws.FILTER(Details!$AO$5:$AO$18, (Details!$C$5:$C$18)=Summary!P$2))),0)</f>
        <v>0</v>
      </c>
      <c r="Q19" s="279" cm="1">
        <f t="array" ref="Q19">IFERROR(ROWS(_xlfn.UNIQUE(_xlfn._xlws.FILTER(Details!$AO$5:$AO$18, (Details!$C$5:$C$18)=Summary!Q$2))),0)</f>
        <v>0</v>
      </c>
      <c r="R19" s="243">
        <f>SUM(D19:Q19)</f>
        <v>13</v>
      </c>
      <c r="S19" s="242"/>
    </row>
    <row r="20" spans="3:23" x14ac:dyDescent="0.35">
      <c r="C20" s="240" t="s">
        <v>12</v>
      </c>
      <c r="D20" s="279" cm="1">
        <f t="array" ref="D20">IFERROR(ROWS(_xlfn.UNIQUE(_xlfn._xlws.FILTER(MID(Details!$G$5:$G$18,3,10), (Details!$C$5:$C$18)=Summary!D$2))),0)</f>
        <v>1</v>
      </c>
      <c r="E20" s="279" cm="1">
        <f t="array" ref="E20">IFERROR(ROWS(_xlfn.UNIQUE(_xlfn._xlws.FILTER(MID(Details!$G$5:$G$18,3,10), (Details!$C$5:$C$18)=Summary!E$2))),0)</f>
        <v>1</v>
      </c>
      <c r="F20" s="279" cm="1">
        <f t="array" ref="F20">IFERROR(ROWS(_xlfn.UNIQUE(_xlfn._xlws.FILTER(MID(Details!$G$5:$G$18,3,10), (Details!$C$5:$C$18)=Summary!F$2))),0)</f>
        <v>2</v>
      </c>
      <c r="G20" s="279" cm="1">
        <f t="array" ref="G20">IFERROR(ROWS(_xlfn.UNIQUE(_xlfn._xlws.FILTER(MID(Details!$G$5:$G$18,3,10), (Details!$C$5:$C$18)=Summary!G$2))),0)</f>
        <v>0</v>
      </c>
      <c r="H20" s="279" cm="1">
        <f t="array" ref="H20">IFERROR(ROWS(_xlfn.UNIQUE(_xlfn._xlws.FILTER(MID(Details!$G$5:$G$18,3,10), (Details!$C$5:$C$18)=Summary!H$2))),0)</f>
        <v>0</v>
      </c>
      <c r="I20" s="279" cm="1">
        <f t="array" ref="I20">IFERROR(ROWS(_xlfn.UNIQUE(_xlfn._xlws.FILTER(MID(Details!$G$5:$G$18,3,10), (Details!$C$5:$C$18)=Summary!I$2))),0)</f>
        <v>0</v>
      </c>
      <c r="J20" s="279" cm="1">
        <f t="array" ref="J20">IFERROR(ROWS(_xlfn.UNIQUE(_xlfn._xlws.FILTER(MID(Details!$G$5:$G$18,3,10), (Details!$C$5:$C$18)=Summary!J$2))),0)</f>
        <v>0</v>
      </c>
      <c r="K20" s="279" cm="1">
        <f t="array" ref="K20">IFERROR(ROWS(_xlfn.UNIQUE(_xlfn._xlws.FILTER(MID(Details!$G$5:$G$18,3,10), (Details!$C$5:$C$18)=Summary!K$2))),0)</f>
        <v>0</v>
      </c>
      <c r="L20" s="279" cm="1">
        <f t="array" ref="L20">IFERROR(ROWS(_xlfn.UNIQUE(_xlfn._xlws.FILTER(MID(Details!$G$5:$G$18,3,10), (Details!$C$5:$C$18)=Summary!L$2))),0)</f>
        <v>0</v>
      </c>
      <c r="M20" s="279" cm="1">
        <f t="array" ref="M20">IFERROR(ROWS(_xlfn.UNIQUE(_xlfn._xlws.FILTER(MID(Details!$G$5:$G$18,3,10), (Details!$C$5:$C$18)=Summary!M$2))),0)</f>
        <v>0</v>
      </c>
      <c r="N20" s="279" cm="1">
        <f t="array" ref="N20">IFERROR(ROWS(_xlfn.UNIQUE(_xlfn._xlws.FILTER(MID(Details!$G$5:$G$18,3,10), (Details!$C$5:$C$18)=Summary!N$2))),0)</f>
        <v>0</v>
      </c>
      <c r="O20" s="279" cm="1">
        <f t="array" ref="O20">IFERROR(ROWS(_xlfn.UNIQUE(_xlfn._xlws.FILTER(MID(Details!$G$5:$G$18,3,10), (Details!$C$5:$C$18)=Summary!O$2))),0)</f>
        <v>0</v>
      </c>
      <c r="P20" s="279" cm="1">
        <f t="array" ref="P20">IFERROR(ROWS(_xlfn.UNIQUE(_xlfn._xlws.FILTER(MID(Details!$G$5:$G$18,3,10), (Details!$C$5:$C$18)=Summary!P$2))),0)</f>
        <v>0</v>
      </c>
      <c r="Q20" s="279" cm="1">
        <f t="array" ref="Q20">IFERROR(ROWS(_xlfn.UNIQUE(_xlfn._xlws.FILTER(MID(Details!$G$5:$G$18,3,10), (Details!$C$5:$C$18)=Summary!Q$2))),0)</f>
        <v>0</v>
      </c>
      <c r="R20" s="243">
        <f>'Supplier Metrics'!B2</f>
        <v>1</v>
      </c>
    </row>
    <row r="21" spans="3:23" x14ac:dyDescent="0.35">
      <c r="C21" s="240" t="s">
        <v>13</v>
      </c>
      <c r="D21" s="279" cm="1">
        <f t="array" ref="D21">IFERROR(ROWS(_xlfn.UNIQUE(_xlfn._xlws.FILTER(MID(Details!$AR$5:$AR$18,3,10), (Details!$C$5:$C$18)=Summary!D$2))),0)</f>
        <v>1</v>
      </c>
      <c r="E21" s="279" cm="1">
        <f t="array" ref="E21">IFERROR(ROWS(_xlfn.UNIQUE(_xlfn._xlws.FILTER(MID(Details!$AR$5:$AR$18,3,10), (Details!$C$5:$C$18)=Summary!E$2))),0)</f>
        <v>1</v>
      </c>
      <c r="F21" s="279" cm="1">
        <f t="array" ref="F21">IFERROR(ROWS(_xlfn.UNIQUE(_xlfn._xlws.FILTER(MID(Details!$AR$5:$AR$18,3,10), (Details!$C$5:$C$18)=Summary!F$2))),0)</f>
        <v>2</v>
      </c>
      <c r="G21" s="279" cm="1">
        <f t="array" ref="G21">IFERROR(ROWS(_xlfn.UNIQUE(_xlfn._xlws.FILTER(MID(Details!$AR$5:$AR$18,3,10), (Details!$C$5:$C$18)=Summary!G$2))),0)</f>
        <v>0</v>
      </c>
      <c r="H21" s="279" cm="1">
        <f t="array" ref="H21">IFERROR(ROWS(_xlfn.UNIQUE(_xlfn._xlws.FILTER(MID(Details!$AR$5:$AR$18,3,10), (Details!$C$5:$C$18)=Summary!H$2))),0)</f>
        <v>0</v>
      </c>
      <c r="I21" s="279" cm="1">
        <f t="array" ref="I21">IFERROR(ROWS(_xlfn.UNIQUE(_xlfn._xlws.FILTER(MID(Details!$AR$5:$AR$18,3,10), (Details!$C$5:$C$18)=Summary!I$2))),0)</f>
        <v>0</v>
      </c>
      <c r="J21" s="279" cm="1">
        <f t="array" ref="J21">IFERROR(ROWS(_xlfn.UNIQUE(_xlfn._xlws.FILTER(MID(Details!$AR$5:$AR$18,3,10), (Details!$C$5:$C$18)=Summary!J$2))),0)</f>
        <v>0</v>
      </c>
      <c r="K21" s="279" cm="1">
        <f t="array" ref="K21">IFERROR(ROWS(_xlfn.UNIQUE(_xlfn._xlws.FILTER(MID(Details!$AR$5:$AR$18,3,10), (Details!$C$5:$C$18)=Summary!K$2))),0)</f>
        <v>0</v>
      </c>
      <c r="L21" s="279" cm="1">
        <f t="array" ref="L21">IFERROR(ROWS(_xlfn.UNIQUE(_xlfn._xlws.FILTER(MID(Details!$AR$5:$AR$18,3,10), (Details!$C$5:$C$18)=Summary!L$2))),0)</f>
        <v>0</v>
      </c>
      <c r="M21" s="279" cm="1">
        <f t="array" ref="M21">IFERROR(ROWS(_xlfn.UNIQUE(_xlfn._xlws.FILTER(MID(Details!$AR$5:$AR$18,3,10), (Details!$C$5:$C$18)=Summary!M$2))),0)</f>
        <v>0</v>
      </c>
      <c r="N21" s="279" cm="1">
        <f t="array" ref="N21">IFERROR(ROWS(_xlfn.UNIQUE(_xlfn._xlws.FILTER(MID(Details!$AR$5:$AR$18,3,10), (Details!$C$5:$C$18)=Summary!N$2))),0)</f>
        <v>0</v>
      </c>
      <c r="O21" s="279" cm="1">
        <f t="array" ref="O21">IFERROR(ROWS(_xlfn.UNIQUE(_xlfn._xlws.FILTER(MID(Details!$AR$5:$AR$18,3,10), (Details!$C$5:$C$18)=Summary!O$2))),0)</f>
        <v>0</v>
      </c>
      <c r="P21" s="279" cm="1">
        <f t="array" ref="P21">IFERROR(ROWS(_xlfn.UNIQUE(_xlfn._xlws.FILTER(MID(Details!$AR$5:$AR$18,3,10), (Details!$C$5:$C$18)=Summary!P$2))),0)</f>
        <v>0</v>
      </c>
      <c r="Q21" s="279" cm="1">
        <f t="array" ref="Q21">IFERROR(ROWS(_xlfn.UNIQUE(_xlfn._xlws.FILTER(MID(Details!$AR$5:$AR$18,3,10), (Details!$C$5:$C$18)=Summary!Q$2))),0)</f>
        <v>0</v>
      </c>
      <c r="R21" s="243">
        <f>'Buyer Metrics'!B3</f>
        <v>2</v>
      </c>
    </row>
    <row r="22" spans="3:23" x14ac:dyDescent="0.35">
      <c r="C22" s="240" t="s">
        <v>202</v>
      </c>
      <c r="D22" s="279" cm="1">
        <f t="array" ref="D22">IFERROR(ROWS(_xlfn.UNIQUE(_xlfn._xlws.FILTER(Details!$E$5:$E$18,(Details!$C$5:$C$18=Summary!D$2)*(Details!$BR$5:$BR$18=Summary!$C$22)))),0)</f>
        <v>0</v>
      </c>
      <c r="E22" s="279" cm="1">
        <f t="array" ref="E22">IFERROR(ROWS(_xlfn.UNIQUE(_xlfn._xlws.FILTER(Details!$E$5:$E$18,(Details!$C$5:$C$18=Summary!E$4)*(Details!$BR$5:$BR$18=Summary!$C$22)))),0)</f>
        <v>0</v>
      </c>
      <c r="F22" s="279" cm="1">
        <f t="array" ref="F22">IFERROR(ROWS(_xlfn.UNIQUE(_xlfn._xlws.FILTER(Details!$E$5:$E$18,(Details!$C$5:$C$18=Summary!F$4)*(Details!$BR$5:$BR$18=Summary!$C$22)))),0)</f>
        <v>0</v>
      </c>
      <c r="G22" s="279" cm="1">
        <f t="array" ref="G22">IFERROR(ROWS(_xlfn.UNIQUE(_xlfn._xlws.FILTER(Details!$E$5:$E$18,(Details!$C$5:$C$18=Summary!G$4)*(Details!$BR$5:$BR$18=Summary!$C$22)))),0)</f>
        <v>0</v>
      </c>
      <c r="H22" s="279" cm="1">
        <f t="array" ref="H22">IFERROR(ROWS(_xlfn.UNIQUE(_xlfn._xlws.FILTER(Details!$E$5:$E$18,(Details!$C$5:$C$18=Summary!H$4)*(Details!$BR$5:$BR$18=Summary!$C$22)))),0)</f>
        <v>0</v>
      </c>
      <c r="I22" s="279" cm="1">
        <f t="array" ref="I22">IFERROR(ROWS(_xlfn.UNIQUE(_xlfn._xlws.FILTER(Details!$E$5:$E$18,(Details!$C$5:$C$18=Summary!I$4)*(Details!$BR$5:$BR$18=Summary!$C$22)))),0)</f>
        <v>0</v>
      </c>
      <c r="J22" s="279" cm="1">
        <f t="array" ref="J22">IFERROR(ROWS(_xlfn.UNIQUE(_xlfn._xlws.FILTER(Details!$E$5:$E$18,(Details!$C$5:$C$18=Summary!J$4)*(Details!$BR$5:$BR$18=Summary!$C$22)))),0)</f>
        <v>0</v>
      </c>
      <c r="K22" s="279" cm="1">
        <f t="array" ref="K22">IFERROR(ROWS(_xlfn.UNIQUE(_xlfn._xlws.FILTER(Details!$E$5:$E$18,(Details!$C$5:$C$18=Summary!K$4)*(Details!$BR$5:$BR$18=Summary!$C$22)))),0)</f>
        <v>0</v>
      </c>
      <c r="L22" s="279" cm="1">
        <f t="array" ref="L22">IFERROR(ROWS(_xlfn.UNIQUE(_xlfn._xlws.FILTER(Details!$E$5:$E$18,(Details!$C$5:$C$18=Summary!L$4)*(Details!$BR$5:$BR$18=Summary!$C$22)))),0)</f>
        <v>0</v>
      </c>
      <c r="M22" s="279" cm="1">
        <f t="array" ref="M22">IFERROR(ROWS(_xlfn.UNIQUE(_xlfn._xlws.FILTER(Details!$E$5:$E$18,(Details!$C$5:$C$18=Summary!M$4)*(Details!$BR$5:$BR$18=Summary!$C$22)))),0)</f>
        <v>0</v>
      </c>
      <c r="N22" s="279" cm="1">
        <f t="array" ref="N22">IFERROR(ROWS(_xlfn.UNIQUE(_xlfn._xlws.FILTER(Details!$E$5:$E$18,(Details!$C$5:$C$18=Summary!N$4)*(Details!$BR$5:$BR$18=Summary!$C$22)))),0)</f>
        <v>0</v>
      </c>
      <c r="O22" s="279" cm="1">
        <f t="array" ref="O22">IFERROR(ROWS(_xlfn.UNIQUE(_xlfn._xlws.FILTER(Details!$E$5:$E$18,(Details!$C$5:$C$18=Summary!O$4)*(Details!$BR$5:$BR$18=Summary!$C$22)))),0)</f>
        <v>0</v>
      </c>
      <c r="P22" s="279" cm="1">
        <f t="array" ref="P22">IFERROR(ROWS(_xlfn.UNIQUE(_xlfn._xlws.FILTER(Details!$E$5:$E$18,(Details!$C$5:$C$18=Summary!P$4)*(Details!$BR$5:$BR$18=Summary!$C$22)))),0)</f>
        <v>0</v>
      </c>
      <c r="Q22" s="279" cm="1">
        <f t="array" ref="Q22">IFERROR(ROWS(_xlfn.UNIQUE(_xlfn._xlws.FILTER(Details!$E$5:$E$18,(Details!$C$5:$C$18=Summary!Q$4)*(Details!$BR$5:$BR$18=Summary!$C$22)))),0)</f>
        <v>0</v>
      </c>
      <c r="R22" s="243">
        <f>SUM(D22:Q22)</f>
        <v>0</v>
      </c>
    </row>
    <row r="23" spans="3:23" x14ac:dyDescent="0.35">
      <c r="C23" s="240" t="s">
        <v>6</v>
      </c>
      <c r="D23" s="252">
        <v>796441.59999999998</v>
      </c>
      <c r="E23" s="252">
        <v>600884.96</v>
      </c>
      <c r="F23" s="252">
        <v>1671613.07</v>
      </c>
      <c r="G23" s="252">
        <v>0</v>
      </c>
      <c r="H23" s="252">
        <v>0</v>
      </c>
      <c r="I23" s="252">
        <v>0</v>
      </c>
      <c r="J23" s="252">
        <v>0</v>
      </c>
      <c r="K23" s="252">
        <v>0</v>
      </c>
      <c r="L23" s="252">
        <v>0</v>
      </c>
      <c r="M23" s="252">
        <v>0</v>
      </c>
      <c r="N23" s="252">
        <v>0</v>
      </c>
      <c r="O23" s="252">
        <v>0</v>
      </c>
      <c r="P23" s="252">
        <v>0</v>
      </c>
      <c r="Q23" s="252">
        <v>0</v>
      </c>
      <c r="R23" s="252">
        <f>F23</f>
        <v>1671613.07</v>
      </c>
      <c r="W23" s="248"/>
    </row>
    <row r="24" spans="3:23" x14ac:dyDescent="0.35">
      <c r="C24" s="307" t="s">
        <v>7</v>
      </c>
      <c r="D24" s="308">
        <f t="shared" ref="D24:Q24" si="12">IFERROR(((D23/(D6*1.18))*D3),0)</f>
        <v>75.525980060564294</v>
      </c>
      <c r="E24" s="308">
        <f t="shared" si="12"/>
        <v>21.626944304327896</v>
      </c>
      <c r="F24" s="308">
        <f t="shared" si="12"/>
        <v>28.937843178335928</v>
      </c>
      <c r="G24" s="308">
        <f t="shared" si="12"/>
        <v>0</v>
      </c>
      <c r="H24" s="308">
        <f t="shared" si="12"/>
        <v>0</v>
      </c>
      <c r="I24" s="308">
        <f t="shared" si="12"/>
        <v>0</v>
      </c>
      <c r="J24" s="308">
        <f t="shared" si="12"/>
        <v>0</v>
      </c>
      <c r="K24" s="308">
        <f t="shared" si="12"/>
        <v>0</v>
      </c>
      <c r="L24" s="308">
        <f t="shared" si="12"/>
        <v>0</v>
      </c>
      <c r="M24" s="308">
        <f t="shared" si="12"/>
        <v>0</v>
      </c>
      <c r="N24" s="308">
        <f t="shared" si="12"/>
        <v>0</v>
      </c>
      <c r="O24" s="308">
        <f t="shared" si="12"/>
        <v>0</v>
      </c>
      <c r="P24" s="308">
        <f t="shared" si="12"/>
        <v>0</v>
      </c>
      <c r="Q24" s="308">
        <f t="shared" si="12"/>
        <v>0</v>
      </c>
      <c r="R24" s="309">
        <f>IFERROR(((R23)/(R6*1.18)*R3),0)</f>
        <v>57.334584905622627</v>
      </c>
    </row>
    <row r="25" spans="3:23" x14ac:dyDescent="0.35">
      <c r="C25" s="240" t="s">
        <v>219</v>
      </c>
      <c r="D25" s="252">
        <v>287674.15999999997</v>
      </c>
      <c r="E25" s="252">
        <v>561938.05999999994</v>
      </c>
      <c r="F25" s="252">
        <v>948429.3</v>
      </c>
      <c r="G25" s="252">
        <v>0</v>
      </c>
      <c r="H25" s="252">
        <v>0</v>
      </c>
      <c r="I25" s="252">
        <v>0</v>
      </c>
      <c r="J25" s="252">
        <v>0</v>
      </c>
      <c r="K25" s="252">
        <v>0</v>
      </c>
      <c r="L25" s="252">
        <v>0</v>
      </c>
      <c r="M25" s="252">
        <v>0</v>
      </c>
      <c r="N25" s="252">
        <v>0</v>
      </c>
      <c r="O25" s="252">
        <v>0</v>
      </c>
      <c r="P25" s="252">
        <v>0</v>
      </c>
      <c r="Q25" s="252">
        <v>0</v>
      </c>
      <c r="R25" s="252">
        <f>F25</f>
        <v>948429.3</v>
      </c>
    </row>
    <row r="26" spans="3:23" x14ac:dyDescent="0.35">
      <c r="C26" s="307" t="s">
        <v>220</v>
      </c>
      <c r="D26" s="308">
        <f t="shared" ref="D26:R26" si="13">IFERROR(((D25/(D7*1.18))*D3),0)</f>
        <v>33.210352278390168</v>
      </c>
      <c r="E26" s="308">
        <f t="shared" si="13"/>
        <v>22.362257227167269</v>
      </c>
      <c r="F26" s="308">
        <f t="shared" si="13"/>
        <v>17.407312533954592</v>
      </c>
      <c r="G26" s="308">
        <f t="shared" si="13"/>
        <v>0</v>
      </c>
      <c r="H26" s="308">
        <f t="shared" si="13"/>
        <v>0</v>
      </c>
      <c r="I26" s="308">
        <f t="shared" si="13"/>
        <v>0</v>
      </c>
      <c r="J26" s="308">
        <f t="shared" si="13"/>
        <v>0</v>
      </c>
      <c r="K26" s="308">
        <f t="shared" si="13"/>
        <v>0</v>
      </c>
      <c r="L26" s="308">
        <f t="shared" si="13"/>
        <v>0</v>
      </c>
      <c r="M26" s="308">
        <f t="shared" si="13"/>
        <v>0</v>
      </c>
      <c r="N26" s="308">
        <f t="shared" si="13"/>
        <v>0</v>
      </c>
      <c r="O26" s="308">
        <f t="shared" si="13"/>
        <v>0</v>
      </c>
      <c r="P26" s="308">
        <f t="shared" si="13"/>
        <v>0</v>
      </c>
      <c r="Q26" s="308">
        <f t="shared" si="13"/>
        <v>0</v>
      </c>
      <c r="R26" s="309">
        <f t="shared" si="13"/>
        <v>35.625259489607913</v>
      </c>
    </row>
    <row r="27" spans="3:23" ht="16" thickBot="1" x14ac:dyDescent="0.4">
      <c r="C27" s="322" t="s">
        <v>245</v>
      </c>
      <c r="D27" s="323">
        <f>D24-D26</f>
        <v>42.315627782174126</v>
      </c>
      <c r="E27" s="323">
        <f t="shared" ref="E27:R27" si="14">E24-E26</f>
        <v>-0.73531292283937333</v>
      </c>
      <c r="F27" s="323">
        <f t="shared" si="14"/>
        <v>11.530530644381336</v>
      </c>
      <c r="G27" s="323">
        <f t="shared" si="14"/>
        <v>0</v>
      </c>
      <c r="H27" s="323">
        <f t="shared" si="14"/>
        <v>0</v>
      </c>
      <c r="I27" s="323">
        <f t="shared" si="14"/>
        <v>0</v>
      </c>
      <c r="J27" s="323">
        <f t="shared" si="14"/>
        <v>0</v>
      </c>
      <c r="K27" s="323">
        <f t="shared" si="14"/>
        <v>0</v>
      </c>
      <c r="L27" s="323">
        <f t="shared" si="14"/>
        <v>0</v>
      </c>
      <c r="M27" s="323">
        <f t="shared" si="14"/>
        <v>0</v>
      </c>
      <c r="N27" s="323">
        <f t="shared" si="14"/>
        <v>0</v>
      </c>
      <c r="O27" s="323">
        <f t="shared" si="14"/>
        <v>0</v>
      </c>
      <c r="P27" s="323">
        <f t="shared" si="14"/>
        <v>0</v>
      </c>
      <c r="Q27" s="323">
        <f t="shared" si="14"/>
        <v>0</v>
      </c>
      <c r="R27" s="323">
        <f t="shared" si="14"/>
        <v>21.709325416014714</v>
      </c>
    </row>
    <row r="28" spans="3:23" x14ac:dyDescent="0.35">
      <c r="C28" s="240" t="s">
        <v>14</v>
      </c>
      <c r="D28" s="252">
        <v>140</v>
      </c>
      <c r="E28" s="252">
        <f>-SUMIFS(Details!$BW$4:$BW$18,Details!$C$4:$C$18,Summary!E4)</f>
        <v>560</v>
      </c>
      <c r="F28" s="252">
        <f>-SUMIFS(Details!$BW$4:$BW$18,Details!$C$4:$C$18,Summary!F4)</f>
        <v>0</v>
      </c>
      <c r="G28" s="252">
        <f>-SUMIFS(Details!$BW$4:$BW$18,Details!$C$4:$C$18,Summary!G4)</f>
        <v>0</v>
      </c>
      <c r="H28" s="252">
        <f>-SUMIFS(Details!$BW$4:$BW$18,Details!$C$4:$C$18,Summary!H4)</f>
        <v>0</v>
      </c>
      <c r="I28" s="252">
        <f>-SUMIFS(Details!$BW$4:$BW$18,Details!$C$4:$C$18,Summary!I4)</f>
        <v>0</v>
      </c>
      <c r="J28" s="252">
        <f>-SUMIFS(Details!$BW$4:$BW$18,Details!$C$4:$C$18,Summary!J4)</f>
        <v>0</v>
      </c>
      <c r="K28" s="252">
        <f>-SUMIFS(Details!$BW$4:$BW$18,Details!$C$4:$C$18,Summary!K4)</f>
        <v>0</v>
      </c>
      <c r="L28" s="252">
        <f>-SUMIFS(Details!$BW$4:$BW$18,Details!$C$4:$C$18,Summary!L4)</f>
        <v>0</v>
      </c>
      <c r="M28" s="252">
        <f>-SUMIFS(Details!$BW$4:$BW$18,Details!$C$4:$C$18,Summary!M4)</f>
        <v>0</v>
      </c>
      <c r="N28" s="252">
        <f>-SUMIFS(Details!$BW$4:$BW$18,Details!$C$4:$C$18,Summary!N4)</f>
        <v>0</v>
      </c>
      <c r="O28" s="252">
        <f>-SUMIFS(Details!$BW$4:$BW$18,Details!$C$4:$C$18,Summary!O4)</f>
        <v>0</v>
      </c>
      <c r="P28" s="252">
        <f>-SUMIFS(Details!$BW$4:$BW$18,Details!$C$4:$C$18,Summary!P4)</f>
        <v>0</v>
      </c>
      <c r="Q28" s="254">
        <f>-SUMIFS(Details!$BW$4:$BW$18,Details!$C$4:$C$18,Summary!Q4)</f>
        <v>0</v>
      </c>
      <c r="R28" s="241">
        <f>SUM(D28:Q28)</f>
        <v>700</v>
      </c>
      <c r="S28" s="251">
        <f>(Details!BM19-Details!BN19)</f>
        <v>-700</v>
      </c>
      <c r="T28" s="234">
        <f>R28+S28</f>
        <v>0</v>
      </c>
    </row>
    <row r="29" spans="3:23" x14ac:dyDescent="0.35">
      <c r="C29" s="240" t="s">
        <v>15</v>
      </c>
      <c r="D29" s="310">
        <f t="shared" ref="D29:Q29" si="15">IFERROR((+D28/D6),0)</f>
        <v>5.2219321148825064E-4</v>
      </c>
      <c r="E29" s="310">
        <f t="shared" si="15"/>
        <v>7.672063141079651E-4</v>
      </c>
      <c r="F29" s="310">
        <f t="shared" si="15"/>
        <v>0</v>
      </c>
      <c r="G29" s="310">
        <f t="shared" si="15"/>
        <v>0</v>
      </c>
      <c r="H29" s="310">
        <f t="shared" si="15"/>
        <v>0</v>
      </c>
      <c r="I29" s="310">
        <f t="shared" si="15"/>
        <v>0</v>
      </c>
      <c r="J29" s="310">
        <f t="shared" si="15"/>
        <v>0</v>
      </c>
      <c r="K29" s="310">
        <f t="shared" si="15"/>
        <v>0</v>
      </c>
      <c r="L29" s="310">
        <f t="shared" si="15"/>
        <v>0</v>
      </c>
      <c r="M29" s="310">
        <f t="shared" si="15"/>
        <v>0</v>
      </c>
      <c r="N29" s="310">
        <f t="shared" si="15"/>
        <v>0</v>
      </c>
      <c r="O29" s="310">
        <f t="shared" si="15"/>
        <v>0</v>
      </c>
      <c r="P29" s="310">
        <f t="shared" si="15"/>
        <v>0</v>
      </c>
      <c r="Q29" s="310">
        <f t="shared" si="15"/>
        <v>0</v>
      </c>
      <c r="R29" s="311">
        <f>+R28/R6</f>
        <v>3.4549925036534074E-4</v>
      </c>
      <c r="S29" s="251"/>
    </row>
    <row r="30" spans="3:23" x14ac:dyDescent="0.35">
      <c r="C30" s="240" t="s">
        <v>16</v>
      </c>
      <c r="D30" s="252">
        <v>115</v>
      </c>
      <c r="E30" s="252">
        <f>SUMIFS(Details!$BX$4:$BX$18,Details!$C$4:$C$18,Summary!E4)</f>
        <v>-460</v>
      </c>
      <c r="F30" s="252">
        <f>-SUMIFS(Details!$BX$4:$BX$18,Details!$C$4:$C$18,Summary!F4)</f>
        <v>0</v>
      </c>
      <c r="G30" s="252">
        <f>-SUMIFS(Details!$BX$4:$BX$18,Details!$C$4:$C$18,Summary!G4)</f>
        <v>0</v>
      </c>
      <c r="H30" s="252">
        <f>-SUMIFS(Details!$BX$4:$BX$18,Details!$C$4:$C$18,Summary!H4)</f>
        <v>0</v>
      </c>
      <c r="I30" s="252">
        <f>-SUMIFS(Details!$BX$4:$BX$18,Details!$C$4:$C$18,Summary!I4)</f>
        <v>0</v>
      </c>
      <c r="J30" s="252">
        <f>-SUMIFS(Details!$BX$4:$BX$18,Details!$C$4:$C$18,Summary!J4)</f>
        <v>0</v>
      </c>
      <c r="K30" s="252">
        <f>-SUMIFS(Details!$BX$4:$BX$18,Details!$C$4:$C$18,Summary!K4)</f>
        <v>0</v>
      </c>
      <c r="L30" s="252">
        <f>-SUMIFS(Details!$BX$4:$BX$18,Details!$C$4:$C$18,Summary!L4)</f>
        <v>0</v>
      </c>
      <c r="M30" s="252">
        <f>-SUMIFS(Details!$BX$4:$BX$18,Details!$C$4:$C$18,Summary!M4)</f>
        <v>0</v>
      </c>
      <c r="N30" s="252">
        <f>-SUMIFS(Details!$BX$4:$BX$18,Details!$C$4:$C$18,Summary!N4)</f>
        <v>0</v>
      </c>
      <c r="O30" s="252">
        <f>-SUMIFS(Details!$BX$4:$BX$18,Details!$C$4:$C$18,Summary!O4)</f>
        <v>0</v>
      </c>
      <c r="P30" s="252">
        <f>-SUMIFS(Details!$BX$4:$BX$18,Details!$C$4:$C$18,Summary!P4)</f>
        <v>0</v>
      </c>
      <c r="Q30" s="254">
        <f>-SUMIFS(Details!$BX$4:$BX$18,Details!$C$4:$C$18,Summary!Q4)</f>
        <v>0</v>
      </c>
      <c r="R30" s="241">
        <f>SUM(D30:Q30)</f>
        <v>-345</v>
      </c>
      <c r="S30" s="251">
        <f>(Details!AK19-Details!AL19)</f>
        <v>-575</v>
      </c>
      <c r="T30" s="234">
        <f>R30+S30</f>
        <v>-920</v>
      </c>
    </row>
    <row r="31" spans="3:23" ht="16" thickBot="1" x14ac:dyDescent="0.4">
      <c r="C31" s="265" t="s">
        <v>17</v>
      </c>
      <c r="D31" s="312">
        <f t="shared" ref="D31:Q31" si="16">IFERROR((D30/D7),0)</f>
        <v>5.2219321148825064E-4</v>
      </c>
      <c r="E31" s="312">
        <f t="shared" si="16"/>
        <v>-6.9679549809517312E-4</v>
      </c>
      <c r="F31" s="312">
        <f t="shared" si="16"/>
        <v>0</v>
      </c>
      <c r="G31" s="312">
        <f t="shared" si="16"/>
        <v>0</v>
      </c>
      <c r="H31" s="312">
        <f t="shared" si="16"/>
        <v>0</v>
      </c>
      <c r="I31" s="312">
        <f t="shared" si="16"/>
        <v>0</v>
      </c>
      <c r="J31" s="312">
        <f t="shared" si="16"/>
        <v>0</v>
      </c>
      <c r="K31" s="312">
        <f t="shared" si="16"/>
        <v>0</v>
      </c>
      <c r="L31" s="312">
        <f t="shared" si="16"/>
        <v>0</v>
      </c>
      <c r="M31" s="312">
        <f t="shared" si="16"/>
        <v>0</v>
      </c>
      <c r="N31" s="312">
        <f t="shared" si="16"/>
        <v>0</v>
      </c>
      <c r="O31" s="312">
        <f t="shared" si="16"/>
        <v>0</v>
      </c>
      <c r="P31" s="312">
        <f t="shared" si="16"/>
        <v>0</v>
      </c>
      <c r="Q31" s="312">
        <f t="shared" si="16"/>
        <v>0</v>
      </c>
      <c r="R31" s="313">
        <f>(R30/(R7+R10))</f>
        <v>-1.8112698786869186E-4</v>
      </c>
      <c r="S31" s="251"/>
    </row>
    <row r="32" spans="3:23" ht="16" thickBot="1" x14ac:dyDescent="0.4">
      <c r="S32" s="251"/>
    </row>
    <row r="33" spans="3:19" x14ac:dyDescent="0.35">
      <c r="C33" s="255" t="s">
        <v>137</v>
      </c>
      <c r="D33" s="237">
        <f t="shared" ref="D33:R33" si="17">D4</f>
        <v>46113</v>
      </c>
      <c r="E33" s="237">
        <f t="shared" si="17"/>
        <v>46143</v>
      </c>
      <c r="F33" s="237">
        <f t="shared" si="17"/>
        <v>46174</v>
      </c>
      <c r="G33" s="237">
        <f t="shared" si="17"/>
        <v>46204</v>
      </c>
      <c r="H33" s="237">
        <f t="shared" si="17"/>
        <v>46235</v>
      </c>
      <c r="I33" s="237">
        <f t="shared" si="17"/>
        <v>46266</v>
      </c>
      <c r="J33" s="237">
        <f t="shared" si="17"/>
        <v>45931</v>
      </c>
      <c r="K33" s="237">
        <f t="shared" si="17"/>
        <v>45962</v>
      </c>
      <c r="L33" s="238">
        <v>46296</v>
      </c>
      <c r="M33" s="238">
        <v>46327</v>
      </c>
      <c r="N33" s="237">
        <f t="shared" si="17"/>
        <v>45992</v>
      </c>
      <c r="O33" s="237">
        <f t="shared" si="17"/>
        <v>46023</v>
      </c>
      <c r="P33" s="237">
        <f t="shared" si="17"/>
        <v>46054</v>
      </c>
      <c r="Q33" s="237">
        <f t="shared" si="17"/>
        <v>46082</v>
      </c>
      <c r="R33" s="237" t="str">
        <f t="shared" si="17"/>
        <v>FY 2026-27</v>
      </c>
    </row>
    <row r="34" spans="3:19" x14ac:dyDescent="0.35">
      <c r="C34" s="256" t="s">
        <v>108</v>
      </c>
      <c r="D34" s="257">
        <f t="shared" ref="D34:Q34" si="18">D6+D53</f>
        <v>268100</v>
      </c>
      <c r="E34" s="257">
        <f t="shared" si="18"/>
        <v>729921</v>
      </c>
      <c r="F34" s="257">
        <f t="shared" si="18"/>
        <v>1028032.6000000001</v>
      </c>
      <c r="G34" s="257">
        <f t="shared" si="18"/>
        <v>0</v>
      </c>
      <c r="H34" s="257">
        <f t="shared" si="18"/>
        <v>0</v>
      </c>
      <c r="I34" s="257">
        <f t="shared" si="18"/>
        <v>0</v>
      </c>
      <c r="J34" s="257">
        <f t="shared" ref="J34:M34" si="19">J6+J53</f>
        <v>0</v>
      </c>
      <c r="K34" s="257">
        <f t="shared" si="19"/>
        <v>0</v>
      </c>
      <c r="L34" s="257">
        <f t="shared" si="19"/>
        <v>0</v>
      </c>
      <c r="M34" s="257">
        <f t="shared" si="19"/>
        <v>0</v>
      </c>
      <c r="N34" s="257">
        <f t="shared" si="18"/>
        <v>0</v>
      </c>
      <c r="O34" s="257">
        <f t="shared" si="18"/>
        <v>0</v>
      </c>
      <c r="P34" s="257">
        <f t="shared" si="18"/>
        <v>0</v>
      </c>
      <c r="Q34" s="257">
        <f t="shared" si="18"/>
        <v>0</v>
      </c>
      <c r="R34" s="257">
        <f>SUM(D34:Q34)</f>
        <v>2026053.6</v>
      </c>
    </row>
    <row r="35" spans="3:19" x14ac:dyDescent="0.35">
      <c r="C35" s="256" t="s">
        <v>109</v>
      </c>
      <c r="D35" s="257">
        <f t="shared" ref="D35:Q35" si="20">D7+D10+D52</f>
        <v>274936</v>
      </c>
      <c r="E35" s="257">
        <f t="shared" si="20"/>
        <v>660165</v>
      </c>
      <c r="F35" s="257">
        <f t="shared" si="20"/>
        <v>969640</v>
      </c>
      <c r="G35" s="257">
        <f t="shared" si="20"/>
        <v>0</v>
      </c>
      <c r="H35" s="257">
        <f t="shared" si="20"/>
        <v>0</v>
      </c>
      <c r="I35" s="257">
        <f t="shared" si="20"/>
        <v>0</v>
      </c>
      <c r="J35" s="257">
        <f t="shared" ref="J35:M35" si="21">J7+J10+J52</f>
        <v>0</v>
      </c>
      <c r="K35" s="257">
        <f t="shared" si="21"/>
        <v>0</v>
      </c>
      <c r="L35" s="257">
        <f t="shared" si="21"/>
        <v>0</v>
      </c>
      <c r="M35" s="257">
        <f t="shared" si="21"/>
        <v>0</v>
      </c>
      <c r="N35" s="257">
        <f t="shared" si="20"/>
        <v>0</v>
      </c>
      <c r="O35" s="257">
        <f t="shared" si="20"/>
        <v>0</v>
      </c>
      <c r="P35" s="257">
        <f t="shared" si="20"/>
        <v>0</v>
      </c>
      <c r="Q35" s="257">
        <f t="shared" si="20"/>
        <v>0</v>
      </c>
      <c r="R35" s="257">
        <f>SUM(D35:Q35)</f>
        <v>1904741</v>
      </c>
    </row>
    <row r="36" spans="3:19" x14ac:dyDescent="0.35">
      <c r="C36" s="256" t="s">
        <v>110</v>
      </c>
      <c r="D36" s="258">
        <f>D34-D35</f>
        <v>-6836</v>
      </c>
      <c r="E36" s="259">
        <f>E34-E35</f>
        <v>69756</v>
      </c>
      <c r="F36" s="258">
        <f t="shared" ref="F36:Q36" si="22">F34-F35</f>
        <v>58392.600000000093</v>
      </c>
      <c r="G36" s="258">
        <f t="shared" si="22"/>
        <v>0</v>
      </c>
      <c r="H36" s="258">
        <f t="shared" si="22"/>
        <v>0</v>
      </c>
      <c r="I36" s="258">
        <f t="shared" si="22"/>
        <v>0</v>
      </c>
      <c r="J36" s="258">
        <f t="shared" ref="J36:M36" si="23">J34-J35</f>
        <v>0</v>
      </c>
      <c r="K36" s="258">
        <f t="shared" si="23"/>
        <v>0</v>
      </c>
      <c r="L36" s="258">
        <f t="shared" si="23"/>
        <v>0</v>
      </c>
      <c r="M36" s="258">
        <f t="shared" si="23"/>
        <v>0</v>
      </c>
      <c r="N36" s="258">
        <f t="shared" si="22"/>
        <v>0</v>
      </c>
      <c r="O36" s="258">
        <f t="shared" si="22"/>
        <v>0</v>
      </c>
      <c r="P36" s="259">
        <f t="shared" si="22"/>
        <v>0</v>
      </c>
      <c r="Q36" s="258">
        <f t="shared" si="22"/>
        <v>0</v>
      </c>
      <c r="R36" s="258">
        <f>R34-R35</f>
        <v>121312.60000000009</v>
      </c>
    </row>
    <row r="37" spans="3:19" ht="16" thickBot="1" x14ac:dyDescent="0.4">
      <c r="C37" s="260" t="s">
        <v>5</v>
      </c>
      <c r="D37" s="261">
        <f>D36/D34</f>
        <v>-2.5497948526669152E-2</v>
      </c>
      <c r="E37" s="262">
        <f>E36/E34</f>
        <v>9.5566506512348603E-2</v>
      </c>
      <c r="F37" s="261">
        <f t="shared" ref="F37:P37" si="24">F36/F34</f>
        <v>5.6800338821940168E-2</v>
      </c>
      <c r="G37" s="261" t="e">
        <f t="shared" si="24"/>
        <v>#DIV/0!</v>
      </c>
      <c r="H37" s="261" t="e">
        <f t="shared" si="24"/>
        <v>#DIV/0!</v>
      </c>
      <c r="I37" s="261" t="e">
        <f t="shared" si="24"/>
        <v>#DIV/0!</v>
      </c>
      <c r="J37" s="261" t="e">
        <f t="shared" ref="J37:M37" si="25">J36/J34</f>
        <v>#DIV/0!</v>
      </c>
      <c r="K37" s="261" t="e">
        <f t="shared" si="25"/>
        <v>#DIV/0!</v>
      </c>
      <c r="L37" s="261" t="e">
        <f t="shared" si="25"/>
        <v>#DIV/0!</v>
      </c>
      <c r="M37" s="261" t="e">
        <f t="shared" si="25"/>
        <v>#DIV/0!</v>
      </c>
      <c r="N37" s="261" t="e">
        <f t="shared" si="24"/>
        <v>#DIV/0!</v>
      </c>
      <c r="O37" s="261" t="e">
        <f t="shared" si="24"/>
        <v>#DIV/0!</v>
      </c>
      <c r="P37" s="262" t="e">
        <f t="shared" si="24"/>
        <v>#DIV/0!</v>
      </c>
      <c r="Q37" s="261" t="e">
        <f>Q36/Q34</f>
        <v>#DIV/0!</v>
      </c>
      <c r="R37" s="261">
        <f>R36/R34</f>
        <v>5.9876303371243528E-2</v>
      </c>
    </row>
    <row r="38" spans="3:19" ht="16" thickBot="1" x14ac:dyDescent="0.4"/>
    <row r="39" spans="3:19" x14ac:dyDescent="0.35">
      <c r="C39" s="236" t="s">
        <v>138</v>
      </c>
      <c r="D39" s="237">
        <f t="shared" ref="D39:R39" si="26">D4</f>
        <v>46113</v>
      </c>
      <c r="E39" s="237">
        <f t="shared" si="26"/>
        <v>46143</v>
      </c>
      <c r="F39" s="237">
        <f t="shared" si="26"/>
        <v>46174</v>
      </c>
      <c r="G39" s="237">
        <f t="shared" si="26"/>
        <v>46204</v>
      </c>
      <c r="H39" s="237">
        <f t="shared" si="26"/>
        <v>46235</v>
      </c>
      <c r="I39" s="237">
        <f t="shared" si="26"/>
        <v>46266</v>
      </c>
      <c r="J39" s="237">
        <f t="shared" si="26"/>
        <v>45931</v>
      </c>
      <c r="K39" s="237">
        <f t="shared" si="26"/>
        <v>45962</v>
      </c>
      <c r="L39" s="238">
        <v>46296</v>
      </c>
      <c r="M39" s="238">
        <v>46327</v>
      </c>
      <c r="N39" s="237">
        <f t="shared" si="26"/>
        <v>45992</v>
      </c>
      <c r="O39" s="237">
        <f t="shared" si="26"/>
        <v>46023</v>
      </c>
      <c r="P39" s="237">
        <f t="shared" si="26"/>
        <v>46054</v>
      </c>
      <c r="Q39" s="237">
        <f t="shared" si="26"/>
        <v>46082</v>
      </c>
      <c r="R39" s="237" t="str">
        <f t="shared" si="26"/>
        <v>FY 2026-27</v>
      </c>
      <c r="S39" s="251"/>
    </row>
    <row r="40" spans="3:19" x14ac:dyDescent="0.35">
      <c r="C40" s="240" t="s">
        <v>203</v>
      </c>
      <c r="D40" s="263">
        <f t="shared" ref="D40:Q40" si="27">IFERROR(((D6/C6)-1),0)</f>
        <v>0</v>
      </c>
      <c r="E40" s="264">
        <f t="shared" si="27"/>
        <v>1.7225699365908245</v>
      </c>
      <c r="F40" s="263">
        <f t="shared" si="27"/>
        <v>0.40841625326576447</v>
      </c>
      <c r="G40" s="263">
        <f t="shared" si="27"/>
        <v>-1</v>
      </c>
      <c r="H40" s="264">
        <f t="shared" si="27"/>
        <v>0</v>
      </c>
      <c r="I40" s="263">
        <f t="shared" si="27"/>
        <v>0</v>
      </c>
      <c r="J40" s="263">
        <f t="shared" ref="J40" si="28">IFERROR(((J6/I6)-1),0)</f>
        <v>0</v>
      </c>
      <c r="K40" s="263">
        <f t="shared" ref="K40" si="29">IFERROR(((K6/J6)-1),0)</f>
        <v>0</v>
      </c>
      <c r="L40" s="263">
        <f t="shared" ref="L40" si="30">IFERROR(((L6/K6)-1),0)</f>
        <v>0</v>
      </c>
      <c r="M40" s="263">
        <f t="shared" ref="M40" si="31">IFERROR(((M6/L6)-1),0)</f>
        <v>0</v>
      </c>
      <c r="N40" s="263">
        <f>IFERROR(((N6/K6)-1),0)</f>
        <v>0</v>
      </c>
      <c r="O40" s="264">
        <f t="shared" si="27"/>
        <v>0</v>
      </c>
      <c r="P40" s="263">
        <f t="shared" si="27"/>
        <v>0</v>
      </c>
      <c r="Q40" s="264">
        <f t="shared" si="27"/>
        <v>0</v>
      </c>
      <c r="R40" s="252">
        <v>0</v>
      </c>
      <c r="S40" s="251"/>
    </row>
    <row r="41" spans="3:19" x14ac:dyDescent="0.35">
      <c r="C41" s="240" t="s">
        <v>204</v>
      </c>
      <c r="D41" s="263">
        <f t="shared" ref="D41:Q41" si="32">IFERROR(((D5/C5)-1),0)</f>
        <v>0</v>
      </c>
      <c r="E41" s="264">
        <f t="shared" si="32"/>
        <v>1.9123173277661794</v>
      </c>
      <c r="F41" s="263">
        <f t="shared" si="32"/>
        <v>1.0234767025089608</v>
      </c>
      <c r="G41" s="263">
        <f t="shared" si="32"/>
        <v>-1</v>
      </c>
      <c r="H41" s="264">
        <f t="shared" si="32"/>
        <v>0</v>
      </c>
      <c r="I41" s="263">
        <f t="shared" si="32"/>
        <v>0</v>
      </c>
      <c r="J41" s="263">
        <f t="shared" ref="J41" si="33">IFERROR(((J5/I5)-1),0)</f>
        <v>0</v>
      </c>
      <c r="K41" s="263">
        <f t="shared" ref="K41" si="34">IFERROR(((K5/J5)-1),0)</f>
        <v>0</v>
      </c>
      <c r="L41" s="263">
        <f t="shared" ref="L41" si="35">IFERROR(((L5/K5)-1),0)</f>
        <v>0</v>
      </c>
      <c r="M41" s="263">
        <f t="shared" ref="M41" si="36">IFERROR(((M5/L5)-1),0)</f>
        <v>0</v>
      </c>
      <c r="N41" s="263">
        <f>IFERROR(((N5/K5)-1),0)</f>
        <v>0</v>
      </c>
      <c r="O41" s="264">
        <f t="shared" si="32"/>
        <v>0</v>
      </c>
      <c r="P41" s="263">
        <f t="shared" si="32"/>
        <v>0</v>
      </c>
      <c r="Q41" s="264">
        <f t="shared" si="32"/>
        <v>0</v>
      </c>
      <c r="R41" s="252">
        <v>0</v>
      </c>
    </row>
    <row r="42" spans="3:19" ht="16" thickBot="1" x14ac:dyDescent="0.4">
      <c r="C42" s="265" t="s">
        <v>205</v>
      </c>
      <c r="D42" s="266">
        <f t="shared" ref="D42:Q42" si="37">IFERROR(((D19/C19)-1),0)</f>
        <v>0</v>
      </c>
      <c r="E42" s="267">
        <f>IFERROR(((E19/D19)-1),0)</f>
        <v>2</v>
      </c>
      <c r="F42" s="266">
        <f t="shared" si="37"/>
        <v>2</v>
      </c>
      <c r="G42" s="266">
        <f t="shared" si="37"/>
        <v>-1</v>
      </c>
      <c r="H42" s="267">
        <f>IFERROR(((#REF!/G19)-1),0)</f>
        <v>0</v>
      </c>
      <c r="I42" s="266">
        <f>IFERROR(((I19/#REF!)-1),0)</f>
        <v>0</v>
      </c>
      <c r="J42" s="266">
        <f>IFERROR(((J19/#REF!)-1),0)</f>
        <v>0</v>
      </c>
      <c r="K42" s="266">
        <f>IFERROR(((K19/#REF!)-1),0)</f>
        <v>0</v>
      </c>
      <c r="L42" s="266">
        <f>IFERROR(((L19/#REF!)-1),0)</f>
        <v>0</v>
      </c>
      <c r="M42" s="266">
        <f>IFERROR(((M19/#REF!)-1),0)</f>
        <v>0</v>
      </c>
      <c r="N42" s="266">
        <f>IFERROR(((N19/K19)-1),0)</f>
        <v>0</v>
      </c>
      <c r="O42" s="267">
        <f t="shared" si="37"/>
        <v>0</v>
      </c>
      <c r="P42" s="266">
        <f t="shared" si="37"/>
        <v>0</v>
      </c>
      <c r="Q42" s="267">
        <f t="shared" si="37"/>
        <v>0</v>
      </c>
      <c r="R42" s="268">
        <v>0</v>
      </c>
    </row>
    <row r="43" spans="3:19" ht="16" thickBot="1" x14ac:dyDescent="0.4">
      <c r="C43" s="233"/>
    </row>
    <row r="44" spans="3:19" x14ac:dyDescent="0.35">
      <c r="C44" s="236" t="s">
        <v>139</v>
      </c>
      <c r="D44" s="237">
        <f>D39</f>
        <v>46113</v>
      </c>
      <c r="E44" s="237">
        <f t="shared" ref="E44:R44" si="38">E39</f>
        <v>46143</v>
      </c>
      <c r="F44" s="237">
        <f t="shared" si="38"/>
        <v>46174</v>
      </c>
      <c r="G44" s="237">
        <f t="shared" si="38"/>
        <v>46204</v>
      </c>
      <c r="H44" s="237">
        <f t="shared" si="38"/>
        <v>46235</v>
      </c>
      <c r="I44" s="237">
        <f t="shared" si="38"/>
        <v>46266</v>
      </c>
      <c r="J44" s="237">
        <f t="shared" si="38"/>
        <v>45931</v>
      </c>
      <c r="K44" s="237">
        <f t="shared" si="38"/>
        <v>45962</v>
      </c>
      <c r="L44" s="238">
        <v>46296</v>
      </c>
      <c r="M44" s="238">
        <v>46327</v>
      </c>
      <c r="N44" s="237">
        <f t="shared" si="38"/>
        <v>45992</v>
      </c>
      <c r="O44" s="237">
        <f t="shared" si="38"/>
        <v>46023</v>
      </c>
      <c r="P44" s="237">
        <f t="shared" si="38"/>
        <v>46054</v>
      </c>
      <c r="Q44" s="237">
        <f t="shared" si="38"/>
        <v>46082</v>
      </c>
      <c r="R44" s="237" t="str">
        <f t="shared" si="38"/>
        <v>FY 2026-27</v>
      </c>
    </row>
    <row r="45" spans="3:19" x14ac:dyDescent="0.35">
      <c r="C45" s="240" t="s">
        <v>206</v>
      </c>
      <c r="D45" s="252">
        <v>0</v>
      </c>
      <c r="E45" s="253">
        <v>0</v>
      </c>
      <c r="F45" s="252">
        <v>0</v>
      </c>
      <c r="G45" s="252">
        <v>0</v>
      </c>
      <c r="H45" s="253">
        <v>0</v>
      </c>
      <c r="I45" s="252">
        <v>0</v>
      </c>
      <c r="J45" s="252">
        <v>0</v>
      </c>
      <c r="K45" s="252">
        <v>0</v>
      </c>
      <c r="L45" s="252">
        <v>0</v>
      </c>
      <c r="M45" s="252">
        <v>0</v>
      </c>
      <c r="N45" s="252">
        <v>0</v>
      </c>
      <c r="O45" s="252">
        <v>0</v>
      </c>
      <c r="P45" s="253">
        <v>0</v>
      </c>
      <c r="Q45" s="252">
        <v>0</v>
      </c>
      <c r="R45" s="269">
        <f>SUM(D45:Q45)</f>
        <v>0</v>
      </c>
    </row>
    <row r="46" spans="3:19" x14ac:dyDescent="0.35">
      <c r="C46" s="240" t="s">
        <v>207</v>
      </c>
      <c r="D46" s="252">
        <v>0</v>
      </c>
      <c r="E46" s="253">
        <v>0</v>
      </c>
      <c r="F46" s="252">
        <v>0</v>
      </c>
      <c r="G46" s="252">
        <v>0</v>
      </c>
      <c r="H46" s="253">
        <v>0</v>
      </c>
      <c r="I46" s="252">
        <v>0</v>
      </c>
      <c r="J46" s="252">
        <v>0</v>
      </c>
      <c r="K46" s="252">
        <v>0</v>
      </c>
      <c r="L46" s="252">
        <v>0</v>
      </c>
      <c r="M46" s="252">
        <v>0</v>
      </c>
      <c r="N46" s="252">
        <v>0</v>
      </c>
      <c r="O46" s="252">
        <v>0</v>
      </c>
      <c r="P46" s="253">
        <v>0</v>
      </c>
      <c r="Q46" s="252">
        <v>0</v>
      </c>
      <c r="R46" s="252">
        <f>SUM(D46:Q46)</f>
        <v>0</v>
      </c>
    </row>
    <row r="47" spans="3:19" x14ac:dyDescent="0.35">
      <c r="C47" s="240" t="s">
        <v>208</v>
      </c>
      <c r="D47" s="252">
        <v>0</v>
      </c>
      <c r="E47" s="253">
        <v>0</v>
      </c>
      <c r="F47" s="252">
        <v>0</v>
      </c>
      <c r="G47" s="252">
        <v>0</v>
      </c>
      <c r="H47" s="253">
        <v>0</v>
      </c>
      <c r="I47" s="252">
        <v>0</v>
      </c>
      <c r="J47" s="252">
        <v>0</v>
      </c>
      <c r="K47" s="252">
        <v>0</v>
      </c>
      <c r="L47" s="252">
        <v>0</v>
      </c>
      <c r="M47" s="252">
        <v>0</v>
      </c>
      <c r="N47" s="252">
        <v>0</v>
      </c>
      <c r="O47" s="252">
        <v>0</v>
      </c>
      <c r="P47" s="253">
        <v>0</v>
      </c>
      <c r="Q47" s="252">
        <v>0</v>
      </c>
      <c r="R47" s="252">
        <f>SUM(D47:Q47)</f>
        <v>0</v>
      </c>
    </row>
    <row r="48" spans="3:19" x14ac:dyDescent="0.35">
      <c r="C48" s="240" t="s">
        <v>209</v>
      </c>
      <c r="D48" s="270">
        <f t="shared" ref="D48:R48" si="39">IFERROR(D47/D19,0)</f>
        <v>0</v>
      </c>
      <c r="E48" s="271">
        <f t="shared" si="39"/>
        <v>0</v>
      </c>
      <c r="F48" s="270">
        <f t="shared" si="39"/>
        <v>0</v>
      </c>
      <c r="G48" s="270">
        <f t="shared" si="39"/>
        <v>0</v>
      </c>
      <c r="H48" s="271">
        <f>IFERROR(H47/#REF!,0)</f>
        <v>0</v>
      </c>
      <c r="I48" s="270">
        <f t="shared" si="39"/>
        <v>0</v>
      </c>
      <c r="J48" s="270">
        <f t="shared" ref="J48:M48" si="40">IFERROR(J47/J19,0)</f>
        <v>0</v>
      </c>
      <c r="K48" s="270">
        <f t="shared" si="40"/>
        <v>0</v>
      </c>
      <c r="L48" s="270">
        <f t="shared" si="40"/>
        <v>0</v>
      </c>
      <c r="M48" s="270">
        <f t="shared" si="40"/>
        <v>0</v>
      </c>
      <c r="N48" s="270">
        <f t="shared" si="39"/>
        <v>0</v>
      </c>
      <c r="O48" s="270">
        <f t="shared" si="39"/>
        <v>0</v>
      </c>
      <c r="P48" s="271">
        <f t="shared" si="39"/>
        <v>0</v>
      </c>
      <c r="Q48" s="270">
        <f t="shared" si="39"/>
        <v>0</v>
      </c>
      <c r="R48" s="270">
        <f t="shared" si="39"/>
        <v>0</v>
      </c>
    </row>
    <row r="49" spans="3:20" ht="16" thickBot="1" x14ac:dyDescent="0.4">
      <c r="C49" s="265" t="s">
        <v>210</v>
      </c>
      <c r="D49" s="268">
        <v>0</v>
      </c>
      <c r="E49" s="272">
        <v>0</v>
      </c>
      <c r="F49" s="268">
        <v>0</v>
      </c>
      <c r="G49" s="268">
        <v>0</v>
      </c>
      <c r="H49" s="272">
        <v>0</v>
      </c>
      <c r="I49" s="268">
        <v>0</v>
      </c>
      <c r="J49" s="268">
        <v>1</v>
      </c>
      <c r="K49" s="268">
        <v>2</v>
      </c>
      <c r="L49" s="268">
        <v>3</v>
      </c>
      <c r="M49" s="268">
        <v>4</v>
      </c>
      <c r="N49" s="268">
        <v>0</v>
      </c>
      <c r="O49" s="268">
        <v>0</v>
      </c>
      <c r="P49" s="272">
        <v>0</v>
      </c>
      <c r="Q49" s="268">
        <v>0</v>
      </c>
      <c r="R49" s="268">
        <f>SUM(D49:Q49)</f>
        <v>10</v>
      </c>
      <c r="S49" s="248"/>
    </row>
    <row r="50" spans="3:20" ht="16" thickBot="1" x14ac:dyDescent="0.4">
      <c r="C50" s="233"/>
      <c r="S50" s="273"/>
    </row>
    <row r="51" spans="3:20" x14ac:dyDescent="0.35">
      <c r="C51" s="255" t="s">
        <v>134</v>
      </c>
      <c r="D51" s="237">
        <f>D44</f>
        <v>46113</v>
      </c>
      <c r="E51" s="237">
        <f t="shared" ref="E51:R51" si="41">E44</f>
        <v>46143</v>
      </c>
      <c r="F51" s="237">
        <f t="shared" si="41"/>
        <v>46174</v>
      </c>
      <c r="G51" s="237">
        <f t="shared" si="41"/>
        <v>46204</v>
      </c>
      <c r="H51" s="237">
        <f t="shared" si="41"/>
        <v>46235</v>
      </c>
      <c r="I51" s="237">
        <f t="shared" si="41"/>
        <v>46266</v>
      </c>
      <c r="J51" s="237">
        <f t="shared" si="41"/>
        <v>45931</v>
      </c>
      <c r="K51" s="237">
        <f t="shared" si="41"/>
        <v>45962</v>
      </c>
      <c r="L51" s="238">
        <v>46296</v>
      </c>
      <c r="M51" s="238">
        <v>46327</v>
      </c>
      <c r="N51" s="237">
        <f t="shared" si="41"/>
        <v>45992</v>
      </c>
      <c r="O51" s="237">
        <f t="shared" si="41"/>
        <v>46023</v>
      </c>
      <c r="P51" s="237">
        <f t="shared" si="41"/>
        <v>46054</v>
      </c>
      <c r="Q51" s="237">
        <f t="shared" si="41"/>
        <v>46082</v>
      </c>
      <c r="R51" s="237" t="str">
        <f t="shared" si="41"/>
        <v>FY 2026-27</v>
      </c>
      <c r="S51" s="234">
        <f>ROUND(S52-S53,2)-ROUND(R36-R12,2)</f>
        <v>-554906</v>
      </c>
    </row>
    <row r="52" spans="3:20" x14ac:dyDescent="0.35">
      <c r="C52" s="256" t="s">
        <v>106</v>
      </c>
      <c r="D52" s="274">
        <f>-SUMIFS(Details!$AL$4:$AL$18,Details!$C$4:$C$18,Summary!D51)</f>
        <v>0</v>
      </c>
      <c r="E52" s="274">
        <f>-SUMIFS(Details!$AL$4:$AL$18,Details!$C$4:$C$18,Summary!E51)</f>
        <v>0</v>
      </c>
      <c r="F52" s="274">
        <f>-SUMIFS(Details!$AL$4:$AL$18,Details!$C$4:$C$18,Summary!F51)</f>
        <v>0</v>
      </c>
      <c r="G52" s="274">
        <f>-SUMIFS(Details!$AL$4:$AL$18,Details!$C$4:$C$18,Summary!G51)</f>
        <v>0</v>
      </c>
      <c r="H52" s="274">
        <f>-SUMIFS(Details!$AL$4:$AL$18,Details!$C$4:$C$18,Summary!H51)</f>
        <v>0</v>
      </c>
      <c r="I52" s="274">
        <f>-SUMIFS(Details!$AL$4:$AL$18,Details!$C$4:$C$18,Summary!I51)</f>
        <v>0</v>
      </c>
      <c r="J52" s="274">
        <f>-SUMIFS(Details!$AL$4:$AL$18,Details!$C$4:$C$18,Summary!J51)</f>
        <v>0</v>
      </c>
      <c r="K52" s="274">
        <f>-SUMIFS(Details!$AL$4:$AL$18,Details!$C$4:$C$18,Summary!K51)</f>
        <v>0</v>
      </c>
      <c r="L52" s="274">
        <f>-SUMIFS(Details!$AL$4:$AL$18,Details!$C$4:$C$18,Summary!L51)</f>
        <v>0</v>
      </c>
      <c r="M52" s="274">
        <f>-SUMIFS(Details!$AL$4:$AL$18,Details!$C$4:$C$18,Summary!M51)</f>
        <v>0</v>
      </c>
      <c r="N52" s="274">
        <f>-SUMIFS(Details!$AL$4:$AL$18,Details!$C$4:$C$18,Summary!N51)</f>
        <v>0</v>
      </c>
      <c r="O52" s="274">
        <f>-SUMIFS(Details!$AL$4:$AL$18,Details!$C$4:$C$18,Summary!O51)</f>
        <v>0</v>
      </c>
      <c r="P52" s="274">
        <f>-SUMIFS(Details!$AL$4:$AL$18,Details!$C$4:$C$18,Summary!P51)</f>
        <v>0</v>
      </c>
      <c r="Q52" s="274">
        <f>-SUMIFS(Details!$AL$4:$AL$18,Details!$C$4:$C$18,Summary!Q51)</f>
        <v>0</v>
      </c>
      <c r="R52" s="275">
        <f>SUM(D52:Q52)</f>
        <v>0</v>
      </c>
      <c r="S52" s="276">
        <f>Details!AL19</f>
        <v>0</v>
      </c>
      <c r="T52" s="234">
        <f>S52+R52</f>
        <v>0</v>
      </c>
    </row>
    <row r="53" spans="3:20" ht="16" thickBot="1" x14ac:dyDescent="0.4">
      <c r="C53" s="260" t="s">
        <v>107</v>
      </c>
      <c r="D53" s="277">
        <f>-SUMIFS(Details!$BN$4:$BN$18,Details!$C$4:$C$18,Summary!D51)</f>
        <v>0</v>
      </c>
      <c r="E53" s="277">
        <f>-SUMIFS(Details!$BN$4:$BN$18,Details!$C$4:$C$18,Summary!E51)</f>
        <v>0</v>
      </c>
      <c r="F53" s="277">
        <f>-SUMIFS(Details!$BN$4:$BN$18,Details!$C$4:$C$18,Summary!F51)</f>
        <v>0</v>
      </c>
      <c r="G53" s="277">
        <f>-SUMIFS(Details!$BN$4:$BN$18,Details!$C$4:$C$18,Summary!G51)</f>
        <v>0</v>
      </c>
      <c r="H53" s="277">
        <f>-SUMIFS(Details!$BN$4:$BN$18,Details!$C$4:$C$18,Summary!H51)</f>
        <v>0</v>
      </c>
      <c r="I53" s="277">
        <f>-SUMIFS(Details!$BN$4:$BN$18,Details!$C$4:$C$18,Summary!I51)</f>
        <v>0</v>
      </c>
      <c r="J53" s="277">
        <f>-SUMIFS(Details!$BN$4:$BN$18,Details!$C$4:$C$18,Summary!J51)</f>
        <v>0</v>
      </c>
      <c r="K53" s="277">
        <f>-SUMIFS(Details!$BN$4:$BN$18,Details!$C$4:$C$18,Summary!K51)</f>
        <v>0</v>
      </c>
      <c r="L53" s="277">
        <f>-SUMIFS(Details!$BN$4:$BN$18,Details!$C$4:$C$18,Summary!L51)</f>
        <v>0</v>
      </c>
      <c r="M53" s="277">
        <f>-SUMIFS(Details!$BN$4:$BN$18,Details!$C$4:$C$18,Summary!M51)</f>
        <v>0</v>
      </c>
      <c r="N53" s="277">
        <f>-SUMIFS(Details!$BN$4:$BN$18,Details!$C$4:$C$18,Summary!N51)</f>
        <v>0</v>
      </c>
      <c r="O53" s="277">
        <f>-SUMIFS(Details!$BN$4:$BN$18,Details!$C$4:$C$18,Summary!O51)</f>
        <v>0</v>
      </c>
      <c r="P53" s="277">
        <f>-SUMIFS(Details!$BN$4:$BN$18,Details!$C$4:$C$18,Summary!P51)</f>
        <v>0</v>
      </c>
      <c r="Q53" s="277">
        <f>-SUMIFS(Details!$BN$4:$BN$18,Details!$C$4:$C$18,Summary!Q51)</f>
        <v>0</v>
      </c>
      <c r="R53" s="278">
        <f>SUM(D53:Q53)</f>
        <v>0</v>
      </c>
      <c r="S53" s="276">
        <f>Details!BN19</f>
        <v>0</v>
      </c>
      <c r="T53" s="234">
        <f>S53+R53</f>
        <v>0</v>
      </c>
    </row>
    <row r="54" spans="3:20" ht="16" thickBot="1" x14ac:dyDescent="0.4">
      <c r="D54" s="273"/>
      <c r="E54" s="273"/>
    </row>
    <row r="55" spans="3:20" x14ac:dyDescent="0.35">
      <c r="C55" s="282" t="s">
        <v>170</v>
      </c>
      <c r="D55" s="283">
        <v>45748</v>
      </c>
      <c r="E55" s="283">
        <v>45778</v>
      </c>
      <c r="F55" s="283">
        <v>45809</v>
      </c>
      <c r="G55" s="283">
        <v>45839</v>
      </c>
      <c r="H55" s="283">
        <v>45870</v>
      </c>
      <c r="I55" s="283">
        <v>45901</v>
      </c>
      <c r="J55" s="283">
        <v>45931</v>
      </c>
      <c r="K55" s="283">
        <v>45962</v>
      </c>
      <c r="L55" s="238">
        <v>46296</v>
      </c>
      <c r="M55" s="238">
        <v>46327</v>
      </c>
      <c r="N55" s="283">
        <v>45992</v>
      </c>
      <c r="O55" s="283">
        <v>46023</v>
      </c>
      <c r="P55" s="283">
        <v>46054</v>
      </c>
      <c r="Q55" s="283">
        <v>46082</v>
      </c>
      <c r="R55" s="284" t="s">
        <v>179</v>
      </c>
    </row>
    <row r="56" spans="3:20" ht="16" thickBot="1" x14ac:dyDescent="0.4">
      <c r="C56" s="285"/>
      <c r="D56" s="281">
        <f>SUMIFS(Details!$BA$4:$BA$18,Details!$C$4:$C$18,Summary!D$4)/1000</f>
        <v>0</v>
      </c>
      <c r="E56" s="281">
        <f>SUMIFS(Details!$BA$4:$BA$18,Details!$C$4:$C$18,Summary!E$4)/1000</f>
        <v>0</v>
      </c>
      <c r="F56" s="281">
        <f>SUMIFS(Details!$BA$4:$BA$18,Details!$C$4:$C$18,Summary!F$4)/1000</f>
        <v>0</v>
      </c>
      <c r="G56" s="281">
        <f>SUMIFS(Details!$BA$4:$BA$18,Details!$C$4:$C$18,Summary!G$4)/1000</f>
        <v>0</v>
      </c>
      <c r="H56" s="281">
        <f>SUMIFS(Details!$BA$4:$BA$18,Details!$C$4:$C$18,Summary!H$4)/1000</f>
        <v>0</v>
      </c>
      <c r="I56" s="281">
        <f>SUMIFS(Details!$BA$4:$BA$18,Details!$C$4:$C$18,Summary!I$4)/1000</f>
        <v>0</v>
      </c>
      <c r="J56" s="281">
        <f>SUMIFS(Details!$BA$4:$BA$18,Details!$C$4:$C$18,Summary!J$4)/1000</f>
        <v>0</v>
      </c>
      <c r="K56" s="281">
        <f>SUMIFS(Details!$BA$4:$BA$18,Details!$C$4:$C$18,Summary!K$4)/1000</f>
        <v>0</v>
      </c>
      <c r="L56" s="281">
        <f>SUMIFS(Details!$BA$4:$BA$18,Details!$C$4:$C$18,Summary!L$4)/1000</f>
        <v>0</v>
      </c>
      <c r="M56" s="281">
        <f>SUMIFS(Details!$BA$4:$BA$18,Details!$C$4:$C$18,Summary!M$4)/1000</f>
        <v>0</v>
      </c>
      <c r="N56" s="281">
        <f>SUMIFS(Details!$BA$4:$BA$18,Details!$C$4:$C$18,Summary!N$4)/1000</f>
        <v>0</v>
      </c>
      <c r="O56" s="281">
        <f>SUMIFS(Details!$BA$4:$BA$18,Details!$C$4:$C$18,Summary!O$4)/1000</f>
        <v>0</v>
      </c>
      <c r="P56" s="281">
        <f>SUMIFS(Details!$BA$4:$BA$18,Details!$C$4:$C$18,Summary!P$4)/1000</f>
        <v>0</v>
      </c>
      <c r="Q56" s="281">
        <f>SUMIFS(Details!$BA$4:$BA$18,Details!$C$4:$C$18,Summary!Q$4)/1000</f>
        <v>0</v>
      </c>
      <c r="R56" s="281">
        <f t="shared" ref="R56" si="42">SUM(D56:Q56)</f>
        <v>0</v>
      </c>
    </row>
    <row r="57" spans="3:20" ht="16" thickBot="1" x14ac:dyDescent="0.4">
      <c r="C57" s="287"/>
      <c r="D57" s="288"/>
      <c r="E57" s="288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</row>
    <row r="58" spans="3:20" ht="16" thickBot="1" x14ac:dyDescent="0.4">
      <c r="C58" s="282" t="s">
        <v>199</v>
      </c>
      <c r="D58" s="290">
        <v>45748</v>
      </c>
      <c r="E58" s="290">
        <v>45778</v>
      </c>
      <c r="F58" s="290">
        <v>45809</v>
      </c>
      <c r="G58" s="290">
        <v>45839</v>
      </c>
      <c r="H58" s="290">
        <v>45870</v>
      </c>
      <c r="I58" s="290">
        <v>45901</v>
      </c>
      <c r="J58" s="290">
        <v>45931</v>
      </c>
      <c r="K58" s="290">
        <v>45962</v>
      </c>
      <c r="L58" s="238">
        <v>46296</v>
      </c>
      <c r="M58" s="238">
        <v>46327</v>
      </c>
      <c r="N58" s="290">
        <v>45992</v>
      </c>
      <c r="O58" s="290">
        <v>46023</v>
      </c>
      <c r="P58" s="290">
        <v>46054</v>
      </c>
      <c r="Q58" s="290">
        <v>46082</v>
      </c>
      <c r="R58" s="290" t="s">
        <v>179</v>
      </c>
    </row>
    <row r="59" spans="3:20" x14ac:dyDescent="0.35">
      <c r="C59" s="291" t="s">
        <v>187</v>
      </c>
      <c r="D59" s="291">
        <f>SUMIFS(Details!$CL$5:$CL$18,Details!$C$5:$C$18,Summary!D$58)</f>
        <v>0</v>
      </c>
      <c r="E59" s="291">
        <f>SUMIFS(Details!$CL$5:$CL$18,Details!$C$5:$C$18,Summary!E$58)</f>
        <v>0</v>
      </c>
      <c r="F59" s="291">
        <f>SUMIFS(Details!$CL$5:$CL$18,Details!$C$5:$C$18,Summary!F$58)</f>
        <v>0</v>
      </c>
      <c r="G59" s="291">
        <f>SUMIFS(Details!$CL$5:$CL$18,Details!$C$5:$C$18,Summary!G$58)</f>
        <v>0</v>
      </c>
      <c r="H59" s="291">
        <f>SUMIFS(Details!$CL$5:$CL$18,Details!$C$5:$C$18,Summary!H$58)</f>
        <v>0</v>
      </c>
      <c r="I59" s="291">
        <f>SUMIFS(Details!$CL$5:$CL$18,Details!$C$5:$C$18,Summary!I$58)</f>
        <v>0</v>
      </c>
      <c r="J59" s="291">
        <f>SUMIFS(Details!$CL$5:$CL$18,Details!$C$5:$C$18,Summary!J$58)</f>
        <v>0</v>
      </c>
      <c r="K59" s="291">
        <f>SUMIFS(Details!$CL$5:$CL$18,Details!$C$5:$C$18,Summary!K$58)</f>
        <v>0</v>
      </c>
      <c r="L59" s="291">
        <f>SUMIFS(Details!$CL$5:$CL$18,Details!$C$5:$C$18,Summary!L$58)</f>
        <v>0</v>
      </c>
      <c r="M59" s="291">
        <f>SUMIFS(Details!$CL$5:$CL$18,Details!$C$5:$C$18,Summary!M$58)</f>
        <v>0</v>
      </c>
      <c r="N59" s="291">
        <f>SUMIFS(Details!$CL$5:$CL$18,Details!$C$5:$C$18,Summary!N$58)</f>
        <v>0</v>
      </c>
      <c r="O59" s="291">
        <f>SUMIFS(Details!$CL$5:$CL$18,Details!$C$5:$C$18,Summary!O$58)</f>
        <v>0</v>
      </c>
      <c r="P59" s="291">
        <f>SUMIFS(Details!$CL$5:$CL$18,Details!$C$5:$C$18,Summary!P$58)</f>
        <v>0</v>
      </c>
      <c r="Q59" s="291">
        <f>SUMIFS(Details!$CL$5:$CL$18,Details!$C$5:$C$18,Summary!Q$58)</f>
        <v>0</v>
      </c>
      <c r="R59" s="292">
        <f>SUM(D59:Q59)</f>
        <v>0</v>
      </c>
    </row>
    <row r="60" spans="3:20" x14ac:dyDescent="0.35">
      <c r="C60" s="293" t="s">
        <v>188</v>
      </c>
      <c r="D60" s="293">
        <f>SUMIFS(Details!$CM$5:$CM$18,Details!$C$5:$C$18,Summary!D$58)</f>
        <v>0</v>
      </c>
      <c r="E60" s="293">
        <f>SUMIFS(Details!$CM$5:$CM$18,Details!$C$5:$C$18,Summary!E$58)</f>
        <v>0</v>
      </c>
      <c r="F60" s="293">
        <f>SUMIFS(Details!$CM$5:$CM$18,Details!$C$5:$C$18,Summary!F$58)</f>
        <v>0</v>
      </c>
      <c r="G60" s="293">
        <f>SUMIFS(Details!$CM$5:$CM$18,Details!$C$5:$C$18,Summary!G$58)</f>
        <v>0</v>
      </c>
      <c r="H60" s="293">
        <f>SUMIFS(Details!$CM$5:$CM$18,Details!$C$5:$C$18,Summary!H$58)</f>
        <v>0</v>
      </c>
      <c r="I60" s="293">
        <f>SUMIFS(Details!$CM$5:$CM$18,Details!$C$5:$C$18,Summary!I$58)</f>
        <v>0</v>
      </c>
      <c r="J60" s="293">
        <f>SUMIFS(Details!$CM$5:$CM$18,Details!$C$5:$C$18,Summary!J$58)</f>
        <v>0</v>
      </c>
      <c r="K60" s="293">
        <f>SUMIFS(Details!$CM$5:$CM$18,Details!$C$5:$C$18,Summary!K$58)</f>
        <v>0</v>
      </c>
      <c r="L60" s="293">
        <f>SUMIFS(Details!$CM$5:$CM$18,Details!$C$5:$C$18,Summary!L$58)</f>
        <v>0</v>
      </c>
      <c r="M60" s="293">
        <f>SUMIFS(Details!$CM$5:$CM$18,Details!$C$5:$C$18,Summary!M$58)</f>
        <v>0</v>
      </c>
      <c r="N60" s="293">
        <f>SUMIFS(Details!$CM$5:$CM$18,Details!$C$5:$C$18,Summary!N$58)</f>
        <v>0</v>
      </c>
      <c r="O60" s="293">
        <f>SUMIFS(Details!$CM$5:$CM$18,Details!$C$5:$C$18,Summary!O$58)</f>
        <v>0</v>
      </c>
      <c r="P60" s="293">
        <f>SUMIFS(Details!$CM$5:$CM$18,Details!$C$5:$C$18,Summary!P$58)</f>
        <v>0</v>
      </c>
      <c r="Q60" s="293">
        <f>SUMIFS(Details!$CM$5:$CM$18,Details!$C$5:$C$18,Summary!Q$58)</f>
        <v>0</v>
      </c>
      <c r="R60" s="294">
        <f t="shared" ref="R60:R61" si="43">SUM(D60:Q60)</f>
        <v>0</v>
      </c>
    </row>
    <row r="61" spans="3:20" ht="16" thickBot="1" x14ac:dyDescent="0.4">
      <c r="C61" s="295" t="s">
        <v>189</v>
      </c>
      <c r="D61" s="295">
        <f>SUMIFS(Details!$CN$5:$CN$18,Details!$C$5:$C$18,Summary!D$58)</f>
        <v>0</v>
      </c>
      <c r="E61" s="295">
        <f>SUMIFS(Details!$CN$5:$CN$18,Details!$C$5:$C$18,Summary!E$58)</f>
        <v>0</v>
      </c>
      <c r="F61" s="295">
        <f>SUMIFS(Details!$CN$5:$CN$18,Details!$C$5:$C$18,Summary!F$58)</f>
        <v>0</v>
      </c>
      <c r="G61" s="295">
        <f>SUMIFS(Details!$CN$5:$CN$18,Details!$C$5:$C$18,Summary!G$58)</f>
        <v>0</v>
      </c>
      <c r="H61" s="295">
        <f>SUMIFS(Details!$CN$5:$CN$18,Details!$C$5:$C$18,Summary!H$58)</f>
        <v>0</v>
      </c>
      <c r="I61" s="295">
        <f>SUMIFS(Details!$CN$5:$CN$18,Details!$C$5:$C$18,Summary!I$58)</f>
        <v>0</v>
      </c>
      <c r="J61" s="295">
        <f>SUMIFS(Details!$CN$5:$CN$18,Details!$C$5:$C$18,Summary!J$58)</f>
        <v>0</v>
      </c>
      <c r="K61" s="295">
        <f>SUMIFS(Details!$CN$5:$CN$18,Details!$C$5:$C$18,Summary!K$58)</f>
        <v>0</v>
      </c>
      <c r="L61" s="295">
        <f>SUMIFS(Details!$CN$5:$CN$18,Details!$C$5:$C$18,Summary!L$58)</f>
        <v>0</v>
      </c>
      <c r="M61" s="295">
        <f>SUMIFS(Details!$CN$5:$CN$18,Details!$C$5:$C$18,Summary!M$58)</f>
        <v>0</v>
      </c>
      <c r="N61" s="295">
        <f>SUMIFS(Details!$CN$5:$CN$18,Details!$C$5:$C$18,Summary!N$58)</f>
        <v>0</v>
      </c>
      <c r="O61" s="295">
        <f>SUMIFS(Details!$CN$5:$CN$18,Details!$C$5:$C$18,Summary!O$58)</f>
        <v>0</v>
      </c>
      <c r="P61" s="295">
        <f>SUMIFS(Details!$CN$5:$CN$18,Details!$C$5:$C$18,Summary!P$58)</f>
        <v>0</v>
      </c>
      <c r="Q61" s="295">
        <f>SUMIFS(Details!$CN$5:$CN$18,Details!$C$5:$C$18,Summary!Q$58)</f>
        <v>0</v>
      </c>
      <c r="R61" s="286">
        <f t="shared" si="43"/>
        <v>0</v>
      </c>
    </row>
    <row r="62" spans="3:20" ht="16" thickBot="1" x14ac:dyDescent="0.4">
      <c r="C62" s="289"/>
      <c r="D62" s="288"/>
      <c r="E62" s="288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</row>
    <row r="63" spans="3:20" x14ac:dyDescent="0.35">
      <c r="C63" s="297" t="s">
        <v>200</v>
      </c>
      <c r="D63" s="298" t="s">
        <v>1</v>
      </c>
      <c r="E63" s="299" t="s">
        <v>2</v>
      </c>
      <c r="F63" s="289"/>
      <c r="G63" s="296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</row>
    <row r="64" spans="3:20" x14ac:dyDescent="0.35">
      <c r="C64" s="302">
        <f>Details!P39</f>
        <v>46194</v>
      </c>
      <c r="D64" s="300">
        <f>SUMIFS(Details!$BO$5:$BO$18,Details!$D$5:$D$18,Summary!$C$64)*118%</f>
        <v>0</v>
      </c>
      <c r="E64" s="303">
        <f>SUMIFS(Details!$AM$5:$AM$18,Details!$D$5:$D$18,Summary!$C$64)*118%</f>
        <v>0</v>
      </c>
      <c r="F64" s="289"/>
      <c r="G64" s="296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</row>
    <row r="65" spans="3:18" x14ac:dyDescent="0.35">
      <c r="C65" s="300" t="str">
        <f>TEXT(C64,"mmm-yy")</f>
        <v>Jun-26</v>
      </c>
      <c r="D65" s="300">
        <f>SUMIFS(Details!$BO$5:$BO$18,Details!$C$5:$C$18,Summary!$C$65)*118%</f>
        <v>1213078.4680000001</v>
      </c>
      <c r="E65" s="303">
        <f>SUMIFS(Details!$AM$5:$AM$18,Details!$C$5:$C$18,Summary!$C$65)*118%</f>
        <v>1144175.2</v>
      </c>
      <c r="F65" s="289"/>
      <c r="G65" s="296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</row>
    <row r="66" spans="3:18" ht="16" thickBot="1" x14ac:dyDescent="0.4">
      <c r="C66" s="301" t="s">
        <v>201</v>
      </c>
      <c r="D66" s="301">
        <f>Details!BO19*118%</f>
        <v>2390743.2480000001</v>
      </c>
      <c r="E66" s="304">
        <f>Details!AM19*118%</f>
        <v>2183035.4</v>
      </c>
      <c r="F66" s="289"/>
      <c r="G66" s="296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</row>
    <row r="67" spans="3:18" x14ac:dyDescent="0.35">
      <c r="D67" s="273"/>
      <c r="E67" s="273"/>
    </row>
    <row r="68" spans="3:18" x14ac:dyDescent="0.35">
      <c r="D68" s="273"/>
      <c r="E68" s="273"/>
    </row>
    <row r="69" spans="3:18" x14ac:dyDescent="0.35">
      <c r="D69" s="273"/>
      <c r="E69" s="273"/>
    </row>
    <row r="70" spans="3:18" x14ac:dyDescent="0.35">
      <c r="D70" s="273"/>
      <c r="E70" s="273"/>
    </row>
    <row r="71" spans="3:18" x14ac:dyDescent="0.35">
      <c r="D71" s="273"/>
      <c r="E71" s="273"/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CW68"/>
  <sheetViews>
    <sheetView showGridLines="0" showRowColHeaders="0" topLeftCell="A2" zoomScaleNormal="100" workbookViewId="0">
      <pane xSplit="5" ySplit="3" topLeftCell="AQ25" activePane="bottomRight" state="frozen"/>
      <selection activeCell="E33" sqref="E33"/>
      <selection pane="topRight" activeCell="E33" sqref="E33"/>
      <selection pane="bottomLeft" activeCell="E33" sqref="E33"/>
      <selection pane="bottomRight" activeCell="AT42" sqref="AT42"/>
    </sheetView>
  </sheetViews>
  <sheetFormatPr defaultColWidth="7.90625" defaultRowHeight="10.5" x14ac:dyDescent="0.25"/>
  <cols>
    <col min="1" max="1" width="2.90625" style="82" customWidth="1"/>
    <col min="2" max="2" width="7.7265625" style="82" bestFit="1" customWidth="1"/>
    <col min="3" max="3" width="6.90625" style="82" bestFit="1" customWidth="1"/>
    <col min="4" max="4" width="8.453125" style="82" bestFit="1" customWidth="1"/>
    <col min="5" max="5" width="15.26953125" style="92" bestFit="1" customWidth="1"/>
    <col min="6" max="6" width="33.6328125" style="84" bestFit="1" customWidth="1"/>
    <col min="7" max="7" width="14.7265625" style="82" bestFit="1" customWidth="1"/>
    <col min="8" max="8" width="16.36328125" style="84" bestFit="1" customWidth="1"/>
    <col min="9" max="9" width="16.453125" style="85" bestFit="1" customWidth="1"/>
    <col min="10" max="10" width="14.453125" style="97" bestFit="1" customWidth="1"/>
    <col min="11" max="11" width="8.453125" style="85" bestFit="1" customWidth="1"/>
    <col min="12" max="12" width="11.81640625" style="102" bestFit="1" customWidth="1"/>
    <col min="13" max="13" width="11.26953125" style="84" bestFit="1" customWidth="1"/>
    <col min="14" max="14" width="21.7265625" style="105" bestFit="1" customWidth="1"/>
    <col min="15" max="15" width="8.1796875" style="105" bestFit="1" customWidth="1"/>
    <col min="16" max="16" width="9.26953125" style="97" bestFit="1" customWidth="1"/>
    <col min="17" max="17" width="12.90625" style="82" bestFit="1" customWidth="1"/>
    <col min="18" max="18" width="10.08984375" style="82" bestFit="1" customWidth="1"/>
    <col min="19" max="19" width="8.1796875" style="82" bestFit="1" customWidth="1"/>
    <col min="20" max="20" width="16.7265625" style="82" bestFit="1" customWidth="1"/>
    <col min="21" max="21" width="24.6328125" style="102" bestFit="1" customWidth="1"/>
    <col min="22" max="22" width="13.1796875" style="88" bestFit="1" customWidth="1"/>
    <col min="23" max="23" width="14.453125" style="88" bestFit="1" customWidth="1"/>
    <col min="24" max="24" width="8.453125" style="84" bestFit="1" customWidth="1"/>
    <col min="25" max="25" width="11.54296875" style="82" bestFit="1" customWidth="1"/>
    <col min="26" max="26" width="21.90625" style="82" bestFit="1" customWidth="1"/>
    <col min="27" max="27" width="15.6328125" style="82" bestFit="1" customWidth="1"/>
    <col min="28" max="28" width="16.26953125" style="82" bestFit="1" customWidth="1"/>
    <col min="29" max="29" width="14.81640625" style="82" bestFit="1" customWidth="1"/>
    <col min="30" max="30" width="8.453125" style="97" bestFit="1" customWidth="1"/>
    <col min="31" max="31" width="15.7265625" style="97" bestFit="1" customWidth="1"/>
    <col min="32" max="32" width="16.6328125" style="105" bestFit="1" customWidth="1"/>
    <col min="33" max="33" width="14.7265625" style="105" bestFit="1" customWidth="1"/>
    <col min="34" max="34" width="14.6328125" style="84" bestFit="1" customWidth="1"/>
    <col min="35" max="35" width="16.08984375" style="82" bestFit="1" customWidth="1"/>
    <col min="36" max="36" width="13.36328125" style="82" bestFit="1" customWidth="1"/>
    <col min="37" max="37" width="17.08984375" style="82" bestFit="1" customWidth="1"/>
    <col min="38" max="38" width="14.36328125" style="82" bestFit="1" customWidth="1"/>
    <col min="39" max="39" width="9.453125" style="97" bestFit="1" customWidth="1"/>
    <col min="40" max="40" width="8.54296875" style="82" bestFit="1" customWidth="1"/>
    <col min="41" max="41" width="15" style="82" bestFit="1" customWidth="1"/>
    <col min="42" max="42" width="16.36328125" style="82" bestFit="1" customWidth="1"/>
    <col min="43" max="43" width="24.7265625" style="82" bestFit="1" customWidth="1"/>
    <col min="44" max="44" width="22.1796875" style="108" bestFit="1" customWidth="1"/>
    <col min="45" max="45" width="20.08984375" style="82" customWidth="1"/>
    <col min="46" max="46" width="18.81640625" style="82" bestFit="1" customWidth="1"/>
    <col min="47" max="47" width="16.1796875" style="82" bestFit="1" customWidth="1"/>
    <col min="48" max="48" width="16.1796875" style="82" customWidth="1"/>
    <col min="49" max="49" width="8.1796875" style="82" bestFit="1" customWidth="1"/>
    <col min="50" max="50" width="7.81640625" style="82" bestFit="1" customWidth="1"/>
    <col min="51" max="51" width="8.1796875" style="82" bestFit="1" customWidth="1"/>
    <col min="52" max="52" width="9.453125" style="82" bestFit="1" customWidth="1"/>
    <col min="53" max="53" width="10.08984375" style="82" bestFit="1" customWidth="1"/>
    <col min="54" max="54" width="8.1796875" style="82" bestFit="1" customWidth="1"/>
    <col min="55" max="55" width="15.7265625" style="82" bestFit="1" customWidth="1"/>
    <col min="56" max="56" width="11.26953125" style="82" bestFit="1" customWidth="1"/>
    <col min="57" max="57" width="16.1796875" style="82" bestFit="1" customWidth="1"/>
    <col min="58" max="58" width="11" style="82" bestFit="1" customWidth="1"/>
    <col min="59" max="59" width="7.90625" style="82" bestFit="1" customWidth="1"/>
    <col min="60" max="60" width="19.453125" style="82" bestFit="1" customWidth="1"/>
    <col min="61" max="61" width="12.54296875" style="82" bestFit="1" customWidth="1"/>
    <col min="62" max="62" width="17.08984375" style="82" bestFit="1" customWidth="1"/>
    <col min="63" max="63" width="12.54296875" style="82" bestFit="1" customWidth="1"/>
    <col min="64" max="64" width="14.54296875" style="105" bestFit="1" customWidth="1"/>
    <col min="65" max="65" width="15.90625" style="82" bestFit="1" customWidth="1"/>
    <col min="66" max="66" width="14.1796875" style="82" bestFit="1" customWidth="1"/>
    <col min="67" max="67" width="11.453125" style="82" bestFit="1" customWidth="1"/>
    <col min="68" max="68" width="7.90625" style="82" bestFit="1" customWidth="1"/>
    <col min="69" max="69" width="15.1796875" style="84" bestFit="1" customWidth="1"/>
    <col min="70" max="70" width="18.81640625" style="110" bestFit="1" customWidth="1"/>
    <col min="71" max="71" width="14.26953125" style="82" bestFit="1" customWidth="1"/>
    <col min="72" max="72" width="21.08984375" style="82" bestFit="1" customWidth="1"/>
    <col min="73" max="73" width="10" style="82" bestFit="1" customWidth="1"/>
    <col min="74" max="74" width="12.7265625" style="82" bestFit="1" customWidth="1"/>
    <col min="75" max="75" width="20" style="82" bestFit="1" customWidth="1"/>
    <col min="76" max="76" width="20.1796875" style="84" bestFit="1" customWidth="1"/>
    <col min="77" max="77" width="6.26953125" style="82" bestFit="1" customWidth="1"/>
    <col min="78" max="78" width="9.1796875" style="82" bestFit="1" customWidth="1"/>
    <col min="79" max="79" width="9.36328125" style="82" bestFit="1" customWidth="1"/>
    <col min="80" max="80" width="6.26953125" style="92" bestFit="1" customWidth="1"/>
    <col min="81" max="81" width="20.90625" style="82" bestFit="1" customWidth="1"/>
    <col min="82" max="82" width="12.08984375" style="82" bestFit="1" customWidth="1"/>
    <col min="83" max="83" width="6.90625" style="82" bestFit="1" customWidth="1"/>
    <col min="84" max="84" width="8.1796875" style="82" bestFit="1" customWidth="1"/>
    <col min="85" max="85" width="8.26953125" style="82" bestFit="1" customWidth="1"/>
    <col min="86" max="86" width="9.26953125" style="84" bestFit="1" customWidth="1"/>
    <col min="87" max="87" width="16.54296875" style="82" bestFit="1" customWidth="1"/>
    <col min="88" max="88" width="13.54296875" style="82" bestFit="1" customWidth="1"/>
    <col min="89" max="89" width="9.90625" style="82" bestFit="1" customWidth="1"/>
    <col min="90" max="90" width="11.81640625" style="82" bestFit="1" customWidth="1"/>
    <col min="91" max="91" width="13.36328125" style="82" bestFit="1" customWidth="1"/>
    <col min="92" max="92" width="10.26953125" style="82" bestFit="1" customWidth="1"/>
    <col min="93" max="93" width="7.90625" style="82" bestFit="1" customWidth="1"/>
    <col min="94" max="94" width="9.36328125" style="82" bestFit="1" customWidth="1"/>
    <col min="95" max="95" width="10.54296875" style="82" bestFit="1" customWidth="1"/>
    <col min="96" max="96" width="10.08984375" style="82" bestFit="1" customWidth="1"/>
    <col min="97" max="97" width="7.1796875" style="82" bestFit="1" customWidth="1"/>
    <col min="98" max="99" width="11.7265625" style="82" bestFit="1" customWidth="1"/>
    <col min="100" max="100" width="13.81640625" style="82" bestFit="1" customWidth="1"/>
    <col min="101" max="101" width="15.54296875" style="82" bestFit="1" customWidth="1"/>
    <col min="102" max="16384" width="7.90625" style="82"/>
  </cols>
  <sheetData>
    <row r="2" spans="2:101" ht="5.4" customHeight="1" thickBot="1" x14ac:dyDescent="0.3">
      <c r="D2" s="83"/>
      <c r="E2" s="84"/>
      <c r="G2" s="84"/>
      <c r="J2" s="84"/>
      <c r="L2" s="84"/>
      <c r="N2" s="84"/>
      <c r="O2" s="84"/>
      <c r="P2" s="84"/>
      <c r="Q2" s="84"/>
      <c r="R2" s="84"/>
      <c r="S2" s="84"/>
      <c r="T2" s="84"/>
      <c r="U2" s="84"/>
      <c r="V2" s="84"/>
      <c r="W2" s="84"/>
      <c r="Y2" s="84"/>
      <c r="Z2" s="84"/>
      <c r="AA2" s="84"/>
      <c r="AB2" s="84"/>
      <c r="AC2" s="84"/>
      <c r="AD2" s="84"/>
      <c r="AE2" s="84"/>
      <c r="AF2" s="84"/>
      <c r="AG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6"/>
      <c r="BA2" s="86"/>
      <c r="BB2" s="86"/>
      <c r="BC2" s="87"/>
      <c r="BD2" s="86"/>
      <c r="BE2" s="86"/>
      <c r="BF2" s="86"/>
      <c r="BG2" s="88"/>
      <c r="BH2" s="89"/>
      <c r="BI2" s="89"/>
      <c r="BJ2" s="89"/>
      <c r="BK2" s="89"/>
      <c r="BL2" s="89"/>
      <c r="BM2" s="89"/>
      <c r="BN2" s="90"/>
      <c r="BO2" s="90"/>
      <c r="BR2" s="82"/>
      <c r="BS2" s="90"/>
      <c r="BV2" s="352"/>
      <c r="BW2" s="352"/>
      <c r="BX2" s="352"/>
      <c r="BY2" s="352"/>
      <c r="BZ2" s="352"/>
      <c r="CA2" s="352"/>
      <c r="CB2" s="84"/>
      <c r="CC2" s="91"/>
      <c r="CD2" s="91"/>
    </row>
    <row r="3" spans="2:101" ht="18" customHeight="1" thickBot="1" x14ac:dyDescent="0.45">
      <c r="B3" s="350" t="s">
        <v>215</v>
      </c>
      <c r="C3" s="350"/>
      <c r="D3" s="350"/>
      <c r="F3" s="93" t="s">
        <v>145</v>
      </c>
      <c r="G3" s="93"/>
      <c r="H3" s="93"/>
      <c r="I3" s="94"/>
      <c r="J3" s="93"/>
      <c r="K3" s="94"/>
      <c r="L3" s="93"/>
      <c r="M3" s="93"/>
      <c r="N3" s="93"/>
      <c r="O3" s="93"/>
      <c r="P3" s="93"/>
      <c r="Q3" s="93"/>
      <c r="R3" s="93"/>
      <c r="S3" s="93"/>
      <c r="T3" s="95"/>
      <c r="U3" s="96" t="s">
        <v>144</v>
      </c>
      <c r="V3" s="96"/>
      <c r="W3" s="96"/>
      <c r="X3" s="96"/>
      <c r="Y3" s="96"/>
      <c r="Z3" s="96"/>
      <c r="AA3" s="96"/>
      <c r="AB3" s="96"/>
      <c r="AC3" s="96"/>
      <c r="AF3" s="93" t="s">
        <v>143</v>
      </c>
      <c r="AG3" s="93"/>
      <c r="AH3" s="93"/>
      <c r="AI3" s="93"/>
      <c r="AJ3" s="93"/>
      <c r="AK3" s="93"/>
      <c r="AM3" s="93" t="s">
        <v>142</v>
      </c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87"/>
      <c r="BD3" s="98" t="s">
        <v>140</v>
      </c>
      <c r="BE3" s="98"/>
      <c r="BF3" s="98"/>
      <c r="BG3" s="88"/>
      <c r="BH3" s="96" t="s">
        <v>141</v>
      </c>
      <c r="BI3" s="96"/>
      <c r="BJ3" s="96"/>
      <c r="BK3" s="96"/>
      <c r="BL3" s="96"/>
      <c r="BM3" s="99">
        <v>-2.5000000000000001E-2</v>
      </c>
      <c r="BN3" s="87"/>
      <c r="BO3" s="95"/>
      <c r="BR3" s="82"/>
      <c r="BS3" s="87"/>
      <c r="BV3" s="351" t="s">
        <v>123</v>
      </c>
      <c r="BW3" s="351"/>
      <c r="BX3" s="351"/>
      <c r="BY3" s="351"/>
      <c r="BZ3" s="351"/>
      <c r="CA3" s="351"/>
      <c r="CB3" s="93"/>
      <c r="CC3" s="100"/>
      <c r="CD3" s="100"/>
      <c r="CE3" s="348" t="s">
        <v>166</v>
      </c>
      <c r="CF3" s="349"/>
      <c r="CG3" s="101"/>
      <c r="CH3" s="93"/>
      <c r="CI3" s="101"/>
      <c r="CJ3" s="101"/>
      <c r="CK3" s="341" t="s">
        <v>190</v>
      </c>
      <c r="CL3" s="341"/>
      <c r="CM3" s="341"/>
      <c r="CN3" s="341" t="s">
        <v>198</v>
      </c>
      <c r="CO3" s="341"/>
      <c r="CP3" s="341"/>
      <c r="CQ3" s="341"/>
      <c r="CR3" s="341"/>
    </row>
    <row r="4" spans="2:101" s="122" customFormat="1" ht="13.5" thickBot="1" x14ac:dyDescent="0.4">
      <c r="B4" s="115" t="s">
        <v>20</v>
      </c>
      <c r="C4" s="116" t="s">
        <v>19</v>
      </c>
      <c r="D4" s="115" t="s">
        <v>18</v>
      </c>
      <c r="E4" s="116" t="s">
        <v>171</v>
      </c>
      <c r="F4" s="116" t="s">
        <v>30</v>
      </c>
      <c r="G4" s="116" t="s">
        <v>21</v>
      </c>
      <c r="H4" s="117" t="s">
        <v>24</v>
      </c>
      <c r="I4" s="118" t="s">
        <v>25</v>
      </c>
      <c r="J4" s="116" t="s">
        <v>22</v>
      </c>
      <c r="K4" s="118" t="s">
        <v>23</v>
      </c>
      <c r="L4" s="116" t="s">
        <v>32</v>
      </c>
      <c r="M4" s="116" t="s">
        <v>34</v>
      </c>
      <c r="N4" s="117" t="s">
        <v>38</v>
      </c>
      <c r="O4" s="116" t="s">
        <v>40</v>
      </c>
      <c r="P4" s="117" t="s">
        <v>41</v>
      </c>
      <c r="Q4" s="116" t="s">
        <v>42</v>
      </c>
      <c r="R4" s="117" t="s">
        <v>111</v>
      </c>
      <c r="S4" s="116" t="s">
        <v>112</v>
      </c>
      <c r="T4" s="117" t="s">
        <v>105</v>
      </c>
      <c r="U4" s="116" t="s">
        <v>33</v>
      </c>
      <c r="V4" s="117" t="s">
        <v>35</v>
      </c>
      <c r="W4" s="116" t="s">
        <v>36</v>
      </c>
      <c r="X4" s="117" t="s">
        <v>37</v>
      </c>
      <c r="Y4" s="116" t="s">
        <v>43</v>
      </c>
      <c r="Z4" s="116" t="s">
        <v>67</v>
      </c>
      <c r="AA4" s="117" t="s">
        <v>44</v>
      </c>
      <c r="AB4" s="116" t="s">
        <v>45</v>
      </c>
      <c r="AC4" s="116" t="s">
        <v>218</v>
      </c>
      <c r="AD4" s="117" t="s">
        <v>46</v>
      </c>
      <c r="AE4" s="117" t="s">
        <v>113</v>
      </c>
      <c r="AF4" s="116" t="s">
        <v>26</v>
      </c>
      <c r="AG4" s="117" t="s">
        <v>27</v>
      </c>
      <c r="AH4" s="116" t="s">
        <v>28</v>
      </c>
      <c r="AI4" s="117" t="s">
        <v>29</v>
      </c>
      <c r="AJ4" s="116" t="s">
        <v>47</v>
      </c>
      <c r="AK4" s="116" t="s">
        <v>192</v>
      </c>
      <c r="AL4" s="116" t="s">
        <v>194</v>
      </c>
      <c r="AM4" s="116" t="s">
        <v>48</v>
      </c>
      <c r="AN4" s="117" t="s">
        <v>50</v>
      </c>
      <c r="AO4" s="116" t="s">
        <v>49</v>
      </c>
      <c r="AP4" s="117" t="s">
        <v>180</v>
      </c>
      <c r="AQ4" s="117" t="s">
        <v>51</v>
      </c>
      <c r="AR4" s="116" t="s">
        <v>146</v>
      </c>
      <c r="AS4" s="116" t="s">
        <v>31</v>
      </c>
      <c r="AT4" s="116" t="s">
        <v>52</v>
      </c>
      <c r="AU4" s="117" t="s">
        <v>53</v>
      </c>
      <c r="AV4" s="117" t="s">
        <v>290</v>
      </c>
      <c r="AW4" s="116" t="s">
        <v>54</v>
      </c>
      <c r="AX4" s="117" t="s">
        <v>55</v>
      </c>
      <c r="AY4" s="116" t="s">
        <v>56</v>
      </c>
      <c r="AZ4" s="117" t="s">
        <v>57</v>
      </c>
      <c r="BA4" s="116" t="s">
        <v>111</v>
      </c>
      <c r="BB4" s="117" t="s">
        <v>112</v>
      </c>
      <c r="BC4" s="116" t="s">
        <v>113</v>
      </c>
      <c r="BD4" s="117" t="s">
        <v>114</v>
      </c>
      <c r="BE4" s="116" t="s">
        <v>135</v>
      </c>
      <c r="BF4" s="117" t="s">
        <v>136</v>
      </c>
      <c r="BG4" s="116" t="s">
        <v>56</v>
      </c>
      <c r="BH4" s="116" t="s">
        <v>126</v>
      </c>
      <c r="BI4" s="116" t="s">
        <v>127</v>
      </c>
      <c r="BJ4" s="116" t="s">
        <v>128</v>
      </c>
      <c r="BK4" s="116" t="s">
        <v>129</v>
      </c>
      <c r="BL4" s="116" t="s">
        <v>131</v>
      </c>
      <c r="BM4" s="116" t="s">
        <v>191</v>
      </c>
      <c r="BN4" s="116" t="s">
        <v>193</v>
      </c>
      <c r="BO4" s="117" t="s">
        <v>58</v>
      </c>
      <c r="BP4" s="116" t="s">
        <v>59</v>
      </c>
      <c r="BQ4" s="116" t="s">
        <v>68</v>
      </c>
      <c r="BR4" s="117" t="s">
        <v>61</v>
      </c>
      <c r="BS4" s="116" t="s">
        <v>186</v>
      </c>
      <c r="BT4" s="119" t="s">
        <v>130</v>
      </c>
      <c r="BU4" s="116" t="s">
        <v>103</v>
      </c>
      <c r="BV4" s="116" t="s">
        <v>104</v>
      </c>
      <c r="BW4" s="116" t="s">
        <v>184</v>
      </c>
      <c r="BX4" s="116" t="s">
        <v>185</v>
      </c>
      <c r="BY4" s="116" t="s">
        <v>60</v>
      </c>
      <c r="BZ4" s="116" t="s">
        <v>124</v>
      </c>
      <c r="CA4" s="116" t="s">
        <v>125</v>
      </c>
      <c r="CB4" s="116" t="s">
        <v>60</v>
      </c>
      <c r="CC4" s="116" t="s">
        <v>39</v>
      </c>
      <c r="CD4" s="116" t="s">
        <v>159</v>
      </c>
      <c r="CE4" s="116" t="s">
        <v>19</v>
      </c>
      <c r="CF4" s="116" t="s">
        <v>165</v>
      </c>
      <c r="CG4" s="116" t="s">
        <v>150</v>
      </c>
      <c r="CH4" s="116" t="s">
        <v>176</v>
      </c>
      <c r="CI4" s="116" t="s">
        <v>158</v>
      </c>
      <c r="CJ4" s="116" t="s">
        <v>177</v>
      </c>
      <c r="CK4" s="120" t="s">
        <v>178</v>
      </c>
      <c r="CL4" s="121" t="s">
        <v>187</v>
      </c>
      <c r="CM4" s="120" t="s">
        <v>188</v>
      </c>
      <c r="CN4" s="120" t="s">
        <v>189</v>
      </c>
      <c r="CO4" s="120" t="s">
        <v>195</v>
      </c>
      <c r="CP4" s="120" t="s">
        <v>2</v>
      </c>
      <c r="CQ4" s="120" t="s">
        <v>196</v>
      </c>
      <c r="CR4" s="120" t="s">
        <v>197</v>
      </c>
      <c r="CS4" s="120" t="s">
        <v>59</v>
      </c>
      <c r="CT4" s="120" t="s">
        <v>212</v>
      </c>
      <c r="CU4" s="120" t="s">
        <v>213</v>
      </c>
      <c r="CV4" s="120" t="s">
        <v>168</v>
      </c>
      <c r="CW4" s="120" t="s">
        <v>169</v>
      </c>
    </row>
    <row r="5" spans="2:101" s="151" customFormat="1" ht="11.9" customHeight="1" x14ac:dyDescent="0.3">
      <c r="B5" s="123" t="str">
        <f t="shared" ref="B5" si="0">"Q" &amp; IF(ROUNDUP(MONTH(D5)/3,0)-1=0,4,ROUNDUP(MONTH(D5)/3,0)-1)</f>
        <v>Q1</v>
      </c>
      <c r="C5" s="124" t="str">
        <f t="shared" ref="C5" si="1">TEXT(AN5,"mmm-yy")</f>
        <v>Apr-26</v>
      </c>
      <c r="D5" s="125">
        <v>46120</v>
      </c>
      <c r="E5" s="126" t="s">
        <v>278</v>
      </c>
      <c r="F5" s="126" t="s">
        <v>254</v>
      </c>
      <c r="G5" s="126" t="s">
        <v>279</v>
      </c>
      <c r="H5" s="127" t="s">
        <v>238</v>
      </c>
      <c r="I5" s="125">
        <v>46120</v>
      </c>
      <c r="J5" s="126" t="s">
        <v>280</v>
      </c>
      <c r="K5" s="125">
        <v>46120</v>
      </c>
      <c r="L5" s="126" t="s">
        <v>281</v>
      </c>
      <c r="M5" s="126" t="s">
        <v>282</v>
      </c>
      <c r="N5" s="127" t="s">
        <v>283</v>
      </c>
      <c r="O5" s="126">
        <v>19160</v>
      </c>
      <c r="P5" s="280">
        <v>11.5</v>
      </c>
      <c r="Q5" s="128">
        <f t="shared" ref="Q5" si="2">O5*P5</f>
        <v>220340</v>
      </c>
      <c r="R5" s="129">
        <v>0</v>
      </c>
      <c r="S5" s="128">
        <f t="shared" ref="S5" si="3">O5-R5</f>
        <v>19160</v>
      </c>
      <c r="T5" s="129">
        <v>0</v>
      </c>
      <c r="U5" s="130">
        <v>0</v>
      </c>
      <c r="V5" s="131">
        <v>0</v>
      </c>
      <c r="W5" s="130">
        <v>0</v>
      </c>
      <c r="X5" s="130">
        <v>0</v>
      </c>
      <c r="Y5" s="130">
        <v>0</v>
      </c>
      <c r="Z5" s="130">
        <v>0</v>
      </c>
      <c r="AA5" s="129">
        <v>0</v>
      </c>
      <c r="AB5" s="133">
        <f t="shared" ref="AB5" si="4">Y5+AA5+Z5</f>
        <v>0</v>
      </c>
      <c r="AC5" s="133">
        <v>0</v>
      </c>
      <c r="AD5" s="129">
        <v>0</v>
      </c>
      <c r="AE5" s="130">
        <v>0</v>
      </c>
      <c r="AF5" s="130" t="s">
        <v>319</v>
      </c>
      <c r="AG5" s="325">
        <v>46128</v>
      </c>
      <c r="AH5" s="130">
        <v>0</v>
      </c>
      <c r="AI5" s="131">
        <v>0</v>
      </c>
      <c r="AJ5" s="130">
        <v>0</v>
      </c>
      <c r="AK5" s="130">
        <v>-115</v>
      </c>
      <c r="AL5" s="130">
        <v>0</v>
      </c>
      <c r="AM5" s="134">
        <f t="shared" ref="AM5" si="5">Q5+AB5+AL5+AK5+AJ5+T5+AE5</f>
        <v>220225</v>
      </c>
      <c r="AN5" s="135">
        <v>46120</v>
      </c>
      <c r="AO5" s="136" t="s">
        <v>284</v>
      </c>
      <c r="AP5" s="137" t="s">
        <v>285</v>
      </c>
      <c r="AQ5" s="138" t="s">
        <v>239</v>
      </c>
      <c r="AR5" s="138" t="s">
        <v>221</v>
      </c>
      <c r="AS5" s="126" t="s">
        <v>286</v>
      </c>
      <c r="AT5" s="139" t="s">
        <v>287</v>
      </c>
      <c r="AU5" s="140" t="s">
        <v>288</v>
      </c>
      <c r="AV5" s="140"/>
      <c r="AW5" s="138">
        <v>19160</v>
      </c>
      <c r="AX5" s="326">
        <v>14</v>
      </c>
      <c r="AY5" s="138">
        <f t="shared" ref="AY5" si="6">AW5*AX5</f>
        <v>268240</v>
      </c>
      <c r="AZ5" s="141" t="b">
        <f t="shared" ref="AZ5" si="7">AW5=O5</f>
        <v>1</v>
      </c>
      <c r="BA5" s="128">
        <v>0</v>
      </c>
      <c r="BB5" s="142">
        <f t="shared" ref="BB5" si="8">AW5-BA5</f>
        <v>19160</v>
      </c>
      <c r="BC5" s="143">
        <v>0</v>
      </c>
      <c r="BD5" s="142" t="s">
        <v>115</v>
      </c>
      <c r="BE5" s="143">
        <v>0</v>
      </c>
      <c r="BF5" s="142">
        <v>0</v>
      </c>
      <c r="BG5" s="143">
        <v>0</v>
      </c>
      <c r="BH5" s="131" t="s">
        <v>320</v>
      </c>
      <c r="BI5" s="314">
        <v>46128</v>
      </c>
      <c r="BJ5" s="131">
        <v>0</v>
      </c>
      <c r="BK5" s="128">
        <v>0</v>
      </c>
      <c r="BL5" s="138">
        <v>0</v>
      </c>
      <c r="BM5" s="138">
        <v>-140</v>
      </c>
      <c r="BN5" s="144">
        <v>0</v>
      </c>
      <c r="BO5" s="129">
        <f t="shared" ref="BO5" si="9">AY5+BL5+BM5+BN5+BC5+BG5</f>
        <v>268100</v>
      </c>
      <c r="BP5" s="134">
        <f>BO5-AM5</f>
        <v>47875</v>
      </c>
      <c r="BQ5" s="143" t="str">
        <f t="shared" ref="BQ5" si="10">IF(BP5&gt;=0,"Positive Margin","Negative Margin")</f>
        <v>Positive Margin</v>
      </c>
      <c r="BR5" s="145" t="s">
        <v>383</v>
      </c>
      <c r="BS5" s="128">
        <f t="shared" ref="BS5" si="11">AY5-Y5-Q5-AA5-T5+BC5</f>
        <v>47900</v>
      </c>
      <c r="BT5" s="146" t="str">
        <f t="shared" ref="BT5" si="12">IF(BS5&lt;0, "Negative Margin at Inception", "Positive Margin at Inception")</f>
        <v>Positive Margin at Inception</v>
      </c>
      <c r="BU5" s="147">
        <f t="shared" ref="BU5" si="13">IFERROR(BP5/BO5,"0")</f>
        <v>0.17857142857142858</v>
      </c>
      <c r="BV5" s="146" t="str">
        <f t="shared" ref="BV5" si="14">IF(BU5&lt;1%,"Less Than 1%",IF(BU5&gt;2%,"More than 2%",IF(BU5&gt;=1%,"1% - 2%")))</f>
        <v>More than 2%</v>
      </c>
      <c r="BW5" s="128">
        <f t="shared" ref="BW5" si="15">BM5+BN5</f>
        <v>-140</v>
      </c>
      <c r="BX5" s="129">
        <f t="shared" ref="BX5" si="16">AL5+AK5</f>
        <v>-115</v>
      </c>
      <c r="BY5" s="128">
        <f t="shared" ref="BY5" si="17">BW5-BX5</f>
        <v>-25</v>
      </c>
      <c r="BZ5" s="148">
        <f t="shared" ref="BZ5" si="18">BM5</f>
        <v>-140</v>
      </c>
      <c r="CA5" s="148">
        <f t="shared" ref="CA5" si="19">AK5</f>
        <v>-115</v>
      </c>
      <c r="CB5" s="130">
        <f t="shared" ref="CB5" si="20">BZ5-CA5</f>
        <v>-25</v>
      </c>
      <c r="CC5" s="148" t="s">
        <v>222</v>
      </c>
      <c r="CD5" s="130">
        <v>0</v>
      </c>
      <c r="CE5" s="130" t="str">
        <f t="shared" ref="CE5" si="21">TEXT(AN5,"mmm-yy")</f>
        <v>Apr-26</v>
      </c>
      <c r="CF5" s="130">
        <f t="shared" ref="CF5" si="22">AM5-AL5-AA5</f>
        <v>220225</v>
      </c>
      <c r="CG5" s="130">
        <f t="shared" ref="CG5" si="23">BO5-BN5</f>
        <v>268100</v>
      </c>
      <c r="CH5" s="130">
        <f t="shared" ref="CH5" si="24">INT((D5- IF(MONTH(D5) &gt;= 4, DATE(YEAR(D5), 4, 1), DATE(YEAR(D5)-1, 4, 1))) / 7) + 1</f>
        <v>2</v>
      </c>
      <c r="CI5" s="149" t="s">
        <v>223</v>
      </c>
      <c r="CJ5" s="130" t="s">
        <v>223</v>
      </c>
      <c r="CK5" s="130">
        <v>0</v>
      </c>
      <c r="CL5" s="130">
        <f t="shared" ref="CL5" si="25">AY5-Q5</f>
        <v>47900</v>
      </c>
      <c r="CM5" s="130">
        <f t="shared" ref="CM5" si="26">CL5-Y5+Z5</f>
        <v>47900</v>
      </c>
      <c r="CN5" s="130">
        <f t="shared" ref="CN5" si="27">BO5-AM5</f>
        <v>47875</v>
      </c>
      <c r="CO5" s="130">
        <f t="shared" ref="CO5" si="28">AY5*118%</f>
        <v>316523.2</v>
      </c>
      <c r="CP5" s="130">
        <f t="shared" ref="CP5" si="29">-Q5*118%</f>
        <v>-260001.19999999998</v>
      </c>
      <c r="CQ5" s="130">
        <f t="shared" ref="CQ5" si="30">-BZ5*118%</f>
        <v>165.2</v>
      </c>
      <c r="CR5" s="130">
        <f t="shared" ref="CR5" si="31">-CA5*118%</f>
        <v>135.69999999999999</v>
      </c>
      <c r="CS5" s="130">
        <f t="shared" ref="CS5" si="32">SUM(CO5:CR5)</f>
        <v>56822.900000000023</v>
      </c>
      <c r="CT5" s="130" t="s">
        <v>214</v>
      </c>
      <c r="CU5" s="130" t="s">
        <v>214</v>
      </c>
      <c r="CV5" s="144" t="str">
        <f t="shared" ref="CV5" si="33">MID(G5,3,10)</f>
        <v>ANHPG0363J</v>
      </c>
      <c r="CW5" s="144" t="str">
        <f t="shared" ref="CW5" si="34">MID(AR5,3,10)</f>
        <v>AAACM4154G</v>
      </c>
    </row>
    <row r="6" spans="2:101" s="151" customFormat="1" ht="11.9" customHeight="1" x14ac:dyDescent="0.3">
      <c r="B6" s="123" t="str">
        <f t="shared" ref="B6" si="35">"Q" &amp; IF(ROUNDUP(MONTH(D6)/3,0)-1=0,4,ROUNDUP(MONTH(D6)/3,0)-1)</f>
        <v>Q1</v>
      </c>
      <c r="C6" s="124" t="str">
        <f t="shared" ref="C6" si="36">TEXT(AN6,"mmm-yy")</f>
        <v>May-26</v>
      </c>
      <c r="D6" s="125">
        <v>46151</v>
      </c>
      <c r="E6" s="126" t="s">
        <v>351</v>
      </c>
      <c r="F6" s="126" t="s">
        <v>254</v>
      </c>
      <c r="G6" s="126" t="s">
        <v>279</v>
      </c>
      <c r="H6" s="127" t="s">
        <v>352</v>
      </c>
      <c r="I6" s="125">
        <v>46151</v>
      </c>
      <c r="J6" s="126" t="s">
        <v>353</v>
      </c>
      <c r="K6" s="125">
        <v>46151</v>
      </c>
      <c r="L6" s="126" t="s">
        <v>281</v>
      </c>
      <c r="M6" s="126" t="s">
        <v>354</v>
      </c>
      <c r="N6" s="127" t="s">
        <v>283</v>
      </c>
      <c r="O6" s="126">
        <v>17950</v>
      </c>
      <c r="P6" s="280">
        <v>11.5</v>
      </c>
      <c r="Q6" s="128">
        <f t="shared" ref="Q6" si="37">O6*P6</f>
        <v>206425</v>
      </c>
      <c r="R6" s="129">
        <v>0</v>
      </c>
      <c r="S6" s="128">
        <f t="shared" ref="S6" si="38">O6-R6</f>
        <v>17950</v>
      </c>
      <c r="T6" s="129">
        <v>0</v>
      </c>
      <c r="U6" s="130">
        <v>0</v>
      </c>
      <c r="V6" s="131">
        <v>0</v>
      </c>
      <c r="W6" s="130">
        <v>0</v>
      </c>
      <c r="X6" s="130">
        <v>0</v>
      </c>
      <c r="Y6" s="130">
        <v>0</v>
      </c>
      <c r="Z6" s="130">
        <v>0</v>
      </c>
      <c r="AA6" s="129">
        <v>0</v>
      </c>
      <c r="AB6" s="133">
        <f t="shared" ref="AB6" si="39">Y6+AA6+Z6</f>
        <v>0</v>
      </c>
      <c r="AC6" s="133">
        <v>0</v>
      </c>
      <c r="AD6" s="129">
        <v>0</v>
      </c>
      <c r="AE6" s="130">
        <v>0</v>
      </c>
      <c r="AF6" s="130" t="s">
        <v>381</v>
      </c>
      <c r="AG6" s="325">
        <v>46168</v>
      </c>
      <c r="AH6" s="130">
        <v>0</v>
      </c>
      <c r="AI6" s="131">
        <v>0</v>
      </c>
      <c r="AJ6" s="130">
        <v>0</v>
      </c>
      <c r="AK6" s="130">
        <v>-460</v>
      </c>
      <c r="AL6" s="130">
        <v>0</v>
      </c>
      <c r="AM6" s="134">
        <f t="shared" ref="AM6" si="40">Q6+AB6+AL6+AK6+AJ6+T6+AE6</f>
        <v>205965</v>
      </c>
      <c r="AN6" s="135">
        <v>46151</v>
      </c>
      <c r="AO6" s="136" t="s">
        <v>355</v>
      </c>
      <c r="AP6" s="137" t="s">
        <v>285</v>
      </c>
      <c r="AQ6" s="138" t="s">
        <v>239</v>
      </c>
      <c r="AR6" s="138" t="s">
        <v>221</v>
      </c>
      <c r="AS6" s="126" t="s">
        <v>356</v>
      </c>
      <c r="AT6" s="139" t="s">
        <v>287</v>
      </c>
      <c r="AU6" s="140" t="s">
        <v>288</v>
      </c>
      <c r="AV6" s="140" t="s">
        <v>240</v>
      </c>
      <c r="AW6" s="138">
        <v>17950</v>
      </c>
      <c r="AX6" s="326">
        <v>14</v>
      </c>
      <c r="AY6" s="138">
        <f t="shared" ref="AY6" si="41">AW6*AX6</f>
        <v>251300</v>
      </c>
      <c r="AZ6" s="141" t="b">
        <f t="shared" ref="AZ6" si="42">AW6=O6</f>
        <v>1</v>
      </c>
      <c r="BA6" s="128">
        <v>0</v>
      </c>
      <c r="BB6" s="142">
        <f t="shared" ref="BB6" si="43">AW6-BA6</f>
        <v>17950</v>
      </c>
      <c r="BC6" s="143">
        <v>0</v>
      </c>
      <c r="BD6" s="142" t="s">
        <v>115</v>
      </c>
      <c r="BE6" s="143">
        <v>0</v>
      </c>
      <c r="BF6" s="142">
        <v>0</v>
      </c>
      <c r="BG6" s="143">
        <v>0</v>
      </c>
      <c r="BH6" s="131" t="s">
        <v>382</v>
      </c>
      <c r="BI6" s="314">
        <v>46168</v>
      </c>
      <c r="BJ6" s="131">
        <v>0</v>
      </c>
      <c r="BK6" s="128">
        <v>0</v>
      </c>
      <c r="BL6" s="138">
        <v>0</v>
      </c>
      <c r="BM6" s="138">
        <v>-560</v>
      </c>
      <c r="BN6" s="144">
        <v>0</v>
      </c>
      <c r="BO6" s="129">
        <f t="shared" ref="BO6" si="44">AY6+BL6+BM6+BN6+BC6+BG6</f>
        <v>250740</v>
      </c>
      <c r="BP6" s="134">
        <f>BO6-AM6</f>
        <v>44775</v>
      </c>
      <c r="BQ6" s="143" t="str">
        <f t="shared" ref="BQ6" si="45">IF(BP6&gt;=0,"Positive Margin","Negative Margin")</f>
        <v>Positive Margin</v>
      </c>
      <c r="BR6" s="145" t="s">
        <v>383</v>
      </c>
      <c r="BS6" s="128">
        <f t="shared" ref="BS6" si="46">AY6-Y6-Q6-AA6-T6+BC6</f>
        <v>44875</v>
      </c>
      <c r="BT6" s="146" t="str">
        <f t="shared" ref="BT6" si="47">IF(BS6&lt;0, "Negative Margin at Inception", "Positive Margin at Inception")</f>
        <v>Positive Margin at Inception</v>
      </c>
      <c r="BU6" s="147">
        <f t="shared" ref="BU6" si="48">IFERROR(BP6/BO6,"0")</f>
        <v>0.17857142857142858</v>
      </c>
      <c r="BV6" s="146" t="str">
        <f t="shared" ref="BV6" si="49">IF(BU6&lt;1%,"Less Than 1%",IF(BU6&gt;2%,"More than 2%",IF(BU6&gt;=1%,"1% - 2%")))</f>
        <v>More than 2%</v>
      </c>
      <c r="BW6" s="128">
        <f t="shared" ref="BW6" si="50">BM6+BN6</f>
        <v>-560</v>
      </c>
      <c r="BX6" s="129">
        <f t="shared" ref="BX6" si="51">AL6+AK6</f>
        <v>-460</v>
      </c>
      <c r="BY6" s="128">
        <f t="shared" ref="BY6" si="52">BW6-BX6</f>
        <v>-100</v>
      </c>
      <c r="BZ6" s="148">
        <f t="shared" ref="BZ6" si="53">BM6</f>
        <v>-560</v>
      </c>
      <c r="CA6" s="148">
        <f t="shared" ref="CA6" si="54">AK6</f>
        <v>-460</v>
      </c>
      <c r="CB6" s="130">
        <f t="shared" ref="CB6" si="55">BZ6-CA6</f>
        <v>-100</v>
      </c>
      <c r="CC6" s="148" t="s">
        <v>222</v>
      </c>
      <c r="CD6" s="130">
        <v>0</v>
      </c>
      <c r="CE6" s="130" t="str">
        <f t="shared" ref="CE6" si="56">TEXT(AN6,"mmm-yy")</f>
        <v>May-26</v>
      </c>
      <c r="CF6" s="130">
        <f t="shared" ref="CF6" si="57">AM6-AL6-AA6</f>
        <v>205965</v>
      </c>
      <c r="CG6" s="130">
        <f t="shared" ref="CG6" si="58">BO6-BN6</f>
        <v>250740</v>
      </c>
      <c r="CH6" s="130">
        <f t="shared" ref="CH6" si="59">INT((D6- IF(MONTH(D6) &gt;= 4, DATE(YEAR(D6), 4, 1), DATE(YEAR(D6)-1, 4, 1))) / 7) + 1</f>
        <v>6</v>
      </c>
      <c r="CI6" s="149" t="s">
        <v>223</v>
      </c>
      <c r="CJ6" s="130" t="s">
        <v>223</v>
      </c>
      <c r="CK6" s="130">
        <v>0</v>
      </c>
      <c r="CL6" s="130">
        <f t="shared" ref="CL6" si="60">AY6-Q6</f>
        <v>44875</v>
      </c>
      <c r="CM6" s="130">
        <f t="shared" ref="CM6" si="61">CL6-Y6+Z6</f>
        <v>44875</v>
      </c>
      <c r="CN6" s="130">
        <f t="shared" ref="CN6" si="62">BO6-AM6</f>
        <v>44775</v>
      </c>
      <c r="CO6" s="130">
        <f t="shared" ref="CO6" si="63">AY6*118%</f>
        <v>296534</v>
      </c>
      <c r="CP6" s="130">
        <f t="shared" ref="CP6" si="64">-Q6*118%</f>
        <v>-243581.5</v>
      </c>
      <c r="CQ6" s="130">
        <f t="shared" ref="CQ6" si="65">-BZ6*118%</f>
        <v>660.8</v>
      </c>
      <c r="CR6" s="130">
        <f t="shared" ref="CR6" si="66">-CA6*118%</f>
        <v>542.79999999999995</v>
      </c>
      <c r="CS6" s="130">
        <f t="shared" ref="CS6" si="67">SUM(CO6:CR6)</f>
        <v>54156.100000000006</v>
      </c>
      <c r="CT6" s="130" t="s">
        <v>214</v>
      </c>
      <c r="CU6" s="130" t="s">
        <v>214</v>
      </c>
      <c r="CV6" s="144" t="str">
        <f t="shared" ref="CV6" si="68">MID(G6,3,10)</f>
        <v>ANHPG0363J</v>
      </c>
      <c r="CW6" s="144" t="str">
        <f t="shared" ref="CW6" si="69">MID(AR6,3,10)</f>
        <v>AAACM4154G</v>
      </c>
    </row>
    <row r="7" spans="2:101" s="151" customFormat="1" ht="11.9" customHeight="1" x14ac:dyDescent="0.3">
      <c r="B7" s="123" t="str">
        <f t="shared" ref="B7" si="70">"Q" &amp; IF(ROUNDUP(MONTH(D7)/3,0)-1=0,4,ROUNDUP(MONTH(D7)/3,0)-1)</f>
        <v>Q1</v>
      </c>
      <c r="C7" s="124" t="str">
        <f t="shared" ref="C7" si="71">TEXT(AN7,"mmm-yy")</f>
        <v>May-26</v>
      </c>
      <c r="D7" s="125">
        <v>46155</v>
      </c>
      <c r="E7" s="126" t="s">
        <v>358</v>
      </c>
      <c r="F7" s="126" t="s">
        <v>254</v>
      </c>
      <c r="G7" s="126" t="s">
        <v>279</v>
      </c>
      <c r="H7" s="127" t="s">
        <v>359</v>
      </c>
      <c r="I7" s="125">
        <v>46155</v>
      </c>
      <c r="J7" s="126" t="s">
        <v>360</v>
      </c>
      <c r="K7" s="125">
        <v>46155</v>
      </c>
      <c r="L7" s="126" t="s">
        <v>281</v>
      </c>
      <c r="M7" s="126" t="s">
        <v>361</v>
      </c>
      <c r="N7" s="127" t="s">
        <v>283</v>
      </c>
      <c r="O7" s="126">
        <v>23980</v>
      </c>
      <c r="P7" s="280">
        <v>12</v>
      </c>
      <c r="Q7" s="128">
        <f t="shared" ref="Q7" si="72">O7*P7</f>
        <v>287760</v>
      </c>
      <c r="R7" s="129">
        <v>0</v>
      </c>
      <c r="S7" s="128">
        <f t="shared" ref="S7" si="73">O7-R7</f>
        <v>23980</v>
      </c>
      <c r="T7" s="129">
        <v>0</v>
      </c>
      <c r="U7" s="130">
        <v>0</v>
      </c>
      <c r="V7" s="131">
        <v>0</v>
      </c>
      <c r="W7" s="130">
        <v>0</v>
      </c>
      <c r="X7" s="130">
        <v>0</v>
      </c>
      <c r="Y7" s="130">
        <v>0</v>
      </c>
      <c r="Z7" s="130">
        <v>0</v>
      </c>
      <c r="AA7" s="129">
        <v>0</v>
      </c>
      <c r="AB7" s="133">
        <f t="shared" ref="AB7" si="74">Y7+AA7+Z7</f>
        <v>0</v>
      </c>
      <c r="AC7" s="133">
        <v>0</v>
      </c>
      <c r="AD7" s="129">
        <v>0</v>
      </c>
      <c r="AE7" s="130">
        <v>0</v>
      </c>
      <c r="AF7" s="130">
        <v>0</v>
      </c>
      <c r="AG7" s="336">
        <v>0</v>
      </c>
      <c r="AH7" s="130">
        <v>0</v>
      </c>
      <c r="AI7" s="131">
        <v>0</v>
      </c>
      <c r="AJ7" s="130">
        <v>0</v>
      </c>
      <c r="AK7" s="130">
        <v>0</v>
      </c>
      <c r="AL7" s="130">
        <v>0</v>
      </c>
      <c r="AM7" s="134">
        <f t="shared" ref="AM7" si="75">Q7+AB7+AL7+AK7+AJ7+T7+AE7</f>
        <v>287760</v>
      </c>
      <c r="AN7" s="135">
        <v>46155</v>
      </c>
      <c r="AO7" s="136" t="s">
        <v>362</v>
      </c>
      <c r="AP7" s="137" t="s">
        <v>285</v>
      </c>
      <c r="AQ7" s="138" t="s">
        <v>239</v>
      </c>
      <c r="AR7" s="138" t="s">
        <v>221</v>
      </c>
      <c r="AS7" s="126" t="s">
        <v>363</v>
      </c>
      <c r="AT7" s="139" t="s">
        <v>287</v>
      </c>
      <c r="AU7" s="140" t="s">
        <v>288</v>
      </c>
      <c r="AV7" s="140" t="s">
        <v>240</v>
      </c>
      <c r="AW7" s="138">
        <v>23980</v>
      </c>
      <c r="AX7" s="326">
        <v>12.66</v>
      </c>
      <c r="AY7" s="138">
        <f t="shared" ref="AY7" si="76">AW7*AX7</f>
        <v>303586.8</v>
      </c>
      <c r="AZ7" s="141" t="b">
        <f t="shared" ref="AZ7" si="77">AW7=O7</f>
        <v>1</v>
      </c>
      <c r="BA7" s="128">
        <v>0</v>
      </c>
      <c r="BB7" s="142">
        <f t="shared" ref="BB7" si="78">AW7-BA7</f>
        <v>23980</v>
      </c>
      <c r="BC7" s="143">
        <v>0</v>
      </c>
      <c r="BD7" s="142" t="s">
        <v>115</v>
      </c>
      <c r="BE7" s="143">
        <v>0</v>
      </c>
      <c r="BF7" s="142">
        <v>0</v>
      </c>
      <c r="BG7" s="143">
        <v>0</v>
      </c>
      <c r="BH7" s="131">
        <v>0</v>
      </c>
      <c r="BI7" s="337">
        <v>0</v>
      </c>
      <c r="BJ7" s="131">
        <v>0</v>
      </c>
      <c r="BK7" s="128">
        <v>0</v>
      </c>
      <c r="BL7" s="138">
        <v>0</v>
      </c>
      <c r="BM7" s="138">
        <v>0</v>
      </c>
      <c r="BN7" s="144">
        <v>0</v>
      </c>
      <c r="BO7" s="129">
        <f t="shared" ref="BO7" si="79">AY7+BL7+BM7+BN7+BC7+BG7</f>
        <v>303586.8</v>
      </c>
      <c r="BP7" s="134">
        <f>BO7-AM7</f>
        <v>15826.799999999988</v>
      </c>
      <c r="BQ7" s="143" t="str">
        <f t="shared" ref="BQ7" si="80">IF(BP7&gt;=0,"Positive Margin","Negative Margin")</f>
        <v>Positive Margin</v>
      </c>
      <c r="BR7" s="145" t="s">
        <v>457</v>
      </c>
      <c r="BS7" s="128">
        <f t="shared" ref="BS7" si="81">AY7-Y7-Q7-AA7-T7+BC7</f>
        <v>15826.799999999988</v>
      </c>
      <c r="BT7" s="146" t="str">
        <f t="shared" ref="BT7" si="82">IF(BS7&lt;0, "Negative Margin at Inception", "Positive Margin at Inception")</f>
        <v>Positive Margin at Inception</v>
      </c>
      <c r="BU7" s="147">
        <f t="shared" ref="BU7" si="83">IFERROR(BP7/BO7,"0")</f>
        <v>5.213270142180091E-2</v>
      </c>
      <c r="BV7" s="146" t="str">
        <f t="shared" ref="BV7" si="84">IF(BU7&lt;1%,"Less Than 1%",IF(BU7&gt;2%,"More than 2%",IF(BU7&gt;=1%,"1% - 2%")))</f>
        <v>More than 2%</v>
      </c>
      <c r="BW7" s="128">
        <f t="shared" ref="BW7" si="85">BM7+BN7</f>
        <v>0</v>
      </c>
      <c r="BX7" s="129">
        <f t="shared" ref="BX7" si="86">AL7+AK7</f>
        <v>0</v>
      </c>
      <c r="BY7" s="128">
        <f t="shared" ref="BY7" si="87">BW7-BX7</f>
        <v>0</v>
      </c>
      <c r="BZ7" s="148">
        <f t="shared" ref="BZ7" si="88">BM7</f>
        <v>0</v>
      </c>
      <c r="CA7" s="148">
        <f t="shared" ref="CA7" si="89">AK7</f>
        <v>0</v>
      </c>
      <c r="CB7" s="130">
        <f t="shared" ref="CB7" si="90">BZ7-CA7</f>
        <v>0</v>
      </c>
      <c r="CC7" s="148" t="s">
        <v>222</v>
      </c>
      <c r="CD7" s="130">
        <v>0</v>
      </c>
      <c r="CE7" s="130" t="str">
        <f t="shared" ref="CE7" si="91">TEXT(AN7,"mmm-yy")</f>
        <v>May-26</v>
      </c>
      <c r="CF7" s="130">
        <f t="shared" ref="CF7" si="92">AM7-AL7-AA7</f>
        <v>287760</v>
      </c>
      <c r="CG7" s="130">
        <f t="shared" ref="CG7" si="93">BO7-BN7</f>
        <v>303586.8</v>
      </c>
      <c r="CH7" s="130">
        <f t="shared" ref="CH7" si="94">INT((D7- IF(MONTH(D7) &gt;= 4, DATE(YEAR(D7), 4, 1), DATE(YEAR(D7)-1, 4, 1))) / 7) + 1</f>
        <v>7</v>
      </c>
      <c r="CI7" s="149" t="s">
        <v>223</v>
      </c>
      <c r="CJ7" s="130" t="s">
        <v>223</v>
      </c>
      <c r="CK7" s="130">
        <v>0</v>
      </c>
      <c r="CL7" s="130">
        <f t="shared" ref="CL7" si="95">AY7-Q7</f>
        <v>15826.799999999988</v>
      </c>
      <c r="CM7" s="130">
        <f t="shared" ref="CM7" si="96">CL7-Y7+Z7</f>
        <v>15826.799999999988</v>
      </c>
      <c r="CN7" s="130">
        <f t="shared" ref="CN7" si="97">BO7-AM7</f>
        <v>15826.799999999988</v>
      </c>
      <c r="CO7" s="130">
        <f t="shared" ref="CO7" si="98">AY7*118%</f>
        <v>358232.42399999994</v>
      </c>
      <c r="CP7" s="130">
        <f t="shared" ref="CP7" si="99">-Q7*118%</f>
        <v>-339556.8</v>
      </c>
      <c r="CQ7" s="130">
        <f t="shared" ref="CQ7" si="100">-BZ7*118%</f>
        <v>0</v>
      </c>
      <c r="CR7" s="130">
        <f t="shared" ref="CR7" si="101">-CA7*118%</f>
        <v>0</v>
      </c>
      <c r="CS7" s="130">
        <f t="shared" ref="CS7" si="102">SUM(CO7:CR7)</f>
        <v>18675.623999999953</v>
      </c>
      <c r="CT7" s="130" t="s">
        <v>214</v>
      </c>
      <c r="CU7" s="130" t="s">
        <v>214</v>
      </c>
      <c r="CV7" s="144" t="str">
        <f t="shared" ref="CV7" si="103">MID(G7,3,10)</f>
        <v>ANHPG0363J</v>
      </c>
      <c r="CW7" s="144" t="str">
        <f t="shared" ref="CW7" si="104">MID(AR7,3,10)</f>
        <v>AAACM4154G</v>
      </c>
    </row>
    <row r="8" spans="2:101" s="151" customFormat="1" ht="11.9" customHeight="1" x14ac:dyDescent="0.3">
      <c r="B8" s="123" t="str">
        <f t="shared" ref="B8" si="105">"Q" &amp; IF(ROUNDUP(MONTH(D8)/3,0)-1=0,4,ROUNDUP(MONTH(D8)/3,0)-1)</f>
        <v>Q1</v>
      </c>
      <c r="C8" s="124" t="str">
        <f t="shared" ref="C8" si="106">TEXT(AN8,"mmm-yy")</f>
        <v>May-26</v>
      </c>
      <c r="D8" s="125">
        <v>46168</v>
      </c>
      <c r="E8" s="126" t="s">
        <v>376</v>
      </c>
      <c r="F8" s="126" t="s">
        <v>254</v>
      </c>
      <c r="G8" s="126" t="s">
        <v>279</v>
      </c>
      <c r="H8" s="127" t="s">
        <v>377</v>
      </c>
      <c r="I8" s="125">
        <v>46168</v>
      </c>
      <c r="J8" s="126" t="s">
        <v>378</v>
      </c>
      <c r="K8" s="125">
        <v>46168</v>
      </c>
      <c r="L8" s="126" t="s">
        <v>281</v>
      </c>
      <c r="M8" s="126" t="s">
        <v>379</v>
      </c>
      <c r="N8" s="127" t="s">
        <v>283</v>
      </c>
      <c r="O8" s="126">
        <v>13870</v>
      </c>
      <c r="P8" s="280">
        <v>12</v>
      </c>
      <c r="Q8" s="128">
        <f t="shared" ref="Q8" si="107">O8*P8</f>
        <v>166440</v>
      </c>
      <c r="R8" s="129">
        <v>0</v>
      </c>
      <c r="S8" s="128">
        <f t="shared" ref="S8" si="108">O8-R8</f>
        <v>13870</v>
      </c>
      <c r="T8" s="129">
        <v>0</v>
      </c>
      <c r="U8" s="130">
        <v>0</v>
      </c>
      <c r="V8" s="131">
        <v>0</v>
      </c>
      <c r="W8" s="130">
        <v>0</v>
      </c>
      <c r="X8" s="130">
        <v>0</v>
      </c>
      <c r="Y8" s="130">
        <v>0</v>
      </c>
      <c r="Z8" s="130">
        <v>0</v>
      </c>
      <c r="AA8" s="129">
        <v>0</v>
      </c>
      <c r="AB8" s="133">
        <f t="shared" ref="AB8" si="109">Y8+AA8+Z8</f>
        <v>0</v>
      </c>
      <c r="AC8" s="133">
        <v>0</v>
      </c>
      <c r="AD8" s="129">
        <v>0</v>
      </c>
      <c r="AE8" s="130">
        <v>0</v>
      </c>
      <c r="AF8" s="130">
        <v>0</v>
      </c>
      <c r="AG8" s="336">
        <v>0</v>
      </c>
      <c r="AH8" s="130">
        <v>0</v>
      </c>
      <c r="AI8" s="131">
        <v>0</v>
      </c>
      <c r="AJ8" s="130">
        <v>0</v>
      </c>
      <c r="AK8" s="130">
        <v>0</v>
      </c>
      <c r="AL8" s="130">
        <v>0</v>
      </c>
      <c r="AM8" s="134">
        <f t="shared" ref="AM8" si="110">Q8+AB8+AL8+AK8+AJ8+T8+AE8</f>
        <v>166440</v>
      </c>
      <c r="AN8" s="135">
        <v>46168</v>
      </c>
      <c r="AO8" s="136" t="s">
        <v>380</v>
      </c>
      <c r="AP8" s="137" t="s">
        <v>285</v>
      </c>
      <c r="AQ8" s="138" t="s">
        <v>239</v>
      </c>
      <c r="AR8" s="138" t="s">
        <v>221</v>
      </c>
      <c r="AS8" s="126" t="s">
        <v>356</v>
      </c>
      <c r="AT8" s="139" t="s">
        <v>287</v>
      </c>
      <c r="AU8" s="140" t="s">
        <v>288</v>
      </c>
      <c r="AV8" s="140" t="s">
        <v>240</v>
      </c>
      <c r="AW8" s="138">
        <v>13870</v>
      </c>
      <c r="AX8" s="326">
        <v>12.66</v>
      </c>
      <c r="AY8" s="138">
        <f t="shared" ref="AY8" si="111">AW8*AX8</f>
        <v>175594.2</v>
      </c>
      <c r="AZ8" s="141" t="b">
        <f t="shared" ref="AZ8" si="112">AW8=O8</f>
        <v>1</v>
      </c>
      <c r="BA8" s="128">
        <v>0</v>
      </c>
      <c r="BB8" s="142">
        <f t="shared" ref="BB8" si="113">AW8-BA8</f>
        <v>13870</v>
      </c>
      <c r="BC8" s="143">
        <v>0</v>
      </c>
      <c r="BD8" s="142" t="s">
        <v>115</v>
      </c>
      <c r="BE8" s="143">
        <v>0</v>
      </c>
      <c r="BF8" s="142">
        <v>0</v>
      </c>
      <c r="BG8" s="143">
        <v>0</v>
      </c>
      <c r="BH8" s="131">
        <v>0</v>
      </c>
      <c r="BI8" s="337">
        <v>0</v>
      </c>
      <c r="BJ8" s="131">
        <v>0</v>
      </c>
      <c r="BK8" s="128">
        <v>0</v>
      </c>
      <c r="BL8" s="138">
        <v>0</v>
      </c>
      <c r="BM8" s="138">
        <v>0</v>
      </c>
      <c r="BN8" s="144">
        <v>0</v>
      </c>
      <c r="BO8" s="129">
        <f t="shared" ref="BO8" si="114">AY8+BL8+BM8+BN8+BC8+BG8</f>
        <v>175594.2</v>
      </c>
      <c r="BP8" s="134">
        <f>BO8-AM8</f>
        <v>9154.2000000000116</v>
      </c>
      <c r="BQ8" s="143" t="str">
        <f t="shared" ref="BQ8" si="115">IF(BP8&gt;=0,"Positive Margin","Negative Margin")</f>
        <v>Positive Margin</v>
      </c>
      <c r="BR8" s="145" t="s">
        <v>457</v>
      </c>
      <c r="BS8" s="128">
        <f t="shared" ref="BS8" si="116">AY8-Y8-Q8-AA8-T8+BC8</f>
        <v>9154.2000000000116</v>
      </c>
      <c r="BT8" s="146" t="str">
        <f t="shared" ref="BT8" si="117">IF(BS8&lt;0, "Negative Margin at Inception", "Positive Margin at Inception")</f>
        <v>Positive Margin at Inception</v>
      </c>
      <c r="BU8" s="147">
        <f t="shared" ref="BU8" si="118">IFERROR(BP8/BO8,"0")</f>
        <v>5.2132701421801007E-2</v>
      </c>
      <c r="BV8" s="146" t="str">
        <f t="shared" ref="BV8" si="119">IF(BU8&lt;1%,"Less Than 1%",IF(BU8&gt;2%,"More than 2%",IF(BU8&gt;=1%,"1% - 2%")))</f>
        <v>More than 2%</v>
      </c>
      <c r="BW8" s="128">
        <f t="shared" ref="BW8" si="120">BM8+BN8</f>
        <v>0</v>
      </c>
      <c r="BX8" s="129">
        <f t="shared" ref="BX8" si="121">AL8+AK8</f>
        <v>0</v>
      </c>
      <c r="BY8" s="128">
        <f t="shared" ref="BY8" si="122">BW8-BX8</f>
        <v>0</v>
      </c>
      <c r="BZ8" s="148">
        <f t="shared" ref="BZ8" si="123">BM8</f>
        <v>0</v>
      </c>
      <c r="CA8" s="148">
        <f t="shared" ref="CA8" si="124">AK8</f>
        <v>0</v>
      </c>
      <c r="CB8" s="130">
        <f t="shared" ref="CB8" si="125">BZ8-CA8</f>
        <v>0</v>
      </c>
      <c r="CC8" s="148" t="s">
        <v>222</v>
      </c>
      <c r="CD8" s="130">
        <v>0</v>
      </c>
      <c r="CE8" s="130" t="str">
        <f t="shared" ref="CE8" si="126">TEXT(AN8,"mmm-yy")</f>
        <v>May-26</v>
      </c>
      <c r="CF8" s="130">
        <f t="shared" ref="CF8" si="127">AM8-AL8-AA8</f>
        <v>166440</v>
      </c>
      <c r="CG8" s="130">
        <f t="shared" ref="CG8" si="128">BO8-BN8</f>
        <v>175594.2</v>
      </c>
      <c r="CH8" s="130">
        <f t="shared" ref="CH8" si="129">INT((D8- IF(MONTH(D8) &gt;= 4, DATE(YEAR(D8), 4, 1), DATE(YEAR(D8)-1, 4, 1))) / 7) + 1</f>
        <v>8</v>
      </c>
      <c r="CI8" s="149" t="s">
        <v>223</v>
      </c>
      <c r="CJ8" s="130" t="s">
        <v>223</v>
      </c>
      <c r="CK8" s="130">
        <v>0</v>
      </c>
      <c r="CL8" s="130">
        <f t="shared" ref="CL8" si="130">AY8-Q8</f>
        <v>9154.2000000000116</v>
      </c>
      <c r="CM8" s="130">
        <f t="shared" ref="CM8" si="131">CL8-Y8+Z8</f>
        <v>9154.2000000000116</v>
      </c>
      <c r="CN8" s="130">
        <f t="shared" ref="CN8" si="132">BO8-AM8</f>
        <v>9154.2000000000116</v>
      </c>
      <c r="CO8" s="130">
        <f t="shared" ref="CO8" si="133">AY8*118%</f>
        <v>207201.15600000002</v>
      </c>
      <c r="CP8" s="130">
        <f t="shared" ref="CP8" si="134">-Q8*118%</f>
        <v>-196399.19999999998</v>
      </c>
      <c r="CQ8" s="130">
        <f t="shared" ref="CQ8" si="135">-BZ8*118%</f>
        <v>0</v>
      </c>
      <c r="CR8" s="130">
        <f t="shared" ref="CR8" si="136">-CA8*118%</f>
        <v>0</v>
      </c>
      <c r="CS8" s="130">
        <f t="shared" ref="CS8" si="137">SUM(CO8:CR8)</f>
        <v>10801.956000000035</v>
      </c>
      <c r="CT8" s="130" t="s">
        <v>214</v>
      </c>
      <c r="CU8" s="130" t="s">
        <v>214</v>
      </c>
      <c r="CV8" s="144" t="str">
        <f t="shared" ref="CV8" si="138">MID(G8,3,10)</f>
        <v>ANHPG0363J</v>
      </c>
      <c r="CW8" s="144" t="str">
        <f t="shared" ref="CW8" si="139">MID(AR8,3,10)</f>
        <v>AAACM4154G</v>
      </c>
    </row>
    <row r="9" spans="2:101" s="151" customFormat="1" ht="11.9" customHeight="1" x14ac:dyDescent="0.3">
      <c r="B9" s="123" t="str">
        <f t="shared" ref="B9:B13" si="140">"Q" &amp; IF(ROUNDUP(MONTH(D9)/3,0)-1=0,4,ROUNDUP(MONTH(D9)/3,0)-1)</f>
        <v>Q1</v>
      </c>
      <c r="C9" s="124" t="str">
        <f t="shared" ref="C9:C13" si="141">TEXT(AN9,"mmm-yy")</f>
        <v>Jun-26</v>
      </c>
      <c r="D9" s="125">
        <v>46174</v>
      </c>
      <c r="E9" s="126" t="s">
        <v>388</v>
      </c>
      <c r="F9" s="126" t="s">
        <v>253</v>
      </c>
      <c r="G9" s="126" t="s">
        <v>348</v>
      </c>
      <c r="H9" s="127" t="s">
        <v>389</v>
      </c>
      <c r="I9" s="125">
        <v>46174</v>
      </c>
      <c r="J9" s="126" t="s">
        <v>390</v>
      </c>
      <c r="K9" s="125">
        <v>46174</v>
      </c>
      <c r="L9" s="126" t="s">
        <v>281</v>
      </c>
      <c r="M9" s="126" t="s">
        <v>391</v>
      </c>
      <c r="N9" s="127" t="s">
        <v>392</v>
      </c>
      <c r="O9" s="126">
        <v>11960</v>
      </c>
      <c r="P9" s="280">
        <v>3.4</v>
      </c>
      <c r="Q9" s="128">
        <f t="shared" ref="Q9:Q13" si="142">O9*P9</f>
        <v>40664</v>
      </c>
      <c r="R9" s="129">
        <v>0</v>
      </c>
      <c r="S9" s="128">
        <f t="shared" ref="S9:S13" si="143">O9-R9</f>
        <v>11960</v>
      </c>
      <c r="T9" s="129">
        <v>0</v>
      </c>
      <c r="U9" s="130">
        <v>0</v>
      </c>
      <c r="V9" s="131">
        <v>0</v>
      </c>
      <c r="W9" s="130">
        <v>0</v>
      </c>
      <c r="X9" s="130">
        <v>0</v>
      </c>
      <c r="Y9" s="130">
        <v>0</v>
      </c>
      <c r="Z9" s="130">
        <v>0</v>
      </c>
      <c r="AA9" s="129">
        <v>0</v>
      </c>
      <c r="AB9" s="133">
        <f t="shared" ref="AB9:AB13" si="144">Y9+AA9+Z9</f>
        <v>0</v>
      </c>
      <c r="AC9" s="133">
        <v>0</v>
      </c>
      <c r="AD9" s="129">
        <v>0</v>
      </c>
      <c r="AE9" s="130">
        <v>0</v>
      </c>
      <c r="AF9" s="130">
        <v>0</v>
      </c>
      <c r="AG9" s="336">
        <v>0</v>
      </c>
      <c r="AH9" s="130">
        <v>0</v>
      </c>
      <c r="AI9" s="131">
        <v>0</v>
      </c>
      <c r="AJ9" s="130">
        <v>0</v>
      </c>
      <c r="AK9" s="130">
        <v>0</v>
      </c>
      <c r="AL9" s="130">
        <v>0</v>
      </c>
      <c r="AM9" s="134">
        <f t="shared" ref="AM9:AM13" si="145">Q9+AB9+AL9+AK9+AJ9+T9+AE9</f>
        <v>40664</v>
      </c>
      <c r="AN9" s="135">
        <v>46174</v>
      </c>
      <c r="AO9" s="136" t="s">
        <v>409</v>
      </c>
      <c r="AP9" s="137" t="s">
        <v>410</v>
      </c>
      <c r="AQ9" s="138" t="s">
        <v>411</v>
      </c>
      <c r="AR9" s="138" t="s">
        <v>412</v>
      </c>
      <c r="AS9" s="126" t="s">
        <v>413</v>
      </c>
      <c r="AT9" s="139" t="s">
        <v>414</v>
      </c>
      <c r="AU9" s="140" t="s">
        <v>415</v>
      </c>
      <c r="AV9" s="140" t="s">
        <v>240</v>
      </c>
      <c r="AW9" s="138">
        <v>11960</v>
      </c>
      <c r="AX9" s="326">
        <v>3.7</v>
      </c>
      <c r="AY9" s="138">
        <f t="shared" ref="AY9:AY13" si="146">AW9*AX9</f>
        <v>44252</v>
      </c>
      <c r="AZ9" s="141" t="b">
        <f t="shared" ref="AZ9:AZ13" si="147">AW9=O9</f>
        <v>1</v>
      </c>
      <c r="BA9" s="128">
        <v>0</v>
      </c>
      <c r="BB9" s="142">
        <f t="shared" ref="BB9:BB13" si="148">AW9-BA9</f>
        <v>11960</v>
      </c>
      <c r="BC9" s="143">
        <v>0</v>
      </c>
      <c r="BD9" s="142" t="s">
        <v>115</v>
      </c>
      <c r="BE9" s="143">
        <v>0</v>
      </c>
      <c r="BF9" s="142">
        <v>0</v>
      </c>
      <c r="BG9" s="143">
        <v>0</v>
      </c>
      <c r="BH9" s="131">
        <v>0</v>
      </c>
      <c r="BI9" s="337">
        <v>0</v>
      </c>
      <c r="BJ9" s="131">
        <v>0</v>
      </c>
      <c r="BK9" s="128">
        <v>0</v>
      </c>
      <c r="BL9" s="138">
        <v>0</v>
      </c>
      <c r="BM9" s="138">
        <v>0</v>
      </c>
      <c r="BN9" s="144">
        <v>0</v>
      </c>
      <c r="BO9" s="129">
        <f t="shared" ref="BO9:BO13" si="149">AY9+BL9+BM9+BN9+BC9+BG9</f>
        <v>44252</v>
      </c>
      <c r="BP9" s="134">
        <f t="shared" ref="BP9:BP13" si="150">BO9-AM9</f>
        <v>3588</v>
      </c>
      <c r="BQ9" s="143" t="str">
        <f t="shared" ref="BQ9:BQ13" si="151">IF(BP9&gt;=0,"Positive Margin","Negative Margin")</f>
        <v>Positive Margin</v>
      </c>
      <c r="BR9" s="145" t="s">
        <v>289</v>
      </c>
      <c r="BS9" s="128">
        <f t="shared" ref="BS9:BS13" si="152">AY9-Y9-Q9-AA9-T9+BC9</f>
        <v>3588</v>
      </c>
      <c r="BT9" s="146" t="str">
        <f t="shared" ref="BT9:BT13" si="153">IF(BS9&lt;0, "Negative Margin at Inception", "Positive Margin at Inception")</f>
        <v>Positive Margin at Inception</v>
      </c>
      <c r="BU9" s="147">
        <f t="shared" ref="BU9:BU13" si="154">IFERROR(BP9/BO9,"0")</f>
        <v>8.1081081081081086E-2</v>
      </c>
      <c r="BV9" s="146" t="str">
        <f t="shared" ref="BV9:BV13" si="155">IF(BU9&lt;1%,"Less Than 1%",IF(BU9&gt;2%,"More than 2%",IF(BU9&gt;=1%,"1% - 2%")))</f>
        <v>More than 2%</v>
      </c>
      <c r="BW9" s="128">
        <f t="shared" ref="BW9:BW13" si="156">BM9+BN9</f>
        <v>0</v>
      </c>
      <c r="BX9" s="129">
        <f t="shared" ref="BX9:BX13" si="157">AL9+AK9</f>
        <v>0</v>
      </c>
      <c r="BY9" s="128">
        <f t="shared" ref="BY9:BY13" si="158">BW9-BX9</f>
        <v>0</v>
      </c>
      <c r="BZ9" s="148">
        <f t="shared" ref="BZ9:BZ13" si="159">BM9</f>
        <v>0</v>
      </c>
      <c r="CA9" s="148">
        <f t="shared" ref="CA9:CA13" si="160">AK9</f>
        <v>0</v>
      </c>
      <c r="CB9" s="130">
        <f t="shared" ref="CB9:CB13" si="161">BZ9-CA9</f>
        <v>0</v>
      </c>
      <c r="CC9" s="148" t="s">
        <v>222</v>
      </c>
      <c r="CD9" s="130">
        <v>0</v>
      </c>
      <c r="CE9" s="130" t="str">
        <f t="shared" ref="CE9:CE13" si="162">TEXT(AN9,"mmm-yy")</f>
        <v>Jun-26</v>
      </c>
      <c r="CF9" s="130">
        <f t="shared" ref="CF9:CF13" si="163">AM9-AL9-AA9</f>
        <v>40664</v>
      </c>
      <c r="CG9" s="130">
        <f t="shared" ref="CG9:CG13" si="164">BO9-BN9</f>
        <v>44252</v>
      </c>
      <c r="CH9" s="130">
        <f t="shared" ref="CH9:CH13" si="165">INT((D9- IF(MONTH(D9) &gt;= 4, DATE(YEAR(D9), 4, 1), DATE(YEAR(D9)-1, 4, 1))) / 7) + 1</f>
        <v>9</v>
      </c>
      <c r="CI9" s="149" t="s">
        <v>223</v>
      </c>
      <c r="CJ9" s="130" t="s">
        <v>223</v>
      </c>
      <c r="CK9" s="130">
        <v>0</v>
      </c>
      <c r="CL9" s="130">
        <f t="shared" ref="CL9:CL13" si="166">AY9-Q9</f>
        <v>3588</v>
      </c>
      <c r="CM9" s="130">
        <f t="shared" ref="CM9:CM13" si="167">CL9-Y9+Z9</f>
        <v>3588</v>
      </c>
      <c r="CN9" s="130">
        <f t="shared" ref="CN9:CN13" si="168">BO9-AM9</f>
        <v>3588</v>
      </c>
      <c r="CO9" s="130">
        <f t="shared" ref="CO9:CO13" si="169">AY9*118%</f>
        <v>52217.36</v>
      </c>
      <c r="CP9" s="130">
        <f t="shared" ref="CP9:CP13" si="170">-Q9*118%</f>
        <v>-47983.519999999997</v>
      </c>
      <c r="CQ9" s="130">
        <f t="shared" ref="CQ9:CQ13" si="171">-BZ9*118%</f>
        <v>0</v>
      </c>
      <c r="CR9" s="130">
        <f t="shared" ref="CR9:CR13" si="172">-CA9*118%</f>
        <v>0</v>
      </c>
      <c r="CS9" s="130">
        <f t="shared" ref="CS9:CS13" si="173">SUM(CO9:CR9)</f>
        <v>4233.8400000000038</v>
      </c>
      <c r="CT9" s="130" t="s">
        <v>214</v>
      </c>
      <c r="CU9" s="130" t="s">
        <v>214</v>
      </c>
      <c r="CV9" s="144" t="str">
        <f t="shared" ref="CV9:CV13" si="174">MID(G9,3,10)</f>
        <v>AGCPV7437N</v>
      </c>
      <c r="CW9" s="144" t="str">
        <f t="shared" ref="CW9:CW13" si="175">MID(AR9,3,10)</f>
        <v>AAACL6442L</v>
      </c>
    </row>
    <row r="10" spans="2:101" s="151" customFormat="1" ht="11.9" customHeight="1" x14ac:dyDescent="0.3">
      <c r="B10" s="123" t="str">
        <f t="shared" si="140"/>
        <v>Q1</v>
      </c>
      <c r="C10" s="124" t="str">
        <f t="shared" si="141"/>
        <v>Jun-26</v>
      </c>
      <c r="D10" s="125">
        <v>46176</v>
      </c>
      <c r="E10" s="126" t="s">
        <v>393</v>
      </c>
      <c r="F10" s="126" t="s">
        <v>253</v>
      </c>
      <c r="G10" s="126" t="s">
        <v>348</v>
      </c>
      <c r="H10" s="127" t="s">
        <v>394</v>
      </c>
      <c r="I10" s="125">
        <v>46176</v>
      </c>
      <c r="J10" s="126" t="s">
        <v>395</v>
      </c>
      <c r="K10" s="125">
        <v>46176</v>
      </c>
      <c r="L10" s="126" t="s">
        <v>281</v>
      </c>
      <c r="M10" s="126" t="s">
        <v>396</v>
      </c>
      <c r="N10" s="127" t="s">
        <v>392</v>
      </c>
      <c r="O10" s="126">
        <v>12010</v>
      </c>
      <c r="P10" s="280">
        <v>3.4</v>
      </c>
      <c r="Q10" s="128">
        <f t="shared" si="142"/>
        <v>40834</v>
      </c>
      <c r="R10" s="129">
        <v>0</v>
      </c>
      <c r="S10" s="128">
        <f t="shared" si="143"/>
        <v>12010</v>
      </c>
      <c r="T10" s="129">
        <v>0</v>
      </c>
      <c r="U10" s="130">
        <v>0</v>
      </c>
      <c r="V10" s="131">
        <v>0</v>
      </c>
      <c r="W10" s="130">
        <v>0</v>
      </c>
      <c r="X10" s="130">
        <v>0</v>
      </c>
      <c r="Y10" s="130">
        <v>0</v>
      </c>
      <c r="Z10" s="130">
        <v>0</v>
      </c>
      <c r="AA10" s="129">
        <v>0</v>
      </c>
      <c r="AB10" s="133">
        <f t="shared" si="144"/>
        <v>0</v>
      </c>
      <c r="AC10" s="133">
        <v>0</v>
      </c>
      <c r="AD10" s="129">
        <v>0</v>
      </c>
      <c r="AE10" s="130">
        <v>0</v>
      </c>
      <c r="AF10" s="130">
        <v>0</v>
      </c>
      <c r="AG10" s="336">
        <v>0</v>
      </c>
      <c r="AH10" s="130">
        <v>0</v>
      </c>
      <c r="AI10" s="131">
        <v>0</v>
      </c>
      <c r="AJ10" s="130">
        <v>0</v>
      </c>
      <c r="AK10" s="130">
        <v>0</v>
      </c>
      <c r="AL10" s="130">
        <v>0</v>
      </c>
      <c r="AM10" s="134">
        <f t="shared" si="145"/>
        <v>40834</v>
      </c>
      <c r="AN10" s="135">
        <v>46176</v>
      </c>
      <c r="AO10" s="136" t="s">
        <v>419</v>
      </c>
      <c r="AP10" s="137" t="s">
        <v>410</v>
      </c>
      <c r="AQ10" s="138" t="s">
        <v>411</v>
      </c>
      <c r="AR10" s="138" t="s">
        <v>412</v>
      </c>
      <c r="AS10" s="126" t="s">
        <v>420</v>
      </c>
      <c r="AT10" s="139" t="s">
        <v>414</v>
      </c>
      <c r="AU10" s="140" t="s">
        <v>415</v>
      </c>
      <c r="AV10" s="140" t="s">
        <v>240</v>
      </c>
      <c r="AW10" s="138">
        <v>12010</v>
      </c>
      <c r="AX10" s="326">
        <v>3.7</v>
      </c>
      <c r="AY10" s="138">
        <f t="shared" si="146"/>
        <v>44437</v>
      </c>
      <c r="AZ10" s="141" t="b">
        <f t="shared" si="147"/>
        <v>1</v>
      </c>
      <c r="BA10" s="128">
        <v>0</v>
      </c>
      <c r="BB10" s="142">
        <f t="shared" si="148"/>
        <v>12010</v>
      </c>
      <c r="BC10" s="143">
        <v>0</v>
      </c>
      <c r="BD10" s="142" t="s">
        <v>115</v>
      </c>
      <c r="BE10" s="143">
        <v>0</v>
      </c>
      <c r="BF10" s="142">
        <v>0</v>
      </c>
      <c r="BG10" s="143">
        <v>0</v>
      </c>
      <c r="BH10" s="131">
        <v>0</v>
      </c>
      <c r="BI10" s="337">
        <v>0</v>
      </c>
      <c r="BJ10" s="131">
        <v>0</v>
      </c>
      <c r="BK10" s="128">
        <v>0</v>
      </c>
      <c r="BL10" s="138">
        <v>0</v>
      </c>
      <c r="BM10" s="138">
        <v>0</v>
      </c>
      <c r="BN10" s="144">
        <v>0</v>
      </c>
      <c r="BO10" s="129">
        <f t="shared" si="149"/>
        <v>44437</v>
      </c>
      <c r="BP10" s="134">
        <f t="shared" si="150"/>
        <v>3603</v>
      </c>
      <c r="BQ10" s="143" t="str">
        <f t="shared" si="151"/>
        <v>Positive Margin</v>
      </c>
      <c r="BR10" s="145" t="s">
        <v>289</v>
      </c>
      <c r="BS10" s="128">
        <f t="shared" si="152"/>
        <v>3603</v>
      </c>
      <c r="BT10" s="146" t="str">
        <f t="shared" si="153"/>
        <v>Positive Margin at Inception</v>
      </c>
      <c r="BU10" s="147">
        <f t="shared" si="154"/>
        <v>8.1081081081081086E-2</v>
      </c>
      <c r="BV10" s="146" t="str">
        <f t="shared" si="155"/>
        <v>More than 2%</v>
      </c>
      <c r="BW10" s="128">
        <f t="shared" si="156"/>
        <v>0</v>
      </c>
      <c r="BX10" s="129">
        <f t="shared" si="157"/>
        <v>0</v>
      </c>
      <c r="BY10" s="128">
        <f t="shared" si="158"/>
        <v>0</v>
      </c>
      <c r="BZ10" s="148">
        <f t="shared" si="159"/>
        <v>0</v>
      </c>
      <c r="CA10" s="148">
        <f t="shared" si="160"/>
        <v>0</v>
      </c>
      <c r="CB10" s="130">
        <f t="shared" si="161"/>
        <v>0</v>
      </c>
      <c r="CC10" s="148" t="s">
        <v>222</v>
      </c>
      <c r="CD10" s="130">
        <v>0</v>
      </c>
      <c r="CE10" s="130" t="str">
        <f t="shared" si="162"/>
        <v>Jun-26</v>
      </c>
      <c r="CF10" s="130">
        <f t="shared" si="163"/>
        <v>40834</v>
      </c>
      <c r="CG10" s="130">
        <f t="shared" si="164"/>
        <v>44437</v>
      </c>
      <c r="CH10" s="130">
        <f t="shared" si="165"/>
        <v>10</v>
      </c>
      <c r="CI10" s="149" t="s">
        <v>223</v>
      </c>
      <c r="CJ10" s="130" t="s">
        <v>223</v>
      </c>
      <c r="CK10" s="130">
        <v>0</v>
      </c>
      <c r="CL10" s="130">
        <f t="shared" si="166"/>
        <v>3603</v>
      </c>
      <c r="CM10" s="130">
        <f t="shared" si="167"/>
        <v>3603</v>
      </c>
      <c r="CN10" s="130">
        <f t="shared" si="168"/>
        <v>3603</v>
      </c>
      <c r="CO10" s="130">
        <f t="shared" si="169"/>
        <v>52435.659999999996</v>
      </c>
      <c r="CP10" s="130">
        <f t="shared" si="170"/>
        <v>-48184.119999999995</v>
      </c>
      <c r="CQ10" s="130">
        <f t="shared" si="171"/>
        <v>0</v>
      </c>
      <c r="CR10" s="130">
        <f t="shared" si="172"/>
        <v>0</v>
      </c>
      <c r="CS10" s="130">
        <f t="shared" si="173"/>
        <v>4251.5400000000009</v>
      </c>
      <c r="CT10" s="130" t="s">
        <v>214</v>
      </c>
      <c r="CU10" s="130" t="s">
        <v>214</v>
      </c>
      <c r="CV10" s="144" t="str">
        <f t="shared" si="174"/>
        <v>AGCPV7437N</v>
      </c>
      <c r="CW10" s="144" t="str">
        <f t="shared" si="175"/>
        <v>AAACL6442L</v>
      </c>
    </row>
    <row r="11" spans="2:101" s="151" customFormat="1" ht="11.9" customHeight="1" x14ac:dyDescent="0.3">
      <c r="B11" s="123" t="str">
        <f t="shared" si="140"/>
        <v>Q1</v>
      </c>
      <c r="C11" s="124" t="str">
        <f t="shared" si="141"/>
        <v>Jun-26</v>
      </c>
      <c r="D11" s="125">
        <v>46176</v>
      </c>
      <c r="E11" s="126" t="s">
        <v>397</v>
      </c>
      <c r="F11" s="126" t="s">
        <v>253</v>
      </c>
      <c r="G11" s="126" t="s">
        <v>348</v>
      </c>
      <c r="H11" s="127" t="s">
        <v>398</v>
      </c>
      <c r="I11" s="125">
        <v>46176</v>
      </c>
      <c r="J11" s="126" t="s">
        <v>399</v>
      </c>
      <c r="K11" s="125">
        <v>46176</v>
      </c>
      <c r="L11" s="126" t="s">
        <v>281</v>
      </c>
      <c r="M11" s="126" t="s">
        <v>400</v>
      </c>
      <c r="N11" s="127" t="s">
        <v>392</v>
      </c>
      <c r="O11" s="126">
        <v>12015</v>
      </c>
      <c r="P11" s="280">
        <v>3.4</v>
      </c>
      <c r="Q11" s="128">
        <f t="shared" si="142"/>
        <v>40851</v>
      </c>
      <c r="R11" s="129">
        <v>0</v>
      </c>
      <c r="S11" s="128">
        <f t="shared" si="143"/>
        <v>12015</v>
      </c>
      <c r="T11" s="129">
        <v>0</v>
      </c>
      <c r="U11" s="130">
        <v>0</v>
      </c>
      <c r="V11" s="131">
        <v>0</v>
      </c>
      <c r="W11" s="130">
        <v>0</v>
      </c>
      <c r="X11" s="130">
        <v>0</v>
      </c>
      <c r="Y11" s="130">
        <v>0</v>
      </c>
      <c r="Z11" s="130">
        <v>0</v>
      </c>
      <c r="AA11" s="129">
        <v>0</v>
      </c>
      <c r="AB11" s="133">
        <f t="shared" si="144"/>
        <v>0</v>
      </c>
      <c r="AC11" s="133">
        <v>0</v>
      </c>
      <c r="AD11" s="129">
        <v>0</v>
      </c>
      <c r="AE11" s="130">
        <v>0</v>
      </c>
      <c r="AF11" s="130">
        <v>0</v>
      </c>
      <c r="AG11" s="336">
        <v>0</v>
      </c>
      <c r="AH11" s="130">
        <v>0</v>
      </c>
      <c r="AI11" s="131">
        <v>0</v>
      </c>
      <c r="AJ11" s="130">
        <v>0</v>
      </c>
      <c r="AK11" s="130">
        <v>0</v>
      </c>
      <c r="AL11" s="130">
        <v>0</v>
      </c>
      <c r="AM11" s="134">
        <f t="shared" si="145"/>
        <v>40851</v>
      </c>
      <c r="AN11" s="135">
        <v>46176</v>
      </c>
      <c r="AO11" s="136" t="s">
        <v>417</v>
      </c>
      <c r="AP11" s="137" t="s">
        <v>410</v>
      </c>
      <c r="AQ11" s="138" t="s">
        <v>411</v>
      </c>
      <c r="AR11" s="138" t="s">
        <v>412</v>
      </c>
      <c r="AS11" s="126" t="s">
        <v>413</v>
      </c>
      <c r="AT11" s="139" t="s">
        <v>414</v>
      </c>
      <c r="AU11" s="140" t="s">
        <v>415</v>
      </c>
      <c r="AV11" s="140" t="s">
        <v>240</v>
      </c>
      <c r="AW11" s="138">
        <v>12015</v>
      </c>
      <c r="AX11" s="326">
        <v>3.7</v>
      </c>
      <c r="AY11" s="138">
        <f t="shared" si="146"/>
        <v>44455.5</v>
      </c>
      <c r="AZ11" s="141" t="b">
        <f t="shared" si="147"/>
        <v>1</v>
      </c>
      <c r="BA11" s="128">
        <v>0</v>
      </c>
      <c r="BB11" s="142">
        <f t="shared" si="148"/>
        <v>12015</v>
      </c>
      <c r="BC11" s="143">
        <v>0</v>
      </c>
      <c r="BD11" s="142" t="s">
        <v>115</v>
      </c>
      <c r="BE11" s="143">
        <v>0</v>
      </c>
      <c r="BF11" s="142">
        <v>0</v>
      </c>
      <c r="BG11" s="143">
        <v>0</v>
      </c>
      <c r="BH11" s="131">
        <v>0</v>
      </c>
      <c r="BI11" s="337">
        <v>0</v>
      </c>
      <c r="BJ11" s="131">
        <v>0</v>
      </c>
      <c r="BK11" s="128">
        <v>0</v>
      </c>
      <c r="BL11" s="138">
        <v>0</v>
      </c>
      <c r="BM11" s="138">
        <v>0</v>
      </c>
      <c r="BN11" s="144">
        <v>0</v>
      </c>
      <c r="BO11" s="129">
        <f t="shared" si="149"/>
        <v>44455.5</v>
      </c>
      <c r="BP11" s="134">
        <f t="shared" si="150"/>
        <v>3604.5</v>
      </c>
      <c r="BQ11" s="143" t="str">
        <f t="shared" si="151"/>
        <v>Positive Margin</v>
      </c>
      <c r="BR11" s="145" t="s">
        <v>289</v>
      </c>
      <c r="BS11" s="128">
        <f t="shared" si="152"/>
        <v>3604.5</v>
      </c>
      <c r="BT11" s="146" t="str">
        <f t="shared" si="153"/>
        <v>Positive Margin at Inception</v>
      </c>
      <c r="BU11" s="147">
        <f t="shared" si="154"/>
        <v>8.1081081081081086E-2</v>
      </c>
      <c r="BV11" s="146" t="str">
        <f t="shared" si="155"/>
        <v>More than 2%</v>
      </c>
      <c r="BW11" s="128">
        <f t="shared" si="156"/>
        <v>0</v>
      </c>
      <c r="BX11" s="129">
        <f t="shared" si="157"/>
        <v>0</v>
      </c>
      <c r="BY11" s="128">
        <f t="shared" si="158"/>
        <v>0</v>
      </c>
      <c r="BZ11" s="148">
        <f t="shared" si="159"/>
        <v>0</v>
      </c>
      <c r="CA11" s="148">
        <f t="shared" si="160"/>
        <v>0</v>
      </c>
      <c r="CB11" s="130">
        <f t="shared" si="161"/>
        <v>0</v>
      </c>
      <c r="CC11" s="148" t="s">
        <v>222</v>
      </c>
      <c r="CD11" s="130">
        <v>0</v>
      </c>
      <c r="CE11" s="130" t="str">
        <f t="shared" si="162"/>
        <v>Jun-26</v>
      </c>
      <c r="CF11" s="130">
        <f t="shared" si="163"/>
        <v>40851</v>
      </c>
      <c r="CG11" s="130">
        <f t="shared" si="164"/>
        <v>44455.5</v>
      </c>
      <c r="CH11" s="130">
        <f t="shared" si="165"/>
        <v>10</v>
      </c>
      <c r="CI11" s="149" t="s">
        <v>223</v>
      </c>
      <c r="CJ11" s="130" t="s">
        <v>223</v>
      </c>
      <c r="CK11" s="130">
        <v>0</v>
      </c>
      <c r="CL11" s="130">
        <f t="shared" si="166"/>
        <v>3604.5</v>
      </c>
      <c r="CM11" s="130">
        <f t="shared" si="167"/>
        <v>3604.5</v>
      </c>
      <c r="CN11" s="130">
        <f t="shared" si="168"/>
        <v>3604.5</v>
      </c>
      <c r="CO11" s="130">
        <f t="shared" si="169"/>
        <v>52457.49</v>
      </c>
      <c r="CP11" s="130">
        <f t="shared" si="170"/>
        <v>-48204.18</v>
      </c>
      <c r="CQ11" s="130">
        <f t="shared" si="171"/>
        <v>0</v>
      </c>
      <c r="CR11" s="130">
        <f t="shared" si="172"/>
        <v>0</v>
      </c>
      <c r="CS11" s="130">
        <f t="shared" si="173"/>
        <v>4253.3099999999977</v>
      </c>
      <c r="CT11" s="130" t="s">
        <v>214</v>
      </c>
      <c r="CU11" s="130" t="s">
        <v>214</v>
      </c>
      <c r="CV11" s="144" t="str">
        <f t="shared" si="174"/>
        <v>AGCPV7437N</v>
      </c>
      <c r="CW11" s="144" t="str">
        <f t="shared" si="175"/>
        <v>AAACL6442L</v>
      </c>
    </row>
    <row r="12" spans="2:101" s="151" customFormat="1" ht="11.9" customHeight="1" x14ac:dyDescent="0.3">
      <c r="B12" s="123" t="str">
        <f t="shared" si="140"/>
        <v>Q1</v>
      </c>
      <c r="C12" s="124" t="str">
        <f t="shared" si="141"/>
        <v>Jun-26</v>
      </c>
      <c r="D12" s="125">
        <v>46177</v>
      </c>
      <c r="E12" s="126" t="s">
        <v>401</v>
      </c>
      <c r="F12" s="126" t="s">
        <v>254</v>
      </c>
      <c r="G12" s="126" t="s">
        <v>279</v>
      </c>
      <c r="H12" s="127" t="s">
        <v>402</v>
      </c>
      <c r="I12" s="125">
        <v>46177</v>
      </c>
      <c r="J12" s="126" t="s">
        <v>403</v>
      </c>
      <c r="K12" s="125">
        <v>46177</v>
      </c>
      <c r="L12" s="126" t="s">
        <v>281</v>
      </c>
      <c r="M12" s="126" t="s">
        <v>404</v>
      </c>
      <c r="N12" s="127" t="s">
        <v>283</v>
      </c>
      <c r="O12" s="126">
        <v>10380</v>
      </c>
      <c r="P12" s="280">
        <v>12</v>
      </c>
      <c r="Q12" s="128">
        <f t="shared" si="142"/>
        <v>124560</v>
      </c>
      <c r="R12" s="129">
        <v>0</v>
      </c>
      <c r="S12" s="128">
        <f t="shared" si="143"/>
        <v>10380</v>
      </c>
      <c r="T12" s="129">
        <v>0</v>
      </c>
      <c r="U12" s="130">
        <v>0</v>
      </c>
      <c r="V12" s="131">
        <v>0</v>
      </c>
      <c r="W12" s="130">
        <v>0</v>
      </c>
      <c r="X12" s="130">
        <v>0</v>
      </c>
      <c r="Y12" s="130">
        <v>0</v>
      </c>
      <c r="Z12" s="130">
        <v>0</v>
      </c>
      <c r="AA12" s="129">
        <v>0</v>
      </c>
      <c r="AB12" s="133">
        <f t="shared" si="144"/>
        <v>0</v>
      </c>
      <c r="AC12" s="133">
        <v>0</v>
      </c>
      <c r="AD12" s="129">
        <v>0</v>
      </c>
      <c r="AE12" s="130">
        <v>0</v>
      </c>
      <c r="AF12" s="130">
        <v>0</v>
      </c>
      <c r="AG12" s="336">
        <v>0</v>
      </c>
      <c r="AH12" s="130">
        <v>0</v>
      </c>
      <c r="AI12" s="131">
        <v>0</v>
      </c>
      <c r="AJ12" s="130">
        <v>0</v>
      </c>
      <c r="AK12" s="130">
        <v>0</v>
      </c>
      <c r="AL12" s="130">
        <v>0</v>
      </c>
      <c r="AM12" s="134">
        <f t="shared" si="145"/>
        <v>124560</v>
      </c>
      <c r="AN12" s="135">
        <v>46177</v>
      </c>
      <c r="AO12" s="136" t="s">
        <v>416</v>
      </c>
      <c r="AP12" s="137" t="s">
        <v>285</v>
      </c>
      <c r="AQ12" s="138" t="s">
        <v>239</v>
      </c>
      <c r="AR12" s="138" t="s">
        <v>221</v>
      </c>
      <c r="AS12" s="126" t="s">
        <v>356</v>
      </c>
      <c r="AT12" s="139" t="s">
        <v>287</v>
      </c>
      <c r="AU12" s="140" t="s">
        <v>288</v>
      </c>
      <c r="AV12" s="140" t="s">
        <v>240</v>
      </c>
      <c r="AW12" s="138">
        <v>10380</v>
      </c>
      <c r="AX12" s="326">
        <v>12.66</v>
      </c>
      <c r="AY12" s="138">
        <f t="shared" si="146"/>
        <v>131410.79999999999</v>
      </c>
      <c r="AZ12" s="141" t="b">
        <f t="shared" si="147"/>
        <v>1</v>
      </c>
      <c r="BA12" s="128">
        <v>0</v>
      </c>
      <c r="BB12" s="142">
        <f t="shared" si="148"/>
        <v>10380</v>
      </c>
      <c r="BC12" s="143">
        <v>0</v>
      </c>
      <c r="BD12" s="142" t="s">
        <v>115</v>
      </c>
      <c r="BE12" s="143">
        <v>0</v>
      </c>
      <c r="BF12" s="142">
        <v>0</v>
      </c>
      <c r="BG12" s="143">
        <v>0</v>
      </c>
      <c r="BH12" s="131">
        <v>0</v>
      </c>
      <c r="BI12" s="337">
        <v>0</v>
      </c>
      <c r="BJ12" s="131">
        <v>0</v>
      </c>
      <c r="BK12" s="128">
        <v>0</v>
      </c>
      <c r="BL12" s="138">
        <v>0</v>
      </c>
      <c r="BM12" s="138">
        <v>0</v>
      </c>
      <c r="BN12" s="144">
        <v>0</v>
      </c>
      <c r="BO12" s="129">
        <f t="shared" si="149"/>
        <v>131410.79999999999</v>
      </c>
      <c r="BP12" s="134">
        <f t="shared" si="150"/>
        <v>6850.7999999999884</v>
      </c>
      <c r="BQ12" s="143" t="str">
        <f t="shared" si="151"/>
        <v>Positive Margin</v>
      </c>
      <c r="BR12" s="145" t="s">
        <v>289</v>
      </c>
      <c r="BS12" s="128">
        <f t="shared" si="152"/>
        <v>6850.7999999999884</v>
      </c>
      <c r="BT12" s="146" t="str">
        <f t="shared" si="153"/>
        <v>Positive Margin at Inception</v>
      </c>
      <c r="BU12" s="147">
        <f t="shared" si="154"/>
        <v>5.2132701421800862E-2</v>
      </c>
      <c r="BV12" s="146" t="str">
        <f t="shared" si="155"/>
        <v>More than 2%</v>
      </c>
      <c r="BW12" s="128">
        <f t="shared" si="156"/>
        <v>0</v>
      </c>
      <c r="BX12" s="129">
        <f t="shared" si="157"/>
        <v>0</v>
      </c>
      <c r="BY12" s="128">
        <f t="shared" si="158"/>
        <v>0</v>
      </c>
      <c r="BZ12" s="148">
        <f t="shared" si="159"/>
        <v>0</v>
      </c>
      <c r="CA12" s="148">
        <f t="shared" si="160"/>
        <v>0</v>
      </c>
      <c r="CB12" s="130">
        <f t="shared" si="161"/>
        <v>0</v>
      </c>
      <c r="CC12" s="148" t="s">
        <v>222</v>
      </c>
      <c r="CD12" s="130">
        <v>0</v>
      </c>
      <c r="CE12" s="130" t="str">
        <f t="shared" si="162"/>
        <v>Jun-26</v>
      </c>
      <c r="CF12" s="130">
        <f t="shared" si="163"/>
        <v>124560</v>
      </c>
      <c r="CG12" s="130">
        <f t="shared" si="164"/>
        <v>131410.79999999999</v>
      </c>
      <c r="CH12" s="130">
        <f t="shared" si="165"/>
        <v>10</v>
      </c>
      <c r="CI12" s="149" t="s">
        <v>223</v>
      </c>
      <c r="CJ12" s="130" t="s">
        <v>223</v>
      </c>
      <c r="CK12" s="130">
        <v>0</v>
      </c>
      <c r="CL12" s="130">
        <f t="shared" si="166"/>
        <v>6850.7999999999884</v>
      </c>
      <c r="CM12" s="130">
        <f t="shared" si="167"/>
        <v>6850.7999999999884</v>
      </c>
      <c r="CN12" s="130">
        <f t="shared" si="168"/>
        <v>6850.7999999999884</v>
      </c>
      <c r="CO12" s="130">
        <f t="shared" si="169"/>
        <v>155064.74399999998</v>
      </c>
      <c r="CP12" s="130">
        <f t="shared" si="170"/>
        <v>-146980.79999999999</v>
      </c>
      <c r="CQ12" s="130">
        <f t="shared" si="171"/>
        <v>0</v>
      </c>
      <c r="CR12" s="130">
        <f t="shared" si="172"/>
        <v>0</v>
      </c>
      <c r="CS12" s="130">
        <f t="shared" si="173"/>
        <v>8083.9439999999886</v>
      </c>
      <c r="CT12" s="130" t="s">
        <v>214</v>
      </c>
      <c r="CU12" s="130" t="s">
        <v>214</v>
      </c>
      <c r="CV12" s="144" t="str">
        <f t="shared" si="174"/>
        <v>ANHPG0363J</v>
      </c>
      <c r="CW12" s="144" t="str">
        <f t="shared" si="175"/>
        <v>AAACM4154G</v>
      </c>
    </row>
    <row r="13" spans="2:101" s="151" customFormat="1" ht="11.9" customHeight="1" x14ac:dyDescent="0.3">
      <c r="B13" s="123" t="str">
        <f t="shared" si="140"/>
        <v>Q1</v>
      </c>
      <c r="C13" s="124" t="str">
        <f t="shared" si="141"/>
        <v>Jun-26</v>
      </c>
      <c r="D13" s="125">
        <v>46180</v>
      </c>
      <c r="E13" s="126" t="s">
        <v>405</v>
      </c>
      <c r="F13" s="126" t="s">
        <v>254</v>
      </c>
      <c r="G13" s="126" t="s">
        <v>279</v>
      </c>
      <c r="H13" s="127" t="s">
        <v>406</v>
      </c>
      <c r="I13" s="125">
        <v>46180</v>
      </c>
      <c r="J13" s="126" t="s">
        <v>407</v>
      </c>
      <c r="K13" s="125">
        <v>46180</v>
      </c>
      <c r="L13" s="126" t="s">
        <v>281</v>
      </c>
      <c r="M13" s="126" t="s">
        <v>408</v>
      </c>
      <c r="N13" s="127" t="s">
        <v>283</v>
      </c>
      <c r="O13" s="126">
        <v>14380</v>
      </c>
      <c r="P13" s="280">
        <v>12</v>
      </c>
      <c r="Q13" s="128">
        <f t="shared" si="142"/>
        <v>172560</v>
      </c>
      <c r="R13" s="129">
        <v>0</v>
      </c>
      <c r="S13" s="128">
        <f t="shared" si="143"/>
        <v>14380</v>
      </c>
      <c r="T13" s="129">
        <v>0</v>
      </c>
      <c r="U13" s="130">
        <v>0</v>
      </c>
      <c r="V13" s="131">
        <v>0</v>
      </c>
      <c r="W13" s="130">
        <v>0</v>
      </c>
      <c r="X13" s="130">
        <v>0</v>
      </c>
      <c r="Y13" s="130">
        <v>0</v>
      </c>
      <c r="Z13" s="130">
        <v>0</v>
      </c>
      <c r="AA13" s="129">
        <v>0</v>
      </c>
      <c r="AB13" s="133">
        <f t="shared" si="144"/>
        <v>0</v>
      </c>
      <c r="AC13" s="133">
        <v>0</v>
      </c>
      <c r="AD13" s="129">
        <v>0</v>
      </c>
      <c r="AE13" s="130">
        <v>0</v>
      </c>
      <c r="AF13" s="130">
        <v>0</v>
      </c>
      <c r="AG13" s="336">
        <v>0</v>
      </c>
      <c r="AH13" s="130">
        <v>0</v>
      </c>
      <c r="AI13" s="131">
        <v>0</v>
      </c>
      <c r="AJ13" s="130">
        <v>0</v>
      </c>
      <c r="AK13" s="130">
        <v>0</v>
      </c>
      <c r="AL13" s="130">
        <v>0</v>
      </c>
      <c r="AM13" s="134">
        <f t="shared" si="145"/>
        <v>172560</v>
      </c>
      <c r="AN13" s="135">
        <v>46180</v>
      </c>
      <c r="AO13" s="136" t="s">
        <v>418</v>
      </c>
      <c r="AP13" s="137" t="s">
        <v>285</v>
      </c>
      <c r="AQ13" s="138" t="s">
        <v>239</v>
      </c>
      <c r="AR13" s="138" t="s">
        <v>221</v>
      </c>
      <c r="AS13" s="126" t="s">
        <v>356</v>
      </c>
      <c r="AT13" s="139" t="s">
        <v>287</v>
      </c>
      <c r="AU13" s="140" t="s">
        <v>288</v>
      </c>
      <c r="AV13" s="140" t="s">
        <v>240</v>
      </c>
      <c r="AW13" s="138">
        <v>14380</v>
      </c>
      <c r="AX13" s="326">
        <v>12.66</v>
      </c>
      <c r="AY13" s="138">
        <f t="shared" si="146"/>
        <v>182050.8</v>
      </c>
      <c r="AZ13" s="141" t="b">
        <f t="shared" si="147"/>
        <v>1</v>
      </c>
      <c r="BA13" s="128">
        <v>0</v>
      </c>
      <c r="BB13" s="142">
        <f t="shared" si="148"/>
        <v>14380</v>
      </c>
      <c r="BC13" s="143">
        <v>0</v>
      </c>
      <c r="BD13" s="142" t="s">
        <v>115</v>
      </c>
      <c r="BE13" s="143">
        <v>0</v>
      </c>
      <c r="BF13" s="142">
        <v>0</v>
      </c>
      <c r="BG13" s="143">
        <v>0</v>
      </c>
      <c r="BH13" s="131">
        <v>0</v>
      </c>
      <c r="BI13" s="337">
        <v>0</v>
      </c>
      <c r="BJ13" s="131">
        <v>0</v>
      </c>
      <c r="BK13" s="128">
        <v>0</v>
      </c>
      <c r="BL13" s="138">
        <v>0</v>
      </c>
      <c r="BM13" s="138">
        <v>0</v>
      </c>
      <c r="BN13" s="144">
        <v>0</v>
      </c>
      <c r="BO13" s="129">
        <f t="shared" si="149"/>
        <v>182050.8</v>
      </c>
      <c r="BP13" s="134">
        <f t="shared" si="150"/>
        <v>9490.7999999999884</v>
      </c>
      <c r="BQ13" s="143" t="str">
        <f t="shared" si="151"/>
        <v>Positive Margin</v>
      </c>
      <c r="BR13" s="145" t="s">
        <v>289</v>
      </c>
      <c r="BS13" s="128">
        <f t="shared" si="152"/>
        <v>9490.7999999999884</v>
      </c>
      <c r="BT13" s="146" t="str">
        <f t="shared" si="153"/>
        <v>Positive Margin at Inception</v>
      </c>
      <c r="BU13" s="147">
        <f t="shared" si="154"/>
        <v>5.2132701421800889E-2</v>
      </c>
      <c r="BV13" s="146" t="str">
        <f t="shared" si="155"/>
        <v>More than 2%</v>
      </c>
      <c r="BW13" s="128">
        <f t="shared" si="156"/>
        <v>0</v>
      </c>
      <c r="BX13" s="129">
        <f t="shared" si="157"/>
        <v>0</v>
      </c>
      <c r="BY13" s="128">
        <f t="shared" si="158"/>
        <v>0</v>
      </c>
      <c r="BZ13" s="148">
        <f t="shared" si="159"/>
        <v>0</v>
      </c>
      <c r="CA13" s="148">
        <f t="shared" si="160"/>
        <v>0</v>
      </c>
      <c r="CB13" s="130">
        <f t="shared" si="161"/>
        <v>0</v>
      </c>
      <c r="CC13" s="148" t="s">
        <v>222</v>
      </c>
      <c r="CD13" s="130">
        <v>0</v>
      </c>
      <c r="CE13" s="130" t="str">
        <f t="shared" si="162"/>
        <v>Jun-26</v>
      </c>
      <c r="CF13" s="130">
        <f t="shared" si="163"/>
        <v>172560</v>
      </c>
      <c r="CG13" s="130">
        <f t="shared" si="164"/>
        <v>182050.8</v>
      </c>
      <c r="CH13" s="130">
        <f t="shared" si="165"/>
        <v>10</v>
      </c>
      <c r="CI13" s="149" t="s">
        <v>223</v>
      </c>
      <c r="CJ13" s="130" t="s">
        <v>223</v>
      </c>
      <c r="CK13" s="130">
        <v>0</v>
      </c>
      <c r="CL13" s="130">
        <f t="shared" si="166"/>
        <v>9490.7999999999884</v>
      </c>
      <c r="CM13" s="130">
        <f t="shared" si="167"/>
        <v>9490.7999999999884</v>
      </c>
      <c r="CN13" s="130">
        <f t="shared" si="168"/>
        <v>9490.7999999999884</v>
      </c>
      <c r="CO13" s="130">
        <f t="shared" si="169"/>
        <v>214819.94399999999</v>
      </c>
      <c r="CP13" s="130">
        <f t="shared" si="170"/>
        <v>-203620.8</v>
      </c>
      <c r="CQ13" s="130">
        <f t="shared" si="171"/>
        <v>0</v>
      </c>
      <c r="CR13" s="130">
        <f t="shared" si="172"/>
        <v>0</v>
      </c>
      <c r="CS13" s="130">
        <f t="shared" si="173"/>
        <v>11199.144</v>
      </c>
      <c r="CT13" s="130" t="s">
        <v>214</v>
      </c>
      <c r="CU13" s="130" t="s">
        <v>214</v>
      </c>
      <c r="CV13" s="144" t="str">
        <f t="shared" si="174"/>
        <v>ANHPG0363J</v>
      </c>
      <c r="CW13" s="144" t="str">
        <f t="shared" si="175"/>
        <v>AAACM4154G</v>
      </c>
    </row>
    <row r="14" spans="2:101" s="151" customFormat="1" ht="11.9" customHeight="1" x14ac:dyDescent="0.3">
      <c r="B14" s="123" t="str">
        <f t="shared" ref="B14:B16" si="176">"Q" &amp; IF(ROUNDUP(MONTH(D14)/3,0)-1=0,4,ROUNDUP(MONTH(D14)/3,0)-1)</f>
        <v>Q1</v>
      </c>
      <c r="C14" s="124" t="str">
        <f t="shared" ref="C14:C16" si="177">TEXT(AN14,"mmm-yy")</f>
        <v>Jun-26</v>
      </c>
      <c r="D14" s="125">
        <v>46181</v>
      </c>
      <c r="E14" s="126" t="s">
        <v>422</v>
      </c>
      <c r="F14" s="126" t="s">
        <v>253</v>
      </c>
      <c r="G14" s="126" t="s">
        <v>348</v>
      </c>
      <c r="H14" s="127" t="s">
        <v>423</v>
      </c>
      <c r="I14" s="125">
        <v>46181</v>
      </c>
      <c r="J14" s="126" t="s">
        <v>424</v>
      </c>
      <c r="K14" s="125">
        <v>46181</v>
      </c>
      <c r="L14" s="126" t="s">
        <v>281</v>
      </c>
      <c r="M14" s="126" t="s">
        <v>425</v>
      </c>
      <c r="N14" s="127" t="s">
        <v>392</v>
      </c>
      <c r="O14" s="126">
        <v>8815</v>
      </c>
      <c r="P14" s="280">
        <v>3.4</v>
      </c>
      <c r="Q14" s="128">
        <f t="shared" ref="Q14:Q16" si="178">O14*P14</f>
        <v>29971</v>
      </c>
      <c r="R14" s="129">
        <v>0</v>
      </c>
      <c r="S14" s="128">
        <f t="shared" ref="S14:S16" si="179">O14-R14</f>
        <v>8815</v>
      </c>
      <c r="T14" s="129">
        <v>0</v>
      </c>
      <c r="U14" s="130">
        <v>0</v>
      </c>
      <c r="V14" s="131">
        <v>0</v>
      </c>
      <c r="W14" s="130">
        <v>0</v>
      </c>
      <c r="X14" s="130">
        <v>0</v>
      </c>
      <c r="Y14" s="130">
        <v>0</v>
      </c>
      <c r="Z14" s="130">
        <v>0</v>
      </c>
      <c r="AA14" s="129">
        <v>0</v>
      </c>
      <c r="AB14" s="133">
        <f t="shared" ref="AB14:AB16" si="180">Y14+AA14+Z14</f>
        <v>0</v>
      </c>
      <c r="AC14" s="133">
        <v>0</v>
      </c>
      <c r="AD14" s="129">
        <v>0</v>
      </c>
      <c r="AE14" s="130">
        <v>0</v>
      </c>
      <c r="AF14" s="130">
        <v>0</v>
      </c>
      <c r="AG14" s="336">
        <v>0</v>
      </c>
      <c r="AH14" s="130">
        <v>0</v>
      </c>
      <c r="AI14" s="131">
        <v>0</v>
      </c>
      <c r="AJ14" s="130">
        <v>0</v>
      </c>
      <c r="AK14" s="130">
        <v>0</v>
      </c>
      <c r="AL14" s="130">
        <v>0</v>
      </c>
      <c r="AM14" s="134">
        <f t="shared" ref="AM14:AM16" si="181">Q14+AB14+AL14+AK14+AJ14+T14+AE14</f>
        <v>29971</v>
      </c>
      <c r="AN14" s="135">
        <v>46181</v>
      </c>
      <c r="AO14" s="136" t="s">
        <v>434</v>
      </c>
      <c r="AP14" s="137" t="s">
        <v>410</v>
      </c>
      <c r="AQ14" s="138" t="s">
        <v>411</v>
      </c>
      <c r="AR14" s="138" t="s">
        <v>412</v>
      </c>
      <c r="AS14" s="126" t="s">
        <v>413</v>
      </c>
      <c r="AT14" s="139" t="s">
        <v>414</v>
      </c>
      <c r="AU14" s="140" t="s">
        <v>415</v>
      </c>
      <c r="AV14" s="140" t="s">
        <v>240</v>
      </c>
      <c r="AW14" s="138">
        <v>8815</v>
      </c>
      <c r="AX14" s="326">
        <v>3.7</v>
      </c>
      <c r="AY14" s="138">
        <f t="shared" ref="AY14:AY16" si="182">AW14*AX14</f>
        <v>32615.5</v>
      </c>
      <c r="AZ14" s="141" t="b">
        <f t="shared" ref="AZ14:AZ16" si="183">AW14=O14</f>
        <v>1</v>
      </c>
      <c r="BA14" s="128">
        <v>0</v>
      </c>
      <c r="BB14" s="142">
        <f t="shared" ref="BB14:BB16" si="184">AW14-BA14</f>
        <v>8815</v>
      </c>
      <c r="BC14" s="143">
        <v>0</v>
      </c>
      <c r="BD14" s="142" t="s">
        <v>115</v>
      </c>
      <c r="BE14" s="143">
        <v>0</v>
      </c>
      <c r="BF14" s="142">
        <v>0</v>
      </c>
      <c r="BG14" s="143">
        <v>0</v>
      </c>
      <c r="BH14" s="131">
        <v>0</v>
      </c>
      <c r="BI14" s="337">
        <v>0</v>
      </c>
      <c r="BJ14" s="131">
        <v>0</v>
      </c>
      <c r="BK14" s="128">
        <v>0</v>
      </c>
      <c r="BL14" s="138">
        <v>0</v>
      </c>
      <c r="BM14" s="138">
        <v>0</v>
      </c>
      <c r="BN14" s="144">
        <v>0</v>
      </c>
      <c r="BO14" s="129">
        <f t="shared" ref="BO14:BO16" si="185">AY14+BL14+BM14+BN14+BC14+BG14</f>
        <v>32615.5</v>
      </c>
      <c r="BP14" s="134">
        <f t="shared" ref="BP14:BP16" si="186">BO14-AM14</f>
        <v>2644.5</v>
      </c>
      <c r="BQ14" s="143" t="str">
        <f t="shared" ref="BQ14:BQ16" si="187">IF(BP14&gt;=0,"Positive Margin","Negative Margin")</f>
        <v>Positive Margin</v>
      </c>
      <c r="BR14" s="145" t="s">
        <v>289</v>
      </c>
      <c r="BS14" s="128">
        <f t="shared" ref="BS14:BS16" si="188">AY14-Y14-Q14-AA14-T14+BC14</f>
        <v>2644.5</v>
      </c>
      <c r="BT14" s="146" t="str">
        <f t="shared" ref="BT14:BT16" si="189">IF(BS14&lt;0, "Negative Margin at Inception", "Positive Margin at Inception")</f>
        <v>Positive Margin at Inception</v>
      </c>
      <c r="BU14" s="147">
        <f t="shared" ref="BU14:BU16" si="190">IFERROR(BP14/BO14,"0")</f>
        <v>8.1081081081081086E-2</v>
      </c>
      <c r="BV14" s="146" t="str">
        <f t="shared" ref="BV14:BV16" si="191">IF(BU14&lt;1%,"Less Than 1%",IF(BU14&gt;2%,"More than 2%",IF(BU14&gt;=1%,"1% - 2%")))</f>
        <v>More than 2%</v>
      </c>
      <c r="BW14" s="128">
        <f t="shared" ref="BW14:BW16" si="192">BM14+BN14</f>
        <v>0</v>
      </c>
      <c r="BX14" s="129">
        <f t="shared" ref="BX14:BX16" si="193">AL14+AK14</f>
        <v>0</v>
      </c>
      <c r="BY14" s="128">
        <f t="shared" ref="BY14:BY16" si="194">BW14-BX14</f>
        <v>0</v>
      </c>
      <c r="BZ14" s="148">
        <f t="shared" ref="BZ14:BZ16" si="195">BM14</f>
        <v>0</v>
      </c>
      <c r="CA14" s="148">
        <f t="shared" ref="CA14:CA16" si="196">AK14</f>
        <v>0</v>
      </c>
      <c r="CB14" s="130">
        <f t="shared" ref="CB14:CB16" si="197">BZ14-CA14</f>
        <v>0</v>
      </c>
      <c r="CC14" s="148" t="s">
        <v>222</v>
      </c>
      <c r="CD14" s="130">
        <v>0</v>
      </c>
      <c r="CE14" s="130" t="str">
        <f t="shared" ref="CE14:CE16" si="198">TEXT(AN14,"mmm-yy")</f>
        <v>Jun-26</v>
      </c>
      <c r="CF14" s="130">
        <f t="shared" ref="CF14:CF16" si="199">AM14-AL14-AA14</f>
        <v>29971</v>
      </c>
      <c r="CG14" s="130">
        <f t="shared" ref="CG14:CG16" si="200">BO14-BN14</f>
        <v>32615.5</v>
      </c>
      <c r="CH14" s="130">
        <f t="shared" ref="CH14:CH16" si="201">INT((D14- IF(MONTH(D14) &gt;= 4, DATE(YEAR(D14), 4, 1), DATE(YEAR(D14)-1, 4, 1))) / 7) + 1</f>
        <v>10</v>
      </c>
      <c r="CI14" s="149" t="s">
        <v>223</v>
      </c>
      <c r="CJ14" s="130" t="s">
        <v>223</v>
      </c>
      <c r="CK14" s="130">
        <v>0</v>
      </c>
      <c r="CL14" s="130">
        <f t="shared" ref="CL14:CL16" si="202">AY14-Q14</f>
        <v>2644.5</v>
      </c>
      <c r="CM14" s="130">
        <f t="shared" ref="CM14:CM16" si="203">CL14-Y14+Z14</f>
        <v>2644.5</v>
      </c>
      <c r="CN14" s="130">
        <f t="shared" ref="CN14:CN16" si="204">BO14-AM14</f>
        <v>2644.5</v>
      </c>
      <c r="CO14" s="130">
        <f t="shared" ref="CO14:CO16" si="205">AY14*118%</f>
        <v>38486.29</v>
      </c>
      <c r="CP14" s="130">
        <f t="shared" ref="CP14:CP16" si="206">-Q14*118%</f>
        <v>-35365.78</v>
      </c>
      <c r="CQ14" s="130">
        <f t="shared" ref="CQ14:CQ16" si="207">-BZ14*118%</f>
        <v>0</v>
      </c>
      <c r="CR14" s="130">
        <f t="shared" ref="CR14:CR16" si="208">-CA14*118%</f>
        <v>0</v>
      </c>
      <c r="CS14" s="130">
        <f t="shared" ref="CS14:CS16" si="209">SUM(CO14:CR14)</f>
        <v>3120.510000000002</v>
      </c>
      <c r="CT14" s="130" t="s">
        <v>214</v>
      </c>
      <c r="CU14" s="130" t="s">
        <v>214</v>
      </c>
      <c r="CV14" s="144" t="str">
        <f t="shared" ref="CV14:CV16" si="210">MID(G14,3,10)</f>
        <v>AGCPV7437N</v>
      </c>
      <c r="CW14" s="144" t="str">
        <f t="shared" ref="CW14:CW16" si="211">MID(AR14,3,10)</f>
        <v>AAACL6442L</v>
      </c>
    </row>
    <row r="15" spans="2:101" s="151" customFormat="1" ht="11.9" customHeight="1" x14ac:dyDescent="0.3">
      <c r="B15" s="123" t="str">
        <f t="shared" si="176"/>
        <v>Q1</v>
      </c>
      <c r="C15" s="124" t="str">
        <f t="shared" si="177"/>
        <v>Jun-26</v>
      </c>
      <c r="D15" s="125">
        <v>46181</v>
      </c>
      <c r="E15" s="126" t="s">
        <v>426</v>
      </c>
      <c r="F15" s="126" t="s">
        <v>254</v>
      </c>
      <c r="G15" s="126" t="s">
        <v>279</v>
      </c>
      <c r="H15" s="127" t="s">
        <v>427</v>
      </c>
      <c r="I15" s="125">
        <v>46181</v>
      </c>
      <c r="J15" s="126" t="s">
        <v>428</v>
      </c>
      <c r="K15" s="125">
        <v>46181</v>
      </c>
      <c r="L15" s="126" t="s">
        <v>281</v>
      </c>
      <c r="M15" s="126" t="s">
        <v>429</v>
      </c>
      <c r="N15" s="127" t="s">
        <v>283</v>
      </c>
      <c r="O15" s="126">
        <v>13000</v>
      </c>
      <c r="P15" s="280">
        <v>12</v>
      </c>
      <c r="Q15" s="128">
        <f t="shared" si="178"/>
        <v>156000</v>
      </c>
      <c r="R15" s="129">
        <v>0</v>
      </c>
      <c r="S15" s="128">
        <f t="shared" si="179"/>
        <v>13000</v>
      </c>
      <c r="T15" s="129">
        <v>0</v>
      </c>
      <c r="U15" s="130">
        <v>0</v>
      </c>
      <c r="V15" s="131">
        <v>0</v>
      </c>
      <c r="W15" s="130">
        <v>0</v>
      </c>
      <c r="X15" s="130">
        <v>0</v>
      </c>
      <c r="Y15" s="130">
        <v>0</v>
      </c>
      <c r="Z15" s="130">
        <v>0</v>
      </c>
      <c r="AA15" s="129">
        <v>0</v>
      </c>
      <c r="AB15" s="133">
        <f t="shared" si="180"/>
        <v>0</v>
      </c>
      <c r="AC15" s="133">
        <v>0</v>
      </c>
      <c r="AD15" s="129">
        <v>0</v>
      </c>
      <c r="AE15" s="130">
        <v>0</v>
      </c>
      <c r="AF15" s="130">
        <v>0</v>
      </c>
      <c r="AG15" s="336">
        <v>0</v>
      </c>
      <c r="AH15" s="130">
        <v>0</v>
      </c>
      <c r="AI15" s="131">
        <v>0</v>
      </c>
      <c r="AJ15" s="130">
        <v>0</v>
      </c>
      <c r="AK15" s="130">
        <v>0</v>
      </c>
      <c r="AL15" s="130">
        <v>0</v>
      </c>
      <c r="AM15" s="134">
        <f t="shared" si="181"/>
        <v>156000</v>
      </c>
      <c r="AN15" s="135">
        <v>46181</v>
      </c>
      <c r="AO15" s="136" t="s">
        <v>435</v>
      </c>
      <c r="AP15" s="137" t="s">
        <v>285</v>
      </c>
      <c r="AQ15" s="138" t="s">
        <v>239</v>
      </c>
      <c r="AR15" s="138" t="s">
        <v>221</v>
      </c>
      <c r="AS15" s="126" t="s">
        <v>356</v>
      </c>
      <c r="AT15" s="139" t="s">
        <v>287</v>
      </c>
      <c r="AU15" s="140" t="s">
        <v>288</v>
      </c>
      <c r="AV15" s="140" t="s">
        <v>240</v>
      </c>
      <c r="AW15" s="138">
        <v>13000</v>
      </c>
      <c r="AX15" s="326">
        <v>12.66</v>
      </c>
      <c r="AY15" s="138">
        <f t="shared" si="182"/>
        <v>164580</v>
      </c>
      <c r="AZ15" s="141" t="b">
        <f t="shared" si="183"/>
        <v>1</v>
      </c>
      <c r="BA15" s="128">
        <v>0</v>
      </c>
      <c r="BB15" s="142">
        <f t="shared" si="184"/>
        <v>13000</v>
      </c>
      <c r="BC15" s="143">
        <v>0</v>
      </c>
      <c r="BD15" s="142" t="s">
        <v>115</v>
      </c>
      <c r="BE15" s="143">
        <v>0</v>
      </c>
      <c r="BF15" s="142">
        <v>0</v>
      </c>
      <c r="BG15" s="143">
        <v>0</v>
      </c>
      <c r="BH15" s="131">
        <v>0</v>
      </c>
      <c r="BI15" s="337">
        <v>0</v>
      </c>
      <c r="BJ15" s="131">
        <v>0</v>
      </c>
      <c r="BK15" s="128">
        <v>0</v>
      </c>
      <c r="BL15" s="138">
        <v>0</v>
      </c>
      <c r="BM15" s="138">
        <v>0</v>
      </c>
      <c r="BN15" s="144">
        <v>0</v>
      </c>
      <c r="BO15" s="129">
        <f t="shared" si="185"/>
        <v>164580</v>
      </c>
      <c r="BP15" s="134">
        <f t="shared" si="186"/>
        <v>8580</v>
      </c>
      <c r="BQ15" s="143" t="str">
        <f t="shared" si="187"/>
        <v>Positive Margin</v>
      </c>
      <c r="BR15" s="145" t="s">
        <v>289</v>
      </c>
      <c r="BS15" s="128">
        <f t="shared" si="188"/>
        <v>8580</v>
      </c>
      <c r="BT15" s="146" t="str">
        <f t="shared" si="189"/>
        <v>Positive Margin at Inception</v>
      </c>
      <c r="BU15" s="147">
        <f t="shared" si="190"/>
        <v>5.2132701421800945E-2</v>
      </c>
      <c r="BV15" s="146" t="str">
        <f t="shared" si="191"/>
        <v>More than 2%</v>
      </c>
      <c r="BW15" s="128">
        <f t="shared" si="192"/>
        <v>0</v>
      </c>
      <c r="BX15" s="129">
        <f t="shared" si="193"/>
        <v>0</v>
      </c>
      <c r="BY15" s="128">
        <f t="shared" si="194"/>
        <v>0</v>
      </c>
      <c r="BZ15" s="148">
        <f t="shared" si="195"/>
        <v>0</v>
      </c>
      <c r="CA15" s="148">
        <f t="shared" si="196"/>
        <v>0</v>
      </c>
      <c r="CB15" s="130">
        <f t="shared" si="197"/>
        <v>0</v>
      </c>
      <c r="CC15" s="148" t="s">
        <v>222</v>
      </c>
      <c r="CD15" s="130">
        <v>0</v>
      </c>
      <c r="CE15" s="130" t="str">
        <f t="shared" si="198"/>
        <v>Jun-26</v>
      </c>
      <c r="CF15" s="130">
        <f t="shared" si="199"/>
        <v>156000</v>
      </c>
      <c r="CG15" s="130">
        <f t="shared" si="200"/>
        <v>164580</v>
      </c>
      <c r="CH15" s="130">
        <f t="shared" si="201"/>
        <v>10</v>
      </c>
      <c r="CI15" s="149" t="s">
        <v>223</v>
      </c>
      <c r="CJ15" s="130" t="s">
        <v>223</v>
      </c>
      <c r="CK15" s="130">
        <v>0</v>
      </c>
      <c r="CL15" s="130">
        <f t="shared" si="202"/>
        <v>8580</v>
      </c>
      <c r="CM15" s="130">
        <f t="shared" si="203"/>
        <v>8580</v>
      </c>
      <c r="CN15" s="130">
        <f t="shared" si="204"/>
        <v>8580</v>
      </c>
      <c r="CO15" s="130">
        <f t="shared" si="205"/>
        <v>194204.4</v>
      </c>
      <c r="CP15" s="130">
        <f t="shared" si="206"/>
        <v>-184080</v>
      </c>
      <c r="CQ15" s="130">
        <f t="shared" si="207"/>
        <v>0</v>
      </c>
      <c r="CR15" s="130">
        <f t="shared" si="208"/>
        <v>0</v>
      </c>
      <c r="CS15" s="130">
        <f t="shared" si="209"/>
        <v>10124.399999999994</v>
      </c>
      <c r="CT15" s="130" t="s">
        <v>214</v>
      </c>
      <c r="CU15" s="130" t="s">
        <v>214</v>
      </c>
      <c r="CV15" s="144" t="str">
        <f t="shared" si="210"/>
        <v>ANHPG0363J</v>
      </c>
      <c r="CW15" s="144" t="str">
        <f t="shared" si="211"/>
        <v>AAACM4154G</v>
      </c>
    </row>
    <row r="16" spans="2:101" s="151" customFormat="1" ht="11.9" customHeight="1" x14ac:dyDescent="0.3">
      <c r="B16" s="123" t="str">
        <f t="shared" si="176"/>
        <v>Q1</v>
      </c>
      <c r="C16" s="124" t="str">
        <f t="shared" si="177"/>
        <v>Jun-26</v>
      </c>
      <c r="D16" s="125">
        <v>46186</v>
      </c>
      <c r="E16" s="126" t="s">
        <v>430</v>
      </c>
      <c r="F16" s="126" t="s">
        <v>254</v>
      </c>
      <c r="G16" s="126" t="s">
        <v>279</v>
      </c>
      <c r="H16" s="127" t="s">
        <v>431</v>
      </c>
      <c r="I16" s="125">
        <v>46186</v>
      </c>
      <c r="J16" s="126" t="s">
        <v>432</v>
      </c>
      <c r="K16" s="125">
        <v>46186</v>
      </c>
      <c r="L16" s="126" t="s">
        <v>281</v>
      </c>
      <c r="M16" s="126" t="s">
        <v>433</v>
      </c>
      <c r="N16" s="127" t="s">
        <v>283</v>
      </c>
      <c r="O16" s="126">
        <v>15220</v>
      </c>
      <c r="P16" s="280">
        <v>12</v>
      </c>
      <c r="Q16" s="128">
        <f t="shared" si="178"/>
        <v>182640</v>
      </c>
      <c r="R16" s="129">
        <v>0</v>
      </c>
      <c r="S16" s="128">
        <f t="shared" si="179"/>
        <v>15220</v>
      </c>
      <c r="T16" s="129">
        <v>0</v>
      </c>
      <c r="U16" s="130">
        <v>0</v>
      </c>
      <c r="V16" s="131">
        <v>0</v>
      </c>
      <c r="W16" s="130">
        <v>0</v>
      </c>
      <c r="X16" s="130">
        <v>0</v>
      </c>
      <c r="Y16" s="130">
        <v>0</v>
      </c>
      <c r="Z16" s="130">
        <v>0</v>
      </c>
      <c r="AA16" s="129">
        <v>0</v>
      </c>
      <c r="AB16" s="133">
        <f t="shared" si="180"/>
        <v>0</v>
      </c>
      <c r="AC16" s="133">
        <v>0</v>
      </c>
      <c r="AD16" s="129">
        <v>0</v>
      </c>
      <c r="AE16" s="130">
        <v>0</v>
      </c>
      <c r="AF16" s="130">
        <v>0</v>
      </c>
      <c r="AG16" s="336">
        <v>0</v>
      </c>
      <c r="AH16" s="130">
        <v>0</v>
      </c>
      <c r="AI16" s="131">
        <v>0</v>
      </c>
      <c r="AJ16" s="130">
        <v>0</v>
      </c>
      <c r="AK16" s="130">
        <v>0</v>
      </c>
      <c r="AL16" s="130">
        <v>0</v>
      </c>
      <c r="AM16" s="134">
        <f t="shared" si="181"/>
        <v>182640</v>
      </c>
      <c r="AN16" s="135">
        <v>46186</v>
      </c>
      <c r="AO16" s="136" t="s">
        <v>436</v>
      </c>
      <c r="AP16" s="137" t="s">
        <v>285</v>
      </c>
      <c r="AQ16" s="138" t="s">
        <v>239</v>
      </c>
      <c r="AR16" s="138" t="s">
        <v>221</v>
      </c>
      <c r="AS16" s="126" t="s">
        <v>437</v>
      </c>
      <c r="AT16" s="139" t="s">
        <v>287</v>
      </c>
      <c r="AU16" s="140" t="s">
        <v>288</v>
      </c>
      <c r="AV16" s="140" t="s">
        <v>240</v>
      </c>
      <c r="AW16" s="138">
        <v>15220</v>
      </c>
      <c r="AX16" s="326">
        <v>12.66</v>
      </c>
      <c r="AY16" s="138">
        <f t="shared" si="182"/>
        <v>192685.2</v>
      </c>
      <c r="AZ16" s="141" t="b">
        <f t="shared" si="183"/>
        <v>1</v>
      </c>
      <c r="BA16" s="128">
        <v>0</v>
      </c>
      <c r="BB16" s="142">
        <f t="shared" si="184"/>
        <v>15220</v>
      </c>
      <c r="BC16" s="143">
        <v>0</v>
      </c>
      <c r="BD16" s="142" t="s">
        <v>115</v>
      </c>
      <c r="BE16" s="143">
        <v>0</v>
      </c>
      <c r="BF16" s="142">
        <v>0</v>
      </c>
      <c r="BG16" s="143">
        <v>0</v>
      </c>
      <c r="BH16" s="131">
        <v>0</v>
      </c>
      <c r="BI16" s="337">
        <v>0</v>
      </c>
      <c r="BJ16" s="131">
        <v>0</v>
      </c>
      <c r="BK16" s="128">
        <v>0</v>
      </c>
      <c r="BL16" s="138">
        <v>0</v>
      </c>
      <c r="BM16" s="138">
        <v>0</v>
      </c>
      <c r="BN16" s="144">
        <v>0</v>
      </c>
      <c r="BO16" s="129">
        <f t="shared" si="185"/>
        <v>192685.2</v>
      </c>
      <c r="BP16" s="134">
        <f t="shared" si="186"/>
        <v>10045.200000000012</v>
      </c>
      <c r="BQ16" s="143" t="str">
        <f t="shared" si="187"/>
        <v>Positive Margin</v>
      </c>
      <c r="BR16" s="145" t="s">
        <v>289</v>
      </c>
      <c r="BS16" s="128">
        <f t="shared" si="188"/>
        <v>10045.200000000012</v>
      </c>
      <c r="BT16" s="146" t="str">
        <f t="shared" si="189"/>
        <v>Positive Margin at Inception</v>
      </c>
      <c r="BU16" s="147">
        <f t="shared" si="190"/>
        <v>5.2132701421801007E-2</v>
      </c>
      <c r="BV16" s="146" t="str">
        <f t="shared" si="191"/>
        <v>More than 2%</v>
      </c>
      <c r="BW16" s="128">
        <f t="shared" si="192"/>
        <v>0</v>
      </c>
      <c r="BX16" s="129">
        <f t="shared" si="193"/>
        <v>0</v>
      </c>
      <c r="BY16" s="128">
        <f t="shared" si="194"/>
        <v>0</v>
      </c>
      <c r="BZ16" s="148">
        <f t="shared" si="195"/>
        <v>0</v>
      </c>
      <c r="CA16" s="148">
        <f t="shared" si="196"/>
        <v>0</v>
      </c>
      <c r="CB16" s="130">
        <f t="shared" si="197"/>
        <v>0</v>
      </c>
      <c r="CC16" s="148" t="s">
        <v>222</v>
      </c>
      <c r="CD16" s="130">
        <v>0</v>
      </c>
      <c r="CE16" s="130" t="str">
        <f t="shared" si="198"/>
        <v>Jun-26</v>
      </c>
      <c r="CF16" s="130">
        <f t="shared" si="199"/>
        <v>182640</v>
      </c>
      <c r="CG16" s="130">
        <f t="shared" si="200"/>
        <v>192685.2</v>
      </c>
      <c r="CH16" s="130">
        <f t="shared" si="201"/>
        <v>11</v>
      </c>
      <c r="CI16" s="149" t="s">
        <v>223</v>
      </c>
      <c r="CJ16" s="130" t="s">
        <v>223</v>
      </c>
      <c r="CK16" s="130">
        <v>0</v>
      </c>
      <c r="CL16" s="130">
        <f t="shared" si="202"/>
        <v>10045.200000000012</v>
      </c>
      <c r="CM16" s="130">
        <f t="shared" si="203"/>
        <v>10045.200000000012</v>
      </c>
      <c r="CN16" s="130">
        <f t="shared" si="204"/>
        <v>10045.200000000012</v>
      </c>
      <c r="CO16" s="130">
        <f t="shared" si="205"/>
        <v>227368.53599999999</v>
      </c>
      <c r="CP16" s="130">
        <f t="shared" si="206"/>
        <v>-215515.19999999998</v>
      </c>
      <c r="CQ16" s="130">
        <f t="shared" si="207"/>
        <v>0</v>
      </c>
      <c r="CR16" s="130">
        <f t="shared" si="208"/>
        <v>0</v>
      </c>
      <c r="CS16" s="130">
        <f t="shared" si="209"/>
        <v>11853.33600000001</v>
      </c>
      <c r="CT16" s="130" t="s">
        <v>214</v>
      </c>
      <c r="CU16" s="130" t="s">
        <v>214</v>
      </c>
      <c r="CV16" s="144" t="str">
        <f t="shared" si="210"/>
        <v>ANHPG0363J</v>
      </c>
      <c r="CW16" s="144" t="str">
        <f t="shared" si="211"/>
        <v>AAACM4154G</v>
      </c>
    </row>
    <row r="17" spans="2:101" s="151" customFormat="1" ht="11.9" customHeight="1" x14ac:dyDescent="0.3">
      <c r="B17" s="123" t="str">
        <f t="shared" ref="B17" si="212">"Q" &amp; IF(ROUNDUP(MONTH(D17)/3,0)-1=0,4,ROUNDUP(MONTH(D17)/3,0)-1)</f>
        <v>Q1</v>
      </c>
      <c r="C17" s="124" t="str">
        <f t="shared" ref="C17" si="213">TEXT(AN17,"mmm-yy")</f>
        <v>Jun-26</v>
      </c>
      <c r="D17" s="125">
        <v>46191</v>
      </c>
      <c r="E17" s="126" t="s">
        <v>458</v>
      </c>
      <c r="F17" s="126" t="s">
        <v>254</v>
      </c>
      <c r="G17" s="126" t="s">
        <v>279</v>
      </c>
      <c r="H17" s="127" t="s">
        <v>459</v>
      </c>
      <c r="I17" s="125">
        <v>46191</v>
      </c>
      <c r="J17" s="126" t="s">
        <v>460</v>
      </c>
      <c r="K17" s="125">
        <v>46191</v>
      </c>
      <c r="L17" s="126" t="s">
        <v>281</v>
      </c>
      <c r="M17" s="126" t="s">
        <v>461</v>
      </c>
      <c r="N17" s="127" t="s">
        <v>283</v>
      </c>
      <c r="O17" s="126">
        <v>15130</v>
      </c>
      <c r="P17" s="280">
        <v>12</v>
      </c>
      <c r="Q17" s="128">
        <f t="shared" ref="Q17" si="214">O17*P17</f>
        <v>181560</v>
      </c>
      <c r="R17" s="129">
        <v>0</v>
      </c>
      <c r="S17" s="128">
        <f t="shared" ref="S17" si="215">O17-R17</f>
        <v>15130</v>
      </c>
      <c r="T17" s="129">
        <v>0</v>
      </c>
      <c r="U17" s="130">
        <v>0</v>
      </c>
      <c r="V17" s="131">
        <v>0</v>
      </c>
      <c r="W17" s="130">
        <v>0</v>
      </c>
      <c r="X17" s="130">
        <v>0</v>
      </c>
      <c r="Y17" s="130">
        <v>0</v>
      </c>
      <c r="Z17" s="130">
        <v>0</v>
      </c>
      <c r="AA17" s="129">
        <v>0</v>
      </c>
      <c r="AB17" s="133">
        <f t="shared" ref="AB17" si="216">Y17+AA17+Z17</f>
        <v>0</v>
      </c>
      <c r="AC17" s="133">
        <v>0</v>
      </c>
      <c r="AD17" s="129">
        <v>0</v>
      </c>
      <c r="AE17" s="130">
        <v>0</v>
      </c>
      <c r="AF17" s="130">
        <v>0</v>
      </c>
      <c r="AG17" s="336">
        <v>0</v>
      </c>
      <c r="AH17" s="130">
        <v>0</v>
      </c>
      <c r="AI17" s="131">
        <v>0</v>
      </c>
      <c r="AJ17" s="130">
        <v>0</v>
      </c>
      <c r="AK17" s="130">
        <v>0</v>
      </c>
      <c r="AL17" s="130">
        <v>0</v>
      </c>
      <c r="AM17" s="134">
        <f t="shared" ref="AM17" si="217">Q17+AB17+AL17+AK17+AJ17+T17+AE17</f>
        <v>181560</v>
      </c>
      <c r="AN17" s="135">
        <v>46191</v>
      </c>
      <c r="AO17" s="136" t="s">
        <v>462</v>
      </c>
      <c r="AP17" s="137" t="s">
        <v>285</v>
      </c>
      <c r="AQ17" s="138" t="s">
        <v>239</v>
      </c>
      <c r="AR17" s="138" t="s">
        <v>221</v>
      </c>
      <c r="AS17" s="126" t="s">
        <v>356</v>
      </c>
      <c r="AT17" s="139" t="s">
        <v>287</v>
      </c>
      <c r="AU17" s="140" t="s">
        <v>288</v>
      </c>
      <c r="AV17" s="140" t="s">
        <v>240</v>
      </c>
      <c r="AW17" s="138">
        <v>15130</v>
      </c>
      <c r="AX17" s="326">
        <v>12.66</v>
      </c>
      <c r="AY17" s="138">
        <f t="shared" ref="AY17" si="218">AW17*AX17</f>
        <v>191545.8</v>
      </c>
      <c r="AZ17" s="141" t="b">
        <f t="shared" ref="AZ17" si="219">AW17=O17</f>
        <v>1</v>
      </c>
      <c r="BA17" s="128">
        <v>0</v>
      </c>
      <c r="BB17" s="142">
        <f t="shared" ref="BB17" si="220">AW17-BA17</f>
        <v>15130</v>
      </c>
      <c r="BC17" s="143">
        <v>0</v>
      </c>
      <c r="BD17" s="142" t="s">
        <v>115</v>
      </c>
      <c r="BE17" s="143">
        <v>0</v>
      </c>
      <c r="BF17" s="142">
        <v>0</v>
      </c>
      <c r="BG17" s="143">
        <v>0</v>
      </c>
      <c r="BH17" s="131">
        <v>0</v>
      </c>
      <c r="BI17" s="337">
        <v>0</v>
      </c>
      <c r="BJ17" s="131">
        <v>0</v>
      </c>
      <c r="BK17" s="128">
        <v>0</v>
      </c>
      <c r="BL17" s="138">
        <v>0</v>
      </c>
      <c r="BM17" s="138">
        <v>0</v>
      </c>
      <c r="BN17" s="144">
        <v>0</v>
      </c>
      <c r="BO17" s="129">
        <f t="shared" ref="BO17" si="221">AY17+BL17+BM17+BN17+BC17+BG17</f>
        <v>191545.8</v>
      </c>
      <c r="BP17" s="134">
        <f t="shared" ref="BP17" si="222">BO17-AM17</f>
        <v>9985.7999999999884</v>
      </c>
      <c r="BQ17" s="143" t="str">
        <f t="shared" ref="BQ17" si="223">IF(BP17&gt;=0,"Positive Margin","Negative Margin")</f>
        <v>Positive Margin</v>
      </c>
      <c r="BR17" s="145" t="s">
        <v>289</v>
      </c>
      <c r="BS17" s="128">
        <f t="shared" ref="BS17" si="224">AY17-Y17-Q17-AA17-T17+BC17</f>
        <v>9985.7999999999884</v>
      </c>
      <c r="BT17" s="146" t="str">
        <f t="shared" ref="BT17" si="225">IF(BS17&lt;0, "Negative Margin at Inception", "Positive Margin at Inception")</f>
        <v>Positive Margin at Inception</v>
      </c>
      <c r="BU17" s="147">
        <f t="shared" ref="BU17" si="226">IFERROR(BP17/BO17,"0")</f>
        <v>5.2132701421800889E-2</v>
      </c>
      <c r="BV17" s="146" t="str">
        <f t="shared" ref="BV17" si="227">IF(BU17&lt;1%,"Less Than 1%",IF(BU17&gt;2%,"More than 2%",IF(BU17&gt;=1%,"1% - 2%")))</f>
        <v>More than 2%</v>
      </c>
      <c r="BW17" s="128">
        <f t="shared" ref="BW17" si="228">BM17+BN17</f>
        <v>0</v>
      </c>
      <c r="BX17" s="129">
        <f t="shared" ref="BX17" si="229">AL17+AK17</f>
        <v>0</v>
      </c>
      <c r="BY17" s="128">
        <f t="shared" ref="BY17" si="230">BW17-BX17</f>
        <v>0</v>
      </c>
      <c r="BZ17" s="148">
        <f t="shared" ref="BZ17" si="231">BM17</f>
        <v>0</v>
      </c>
      <c r="CA17" s="148">
        <f t="shared" ref="CA17" si="232">AK17</f>
        <v>0</v>
      </c>
      <c r="CB17" s="130">
        <f t="shared" ref="CB17" si="233">BZ17-CA17</f>
        <v>0</v>
      </c>
      <c r="CC17" s="148" t="s">
        <v>222</v>
      </c>
      <c r="CD17" s="130">
        <v>0</v>
      </c>
      <c r="CE17" s="130" t="str">
        <f t="shared" ref="CE17" si="234">TEXT(AN17,"mmm-yy")</f>
        <v>Jun-26</v>
      </c>
      <c r="CF17" s="130">
        <f t="shared" ref="CF17" si="235">AM17-AL17-AA17</f>
        <v>181560</v>
      </c>
      <c r="CG17" s="130">
        <f t="shared" ref="CG17" si="236">BO17-BN17</f>
        <v>191545.8</v>
      </c>
      <c r="CH17" s="130">
        <f t="shared" ref="CH17" si="237">INT((D17- IF(MONTH(D17) &gt;= 4, DATE(YEAR(D17), 4, 1), DATE(YEAR(D17)-1, 4, 1))) / 7) + 1</f>
        <v>12</v>
      </c>
      <c r="CI17" s="149" t="s">
        <v>223</v>
      </c>
      <c r="CJ17" s="130" t="s">
        <v>223</v>
      </c>
      <c r="CK17" s="130">
        <v>0</v>
      </c>
      <c r="CL17" s="130">
        <f t="shared" ref="CL17" si="238">AY17-Q17</f>
        <v>9985.7999999999884</v>
      </c>
      <c r="CM17" s="130">
        <f t="shared" ref="CM17" si="239">CL17-Y17+Z17</f>
        <v>9985.7999999999884</v>
      </c>
      <c r="CN17" s="130">
        <f t="shared" ref="CN17" si="240">BO17-AM17</f>
        <v>9985.7999999999884</v>
      </c>
      <c r="CO17" s="130">
        <f t="shared" ref="CO17" si="241">AY17*118%</f>
        <v>226024.04399999997</v>
      </c>
      <c r="CP17" s="130">
        <f t="shared" ref="CP17" si="242">-Q17*118%</f>
        <v>-214240.8</v>
      </c>
      <c r="CQ17" s="130">
        <f t="shared" ref="CQ17" si="243">-BZ17*118%</f>
        <v>0</v>
      </c>
      <c r="CR17" s="130">
        <f t="shared" ref="CR17" si="244">-CA17*118%</f>
        <v>0</v>
      </c>
      <c r="CS17" s="130">
        <f t="shared" ref="CS17" si="245">SUM(CO17:CR17)</f>
        <v>11783.243999999977</v>
      </c>
      <c r="CT17" s="130" t="s">
        <v>214</v>
      </c>
      <c r="CU17" s="130" t="s">
        <v>214</v>
      </c>
      <c r="CV17" s="144" t="str">
        <f t="shared" ref="CV17" si="246">MID(G17,3,10)</f>
        <v>ANHPG0363J</v>
      </c>
      <c r="CW17" s="144" t="str">
        <f t="shared" ref="CW17" si="247">MID(AR17,3,10)</f>
        <v>AAACM4154G</v>
      </c>
    </row>
    <row r="18" spans="2:101" s="151" customFormat="1" ht="11.9" customHeight="1" thickBot="1" x14ac:dyDescent="0.35">
      <c r="B18" s="123"/>
      <c r="C18" s="124"/>
      <c r="D18" s="125"/>
      <c r="E18" s="126"/>
      <c r="F18" s="126"/>
      <c r="G18" s="126"/>
      <c r="H18" s="127"/>
      <c r="I18" s="152"/>
      <c r="J18" s="153"/>
      <c r="K18" s="152"/>
      <c r="L18" s="153"/>
      <c r="M18" s="126"/>
      <c r="N18" s="127"/>
      <c r="O18" s="126"/>
      <c r="P18" s="127"/>
      <c r="Q18" s="128"/>
      <c r="R18" s="129"/>
      <c r="S18" s="128"/>
      <c r="T18" s="129"/>
      <c r="U18" s="130"/>
      <c r="V18" s="131"/>
      <c r="W18" s="130"/>
      <c r="X18" s="132"/>
      <c r="Y18" s="130"/>
      <c r="Z18" s="130"/>
      <c r="AA18" s="129"/>
      <c r="AB18" s="128"/>
      <c r="AC18" s="128"/>
      <c r="AD18" s="129"/>
      <c r="AE18" s="130"/>
      <c r="AF18" s="130"/>
      <c r="AG18" s="130"/>
      <c r="AH18" s="130"/>
      <c r="AI18" s="131"/>
      <c r="AJ18" s="130"/>
      <c r="AK18" s="130"/>
      <c r="AL18" s="130"/>
      <c r="AM18" s="134"/>
      <c r="AN18" s="135"/>
      <c r="AO18" s="136"/>
      <c r="AP18" s="137"/>
      <c r="AQ18" s="154"/>
      <c r="AR18" s="138"/>
      <c r="AS18" s="126"/>
      <c r="AT18" s="139"/>
      <c r="AU18" s="140"/>
      <c r="AV18" s="140"/>
      <c r="AW18" s="138"/>
      <c r="AX18" s="140"/>
      <c r="AY18" s="138"/>
      <c r="AZ18" s="141"/>
      <c r="BA18" s="128"/>
      <c r="BB18" s="142"/>
      <c r="BC18" s="143"/>
      <c r="BD18" s="142"/>
      <c r="BE18" s="143"/>
      <c r="BF18" s="142"/>
      <c r="BG18" s="143"/>
      <c r="BH18" s="130"/>
      <c r="BI18" s="133"/>
      <c r="BJ18" s="131"/>
      <c r="BK18" s="128"/>
      <c r="BL18" s="138"/>
      <c r="BM18" s="154"/>
      <c r="BN18" s="155"/>
      <c r="BO18" s="129"/>
      <c r="BP18" s="134"/>
      <c r="BQ18" s="143"/>
      <c r="BR18" s="145"/>
      <c r="BS18" s="128"/>
      <c r="BT18" s="146"/>
      <c r="BU18" s="147"/>
      <c r="BV18" s="146"/>
      <c r="BW18" s="128"/>
      <c r="BX18" s="129"/>
      <c r="BY18" s="128"/>
      <c r="BZ18" s="148"/>
      <c r="CA18" s="148"/>
      <c r="CB18" s="130"/>
      <c r="CC18" s="148"/>
      <c r="CD18" s="130"/>
      <c r="CE18" s="130"/>
      <c r="CF18" s="130"/>
      <c r="CG18" s="130"/>
      <c r="CH18" s="130"/>
      <c r="CI18" s="149"/>
      <c r="CJ18" s="130"/>
      <c r="CK18" s="130"/>
      <c r="CL18" s="130"/>
      <c r="CM18" s="130"/>
      <c r="CN18" s="130"/>
      <c r="CO18" s="130"/>
      <c r="CP18" s="130"/>
      <c r="CQ18" s="130"/>
      <c r="CR18" s="130"/>
      <c r="CS18" s="130"/>
      <c r="CT18" s="130"/>
      <c r="CU18" s="130"/>
      <c r="CV18" s="144"/>
      <c r="CW18" s="144"/>
    </row>
    <row r="19" spans="2:101" s="169" customFormat="1" ht="12.5" thickBot="1" x14ac:dyDescent="0.35">
      <c r="B19" s="156"/>
      <c r="C19" s="157"/>
      <c r="D19" s="157"/>
      <c r="E19" s="157"/>
      <c r="F19" s="158" t="s">
        <v>62</v>
      </c>
      <c r="G19" s="157"/>
      <c r="H19" s="157"/>
      <c r="I19" s="159"/>
      <c r="J19" s="157"/>
      <c r="K19" s="159"/>
      <c r="L19" s="158"/>
      <c r="M19" s="160"/>
      <c r="N19" s="161"/>
      <c r="O19" s="162">
        <f>SUBTOTAL(9,O5:O18)</f>
        <v>187870</v>
      </c>
      <c r="P19" s="163"/>
      <c r="Q19" s="162">
        <f>SUBTOTAL(9,Q5:Q18)</f>
        <v>1850605</v>
      </c>
      <c r="R19" s="162"/>
      <c r="S19" s="162">
        <f>SUBTOTAL(9,S5:S18)</f>
        <v>187870</v>
      </c>
      <c r="T19" s="162">
        <f>SUBTOTAL(9,T5:T18)</f>
        <v>0</v>
      </c>
      <c r="U19" s="164"/>
      <c r="V19" s="164"/>
      <c r="W19" s="165"/>
      <c r="X19" s="165"/>
      <c r="Y19" s="162">
        <f>SUBTOTAL(9,Y5:Y18)</f>
        <v>0</v>
      </c>
      <c r="Z19" s="162">
        <f>SUBTOTAL(9,Z5:Z18)</f>
        <v>0</v>
      </c>
      <c r="AA19" s="162">
        <f>SUBTOTAL(9,AA5:AA18)</f>
        <v>0</v>
      </c>
      <c r="AB19" s="162">
        <f>SUBTOTAL(9,AB5:AB18)</f>
        <v>0</v>
      </c>
      <c r="AC19" s="162">
        <f>SUBTOTAL(9,AC5:AC18)</f>
        <v>0</v>
      </c>
      <c r="AD19" s="162">
        <f>SUBTOTAL(1,AD5:AD18)</f>
        <v>0</v>
      </c>
      <c r="AE19" s="162">
        <f>SUBTOTAL(9,AE5:AE18)</f>
        <v>0</v>
      </c>
      <c r="AF19" s="157"/>
      <c r="AG19" s="157"/>
      <c r="AH19" s="166"/>
      <c r="AI19" s="166"/>
      <c r="AJ19" s="162">
        <f>SUBTOTAL(9,AJ5:AJ18)</f>
        <v>0</v>
      </c>
      <c r="AK19" s="162">
        <f>SUBTOTAL(9,AK5:AK18)</f>
        <v>-575</v>
      </c>
      <c r="AL19" s="162">
        <f>SUBTOTAL(9,AL5:AL18)</f>
        <v>0</v>
      </c>
      <c r="AM19" s="162">
        <f>SUBTOTAL(9,AM5:AM18)</f>
        <v>1850030</v>
      </c>
      <c r="AN19" s="163"/>
      <c r="AO19" s="163"/>
      <c r="AP19" s="163"/>
      <c r="AQ19" s="162"/>
      <c r="AR19" s="162"/>
      <c r="AS19" s="160"/>
      <c r="AT19" s="162"/>
      <c r="AU19" s="163"/>
      <c r="AV19" s="163"/>
      <c r="AW19" s="162">
        <f>SUBTOTAL(9,AW5:AW18)</f>
        <v>187870</v>
      </c>
      <c r="AX19" s="162">
        <f>SUBTOTAL(101,AX5:AX18)</f>
        <v>10.109230769230768</v>
      </c>
      <c r="AY19" s="162">
        <f>SUBTOTAL(9,AY5:AY18)</f>
        <v>2026753.6</v>
      </c>
      <c r="AZ19" s="162"/>
      <c r="BA19" s="162">
        <f>SUBTOTAL(9,BA5:BA18)</f>
        <v>0</v>
      </c>
      <c r="BB19" s="162">
        <f>SUBTOTAL(9,BB5:BB18)</f>
        <v>187870</v>
      </c>
      <c r="BC19" s="162">
        <f>SUBTOTAL(9,BC5:BC18)</f>
        <v>0</v>
      </c>
      <c r="BD19" s="162"/>
      <c r="BE19" s="162"/>
      <c r="BF19" s="162"/>
      <c r="BG19" s="162">
        <f>SUBTOTAL(9,BG5:BG18)</f>
        <v>0</v>
      </c>
      <c r="BH19" s="163"/>
      <c r="BI19" s="163"/>
      <c r="BJ19" s="163"/>
      <c r="BK19" s="163"/>
      <c r="BL19" s="162">
        <f>SUBTOTAL(9,BL5:BL18)</f>
        <v>0</v>
      </c>
      <c r="BM19" s="162">
        <f>SUBTOTAL(9,BM5:BM18)</f>
        <v>-700</v>
      </c>
      <c r="BN19" s="162">
        <f>SUBTOTAL(9,BN5:BN18)</f>
        <v>0</v>
      </c>
      <c r="BO19" s="162">
        <f>SUBTOTAL(9,BO5:BO18)</f>
        <v>2026053.6</v>
      </c>
      <c r="BP19" s="162">
        <f>SUBTOTAL(9,BP5:BP18)</f>
        <v>176023.59999999998</v>
      </c>
      <c r="BQ19" s="162"/>
      <c r="BR19" s="162"/>
      <c r="BS19" s="162">
        <f>SUBTOTAL(9,BS5:BS18)</f>
        <v>176148.59999999998</v>
      </c>
      <c r="BT19" s="162"/>
      <c r="BU19" s="162"/>
      <c r="BV19" s="157"/>
      <c r="BW19" s="162">
        <f t="shared" ref="BW19:CB19" si="248">SUBTOTAL(9,BV1:BV18)</f>
        <v>0</v>
      </c>
      <c r="BX19" s="162">
        <f t="shared" si="248"/>
        <v>-700</v>
      </c>
      <c r="BY19" s="162">
        <f t="shared" si="248"/>
        <v>-575</v>
      </c>
      <c r="BZ19" s="162">
        <f t="shared" si="248"/>
        <v>-125</v>
      </c>
      <c r="CA19" s="162">
        <f t="shared" si="248"/>
        <v>-700</v>
      </c>
      <c r="CB19" s="167">
        <f t="shared" si="248"/>
        <v>-575</v>
      </c>
      <c r="CC19" s="158"/>
      <c r="CD19" s="167"/>
      <c r="CE19" s="167"/>
      <c r="CF19" s="167">
        <f>SUBTOTAL(9,CE1:CE18)</f>
        <v>0</v>
      </c>
      <c r="CG19" s="167">
        <f>SUBTOTAL(9,CF1:CF18)</f>
        <v>1850030</v>
      </c>
      <c r="CH19" s="167"/>
      <c r="CI19" s="168"/>
      <c r="CJ19" s="167"/>
      <c r="CK19" s="167"/>
      <c r="CL19" s="167">
        <f t="shared" ref="CL19:CS19" si="249">SUBTOTAL(9,CK1:CK18)</f>
        <v>0</v>
      </c>
      <c r="CM19" s="167">
        <f t="shared" si="249"/>
        <v>176148.59999999998</v>
      </c>
      <c r="CN19" s="167">
        <f t="shared" si="249"/>
        <v>176148.59999999998</v>
      </c>
      <c r="CO19" s="167">
        <f t="shared" si="249"/>
        <v>176023.59999999998</v>
      </c>
      <c r="CP19" s="167">
        <f t="shared" si="249"/>
        <v>2391569.2479999992</v>
      </c>
      <c r="CQ19" s="167">
        <f t="shared" si="249"/>
        <v>-2183713.9</v>
      </c>
      <c r="CR19" s="167">
        <f t="shared" si="249"/>
        <v>826</v>
      </c>
      <c r="CS19" s="167">
        <f t="shared" si="249"/>
        <v>678.5</v>
      </c>
      <c r="CT19" s="167"/>
      <c r="CU19" s="167"/>
      <c r="CV19" s="167"/>
      <c r="CW19" s="167"/>
    </row>
    <row r="20" spans="2:101" s="170" customFormat="1" ht="12.5" thickBot="1" x14ac:dyDescent="0.35">
      <c r="D20" s="151"/>
      <c r="E20" s="171"/>
      <c r="F20" s="172"/>
      <c r="G20" s="171"/>
      <c r="H20" s="171"/>
      <c r="I20" s="173"/>
      <c r="J20" s="151"/>
      <c r="K20" s="173"/>
      <c r="L20" s="174"/>
      <c r="M20" s="174"/>
      <c r="N20" s="175">
        <f>O19-AW19</f>
        <v>0</v>
      </c>
      <c r="O20" s="176"/>
      <c r="P20" s="177">
        <f>Q19+AK19+AJ19+AL19+T19+AE19</f>
        <v>1850030</v>
      </c>
      <c r="Q20" s="178"/>
      <c r="R20" s="178"/>
      <c r="S20" s="178"/>
      <c r="T20" s="178"/>
      <c r="U20" s="174"/>
      <c r="V20" s="150"/>
      <c r="W20" s="150"/>
      <c r="X20" s="172"/>
      <c r="Y20" s="178"/>
      <c r="Z20" s="178"/>
      <c r="AA20" s="178">
        <f>AB19/AY19</f>
        <v>0</v>
      </c>
      <c r="AB20" s="178"/>
      <c r="AC20" s="178"/>
      <c r="AD20" s="179"/>
      <c r="AE20" s="179"/>
      <c r="AF20" s="180"/>
      <c r="AG20" s="180"/>
      <c r="AH20" s="172"/>
      <c r="AI20" s="178"/>
      <c r="AJ20" s="178"/>
      <c r="AK20" s="178"/>
      <c r="AL20" s="151"/>
      <c r="AM20" s="179"/>
      <c r="AN20" s="151"/>
      <c r="AO20" s="151"/>
      <c r="AP20" s="151"/>
      <c r="AQ20" s="151"/>
      <c r="AR20" s="18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82">
        <f>BK21/AY19</f>
        <v>0</v>
      </c>
      <c r="BL20" s="182"/>
      <c r="BM20" s="151"/>
      <c r="BN20" s="183">
        <f>BP19/BO19</f>
        <v>8.6880031209440836E-2</v>
      </c>
      <c r="BO20" s="178"/>
      <c r="BP20" s="151"/>
      <c r="BQ20" s="172"/>
      <c r="BR20" s="184">
        <f>BS19/AY19</f>
        <v>8.6911699577097073E-2</v>
      </c>
      <c r="BS20" s="178"/>
      <c r="BV20" s="151"/>
      <c r="BW20" s="178"/>
      <c r="BX20" s="218" t="e">
        <f>BX19/BW19</f>
        <v>#DIV/0!</v>
      </c>
      <c r="BY20" s="151"/>
      <c r="BZ20" s="151"/>
      <c r="CA20" s="219">
        <f>IFERROR(CA19/BZ19,0)</f>
        <v>5.6</v>
      </c>
      <c r="CB20" s="171"/>
      <c r="CC20" s="186"/>
      <c r="CD20" s="186" t="s">
        <v>167</v>
      </c>
      <c r="CE20" s="220">
        <f>CF19*118%</f>
        <v>0</v>
      </c>
      <c r="CF20" s="220">
        <f>CG19*118%</f>
        <v>2183035.4</v>
      </c>
      <c r="CH20" s="172"/>
      <c r="CW20" s="151"/>
    </row>
    <row r="21" spans="2:101" s="170" customFormat="1" ht="12" x14ac:dyDescent="0.3">
      <c r="D21" s="171"/>
      <c r="E21" s="171"/>
      <c r="F21" s="172"/>
      <c r="G21" s="171"/>
      <c r="H21" s="171"/>
      <c r="I21" s="173"/>
      <c r="J21" s="151"/>
      <c r="K21" s="173"/>
      <c r="L21" s="174"/>
      <c r="M21" s="172"/>
      <c r="N21" s="176"/>
      <c r="O21" s="176"/>
      <c r="P21" s="177"/>
      <c r="Q21" s="178"/>
      <c r="R21" s="178"/>
      <c r="S21" s="178"/>
      <c r="T21" s="178"/>
      <c r="U21" s="174"/>
      <c r="V21" s="150"/>
      <c r="W21" s="150"/>
      <c r="X21" s="172"/>
      <c r="Y21" s="178"/>
      <c r="Z21" s="178"/>
      <c r="AA21" s="151"/>
      <c r="AB21" s="151"/>
      <c r="AC21" s="187">
        <f>+AL19+AK19</f>
        <v>-575</v>
      </c>
      <c r="AD21" s="179"/>
      <c r="AE21" s="179"/>
      <c r="AF21" s="180"/>
      <c r="AG21" s="180"/>
      <c r="AH21" s="172"/>
      <c r="AI21" s="178"/>
      <c r="AJ21" s="188"/>
      <c r="AK21" s="188"/>
      <c r="AL21" s="151"/>
      <c r="AM21" s="179"/>
      <c r="AN21" s="151"/>
      <c r="AO21" s="151"/>
      <c r="AP21" s="151"/>
      <c r="AQ21" s="151"/>
      <c r="AR21" s="189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86"/>
      <c r="BK21" s="186"/>
      <c r="BL21" s="190"/>
      <c r="BM21" s="191"/>
      <c r="BN21" s="178"/>
      <c r="BO21" s="178"/>
      <c r="BP21" s="151"/>
      <c r="BQ21" s="172"/>
      <c r="BR21" s="192"/>
      <c r="BS21" s="178"/>
      <c r="BV21" s="151"/>
      <c r="BW21" s="178"/>
      <c r="BX21" s="172"/>
      <c r="BY21" s="151"/>
      <c r="BZ21" s="151"/>
      <c r="CA21" s="151"/>
      <c r="CB21" s="171"/>
      <c r="CC21" s="151"/>
      <c r="CD21" s="151"/>
      <c r="CH21" s="172"/>
    </row>
    <row r="22" spans="2:101" s="170" customFormat="1" ht="12.5" thickBot="1" x14ac:dyDescent="0.35"/>
    <row r="23" spans="2:101" s="170" customFormat="1" ht="13.5" thickBot="1" x14ac:dyDescent="0.35">
      <c r="B23" s="115" t="s">
        <v>20</v>
      </c>
      <c r="C23" s="116" t="s">
        <v>19</v>
      </c>
      <c r="D23" s="115" t="s">
        <v>18</v>
      </c>
      <c r="E23" s="116" t="s">
        <v>171</v>
      </c>
      <c r="F23" s="116" t="s">
        <v>30</v>
      </c>
      <c r="G23" s="116" t="s">
        <v>21</v>
      </c>
      <c r="H23" s="117" t="s">
        <v>24</v>
      </c>
      <c r="I23" s="118" t="s">
        <v>25</v>
      </c>
      <c r="J23" s="116" t="s">
        <v>22</v>
      </c>
      <c r="K23" s="118" t="s">
        <v>23</v>
      </c>
      <c r="L23" s="116" t="s">
        <v>32</v>
      </c>
      <c r="M23" s="116" t="s">
        <v>34</v>
      </c>
      <c r="N23" s="117" t="s">
        <v>38</v>
      </c>
      <c r="O23" s="116" t="s">
        <v>40</v>
      </c>
      <c r="P23" s="117" t="s">
        <v>41</v>
      </c>
      <c r="Q23" s="116" t="s">
        <v>42</v>
      </c>
      <c r="R23" s="117" t="s">
        <v>111</v>
      </c>
      <c r="S23" s="116" t="s">
        <v>112</v>
      </c>
      <c r="T23" s="117" t="s">
        <v>105</v>
      </c>
      <c r="U23" s="116" t="s">
        <v>33</v>
      </c>
      <c r="V23" s="117" t="s">
        <v>35</v>
      </c>
      <c r="W23" s="116" t="s">
        <v>36</v>
      </c>
      <c r="X23" s="117" t="s">
        <v>37</v>
      </c>
      <c r="Y23" s="116" t="s">
        <v>43</v>
      </c>
      <c r="Z23" s="116" t="s">
        <v>67</v>
      </c>
      <c r="AA23" s="117" t="s">
        <v>44</v>
      </c>
      <c r="AB23" s="116" t="s">
        <v>45</v>
      </c>
      <c r="AC23" s="116" t="s">
        <v>218</v>
      </c>
      <c r="AD23" s="117" t="s">
        <v>46</v>
      </c>
      <c r="AE23" s="117" t="s">
        <v>113</v>
      </c>
      <c r="AF23" s="116" t="s">
        <v>26</v>
      </c>
      <c r="AG23" s="117" t="s">
        <v>27</v>
      </c>
      <c r="AH23" s="116" t="s">
        <v>28</v>
      </c>
      <c r="AI23" s="117" t="s">
        <v>29</v>
      </c>
      <c r="AJ23" s="116" t="s">
        <v>47</v>
      </c>
      <c r="AK23" s="116" t="s">
        <v>192</v>
      </c>
      <c r="AL23" s="116" t="s">
        <v>194</v>
      </c>
      <c r="AM23" s="116" t="s">
        <v>48</v>
      </c>
      <c r="AN23" s="117" t="s">
        <v>50</v>
      </c>
      <c r="AO23" s="116" t="s">
        <v>49</v>
      </c>
      <c r="AP23" s="117" t="s">
        <v>180</v>
      </c>
      <c r="AQ23" s="117" t="s">
        <v>51</v>
      </c>
      <c r="AR23" s="116" t="s">
        <v>146</v>
      </c>
      <c r="AS23" s="116" t="s">
        <v>31</v>
      </c>
      <c r="AT23" s="116" t="s">
        <v>52</v>
      </c>
      <c r="AU23" s="117" t="s">
        <v>53</v>
      </c>
      <c r="AV23" s="117" t="s">
        <v>290</v>
      </c>
      <c r="AW23" s="116" t="s">
        <v>54</v>
      </c>
      <c r="AX23" s="117" t="s">
        <v>55</v>
      </c>
      <c r="AY23" s="116" t="s">
        <v>56</v>
      </c>
      <c r="AZ23" s="117" t="s">
        <v>57</v>
      </c>
      <c r="BA23" s="116" t="s">
        <v>111</v>
      </c>
      <c r="BB23" s="117" t="s">
        <v>112</v>
      </c>
      <c r="BC23" s="116" t="s">
        <v>113</v>
      </c>
      <c r="BD23" s="117" t="s">
        <v>114</v>
      </c>
      <c r="BE23" s="116" t="s">
        <v>135</v>
      </c>
      <c r="BF23" s="117" t="s">
        <v>136</v>
      </c>
      <c r="BG23" s="116" t="s">
        <v>56</v>
      </c>
      <c r="BH23" s="116" t="s">
        <v>126</v>
      </c>
      <c r="BI23" s="116" t="s">
        <v>127</v>
      </c>
      <c r="BJ23" s="116" t="s">
        <v>128</v>
      </c>
      <c r="BK23" s="116" t="s">
        <v>129</v>
      </c>
      <c r="BL23" s="116" t="s">
        <v>131</v>
      </c>
      <c r="BM23" s="116" t="s">
        <v>191</v>
      </c>
      <c r="BN23" s="116" t="s">
        <v>193</v>
      </c>
      <c r="BO23" s="117" t="s">
        <v>58</v>
      </c>
      <c r="BP23" s="116" t="s">
        <v>59</v>
      </c>
      <c r="BQ23" s="116" t="s">
        <v>68</v>
      </c>
      <c r="BR23" s="117" t="s">
        <v>61</v>
      </c>
      <c r="BS23" s="116" t="s">
        <v>186</v>
      </c>
      <c r="BT23" s="119" t="s">
        <v>130</v>
      </c>
      <c r="BU23" s="116" t="s">
        <v>103</v>
      </c>
      <c r="BV23" s="116" t="s">
        <v>104</v>
      </c>
      <c r="BW23" s="116" t="s">
        <v>184</v>
      </c>
      <c r="BX23" s="116" t="s">
        <v>185</v>
      </c>
      <c r="BY23" s="116" t="s">
        <v>60</v>
      </c>
      <c r="BZ23" s="116" t="s">
        <v>124</v>
      </c>
      <c r="CA23" s="116" t="s">
        <v>125</v>
      </c>
      <c r="CB23" s="116" t="s">
        <v>60</v>
      </c>
      <c r="CC23" s="116" t="s">
        <v>39</v>
      </c>
      <c r="CD23" s="116" t="s">
        <v>159</v>
      </c>
      <c r="CE23" s="116" t="s">
        <v>19</v>
      </c>
      <c r="CF23" s="116" t="s">
        <v>165</v>
      </c>
      <c r="CG23" s="116" t="s">
        <v>150</v>
      </c>
      <c r="CH23" s="116" t="s">
        <v>176</v>
      </c>
      <c r="CI23" s="116" t="s">
        <v>158</v>
      </c>
      <c r="CJ23" s="116" t="s">
        <v>177</v>
      </c>
      <c r="CK23" s="120" t="s">
        <v>178</v>
      </c>
      <c r="CL23" s="121" t="s">
        <v>187</v>
      </c>
      <c r="CM23" s="120" t="s">
        <v>188</v>
      </c>
      <c r="CN23" s="120" t="s">
        <v>189</v>
      </c>
      <c r="CO23" s="120" t="s">
        <v>195</v>
      </c>
      <c r="CP23" s="120" t="s">
        <v>2</v>
      </c>
      <c r="CQ23" s="120" t="s">
        <v>196</v>
      </c>
      <c r="CR23" s="120" t="s">
        <v>197</v>
      </c>
      <c r="CS23" s="120" t="s">
        <v>59</v>
      </c>
      <c r="CT23" s="120" t="s">
        <v>212</v>
      </c>
      <c r="CU23" s="120" t="s">
        <v>213</v>
      </c>
      <c r="CV23" s="120" t="s">
        <v>168</v>
      </c>
      <c r="CW23" s="120" t="s">
        <v>169</v>
      </c>
    </row>
    <row r="24" spans="2:101" s="170" customFormat="1" ht="12" x14ac:dyDescent="0.3">
      <c r="B24" s="123" t="str">
        <f t="shared" ref="B24" si="250">"Q" &amp; IF(ROUNDUP(MONTH(D24)/3,0)-1=0,4,ROUNDUP(MONTH(D24)/3,0)-1)</f>
        <v>Q1</v>
      </c>
      <c r="C24" s="124" t="str">
        <f t="shared" ref="C24" si="251">TEXT(AN24,"mmm-yy")</f>
        <v>Apr-26</v>
      </c>
      <c r="D24" s="125">
        <v>46133</v>
      </c>
      <c r="E24" s="126" t="s">
        <v>240</v>
      </c>
      <c r="F24" s="126" t="s">
        <v>322</v>
      </c>
      <c r="G24" s="126" t="s">
        <v>323</v>
      </c>
      <c r="H24" s="127" t="s">
        <v>324</v>
      </c>
      <c r="I24" s="125">
        <v>46133</v>
      </c>
      <c r="J24" s="126" t="s">
        <v>325</v>
      </c>
      <c r="K24" s="125">
        <v>46133</v>
      </c>
      <c r="L24" s="126" t="s">
        <v>326</v>
      </c>
      <c r="M24" s="126" t="s">
        <v>240</v>
      </c>
      <c r="N24" s="127" t="s">
        <v>327</v>
      </c>
      <c r="O24" s="126">
        <v>4</v>
      </c>
      <c r="P24" s="280">
        <v>20000</v>
      </c>
      <c r="Q24" s="128">
        <f t="shared" ref="Q24:Q28" si="252">O24*P24</f>
        <v>80000</v>
      </c>
      <c r="R24" s="129">
        <v>0</v>
      </c>
      <c r="S24" s="128">
        <f t="shared" ref="S24" si="253">O24-R24</f>
        <v>4</v>
      </c>
      <c r="T24" s="129">
        <v>0</v>
      </c>
      <c r="U24" s="130">
        <v>0</v>
      </c>
      <c r="V24" s="131">
        <v>0</v>
      </c>
      <c r="W24" s="130">
        <v>0</v>
      </c>
      <c r="X24" s="130">
        <v>0</v>
      </c>
      <c r="Y24" s="130">
        <v>0</v>
      </c>
      <c r="Z24" s="130">
        <v>0</v>
      </c>
      <c r="AA24" s="129">
        <v>0</v>
      </c>
      <c r="AB24" s="133">
        <f t="shared" ref="AB24" si="254">Y24+AA24+Z24</f>
        <v>0</v>
      </c>
      <c r="AC24" s="133">
        <v>0</v>
      </c>
      <c r="AD24" s="129">
        <v>0</v>
      </c>
      <c r="AE24" s="130">
        <v>0</v>
      </c>
      <c r="AF24" s="130">
        <v>0</v>
      </c>
      <c r="AG24" s="336">
        <v>0</v>
      </c>
      <c r="AH24" s="130">
        <v>0</v>
      </c>
      <c r="AI24" s="131">
        <v>0</v>
      </c>
      <c r="AJ24" s="130">
        <v>0</v>
      </c>
      <c r="AK24" s="130">
        <v>0</v>
      </c>
      <c r="AL24" s="130">
        <v>0</v>
      </c>
      <c r="AM24" s="134">
        <f t="shared" ref="AM24" si="255">Q24+AB24+AL24+AK24+AJ24+T24+AE24</f>
        <v>80000</v>
      </c>
      <c r="AN24" s="135">
        <f>D24</f>
        <v>46133</v>
      </c>
      <c r="AO24" s="136">
        <v>0</v>
      </c>
      <c r="AP24" s="137">
        <v>0</v>
      </c>
      <c r="AQ24" s="138">
        <v>0</v>
      </c>
      <c r="AR24" s="138">
        <v>0</v>
      </c>
      <c r="AS24" s="126">
        <v>0</v>
      </c>
      <c r="AT24" s="139">
        <v>0</v>
      </c>
      <c r="AU24" s="140">
        <v>0</v>
      </c>
      <c r="AV24" s="140">
        <v>0</v>
      </c>
      <c r="AW24" s="138">
        <v>0</v>
      </c>
      <c r="AX24" s="326">
        <v>0</v>
      </c>
      <c r="AY24" s="138">
        <f t="shared" ref="AY24" si="256">AW24*AX24</f>
        <v>0</v>
      </c>
      <c r="AZ24" s="141" t="b">
        <f t="shared" ref="AZ24" si="257">AW24=O24</f>
        <v>0</v>
      </c>
      <c r="BA24" s="128">
        <v>0</v>
      </c>
      <c r="BB24" s="142">
        <f t="shared" ref="BB24" si="258">AW24-BA24</f>
        <v>0</v>
      </c>
      <c r="BC24" s="143">
        <v>0</v>
      </c>
      <c r="BD24" s="142" t="s">
        <v>115</v>
      </c>
      <c r="BE24" s="143">
        <v>0</v>
      </c>
      <c r="BF24" s="142">
        <v>0</v>
      </c>
      <c r="BG24" s="143">
        <v>0</v>
      </c>
      <c r="BH24" s="131">
        <v>0</v>
      </c>
      <c r="BI24" s="337">
        <v>0</v>
      </c>
      <c r="BJ24" s="131">
        <v>0</v>
      </c>
      <c r="BK24" s="128">
        <v>0</v>
      </c>
      <c r="BL24" s="138">
        <v>0</v>
      </c>
      <c r="BM24" s="138">
        <v>0</v>
      </c>
      <c r="BN24" s="144">
        <v>0</v>
      </c>
      <c r="BO24" s="129">
        <f t="shared" ref="BO24" si="259">AY24+BL24+BM24+BN24+BC24+BG24</f>
        <v>0</v>
      </c>
      <c r="BP24" s="134">
        <f>BO24-AM24</f>
        <v>-80000</v>
      </c>
      <c r="BQ24" s="143" t="str">
        <f t="shared" ref="BQ24" si="260">IF(BP24&gt;=0,"Positive Margin","Negative Margin")</f>
        <v>Negative Margin</v>
      </c>
      <c r="BR24" s="145" t="s">
        <v>289</v>
      </c>
      <c r="BS24" s="128">
        <f t="shared" ref="BS24" si="261">AY24-Y24-Q24-AA24-T24+BC24</f>
        <v>-80000</v>
      </c>
      <c r="BT24" s="146" t="str">
        <f t="shared" ref="BT24" si="262">IF(BS24&lt;0, "Negative Margin at Inception", "Positive Margin at Inception")</f>
        <v>Negative Margin at Inception</v>
      </c>
      <c r="BU24" s="147" t="str">
        <f t="shared" ref="BU24" si="263">IFERROR(BP24/BO24,"0")</f>
        <v>0</v>
      </c>
      <c r="BV24" s="146" t="str">
        <f t="shared" ref="BV24" si="264">IF(BU24&lt;1%,"Less Than 1%",IF(BU24&gt;2%,"More than 2%",IF(BU24&gt;=1%,"1% - 2%")))</f>
        <v>More than 2%</v>
      </c>
      <c r="BW24" s="128">
        <f t="shared" ref="BW24" si="265">BM24+BN24</f>
        <v>0</v>
      </c>
      <c r="BX24" s="129">
        <f t="shared" ref="BX24" si="266">AL24+AK24</f>
        <v>0</v>
      </c>
      <c r="BY24" s="128">
        <f t="shared" ref="BY24" si="267">BW24-BX24</f>
        <v>0</v>
      </c>
      <c r="BZ24" s="148">
        <f t="shared" ref="BZ24" si="268">BM24</f>
        <v>0</v>
      </c>
      <c r="CA24" s="148">
        <f t="shared" ref="CA24" si="269">AK24</f>
        <v>0</v>
      </c>
      <c r="CB24" s="130">
        <f t="shared" ref="CB24" si="270">BZ24-CA24</f>
        <v>0</v>
      </c>
      <c r="CC24" s="148" t="s">
        <v>222</v>
      </c>
      <c r="CD24" s="130">
        <v>0</v>
      </c>
      <c r="CE24" s="130" t="str">
        <f t="shared" ref="CE24" si="271">TEXT(AN24,"mmm-yy")</f>
        <v>Apr-26</v>
      </c>
      <c r="CF24" s="130">
        <f t="shared" ref="CF24" si="272">AM24-AL24-AA24</f>
        <v>80000</v>
      </c>
      <c r="CG24" s="130">
        <f t="shared" ref="CG24" si="273">BO24-BN24</f>
        <v>0</v>
      </c>
      <c r="CH24" s="130">
        <f t="shared" ref="CH24" si="274">INT((D24- IF(MONTH(D24) &gt;= 4, DATE(YEAR(D24), 4, 1), DATE(YEAR(D24)-1, 4, 1))) / 7) + 1</f>
        <v>3</v>
      </c>
      <c r="CI24" s="149" t="s">
        <v>223</v>
      </c>
      <c r="CJ24" s="130" t="s">
        <v>223</v>
      </c>
      <c r="CK24" s="130">
        <v>0</v>
      </c>
      <c r="CL24" s="130">
        <f t="shared" ref="CL24" si="275">AY24-Q24</f>
        <v>-80000</v>
      </c>
      <c r="CM24" s="130">
        <f t="shared" ref="CM24" si="276">CL24-Y24+Z24</f>
        <v>-80000</v>
      </c>
      <c r="CN24" s="130">
        <f t="shared" ref="CN24" si="277">BO24-AM24</f>
        <v>-80000</v>
      </c>
      <c r="CO24" s="130">
        <f t="shared" ref="CO24" si="278">AY24*118%</f>
        <v>0</v>
      </c>
      <c r="CP24" s="130">
        <f t="shared" ref="CP24" si="279">-Q24*118%</f>
        <v>-94400</v>
      </c>
      <c r="CQ24" s="130">
        <f t="shared" ref="CQ24" si="280">-BZ24*118%</f>
        <v>0</v>
      </c>
      <c r="CR24" s="130">
        <f t="shared" ref="CR24" si="281">-CA24*118%</f>
        <v>0</v>
      </c>
      <c r="CS24" s="130">
        <f t="shared" ref="CS24" si="282">SUM(CO24:CR24)</f>
        <v>-94400</v>
      </c>
      <c r="CT24" s="130" t="s">
        <v>214</v>
      </c>
      <c r="CU24" s="130" t="s">
        <v>214</v>
      </c>
      <c r="CV24" s="144" t="str">
        <f t="shared" ref="CV24" si="283">MID(G24,3,10)</f>
        <v>AAICT1418L</v>
      </c>
      <c r="CW24" s="144" t="str">
        <f t="shared" ref="CW24" si="284">MID(AR24,3,10)</f>
        <v/>
      </c>
    </row>
    <row r="25" spans="2:101" s="170" customFormat="1" ht="12" x14ac:dyDescent="0.3">
      <c r="B25" s="123" t="str">
        <f t="shared" ref="B25:B28" si="285">"Q" &amp; IF(ROUNDUP(MONTH(D25)/3,0)-1=0,4,ROUNDUP(MONTH(D25)/3,0)-1)</f>
        <v>Q1</v>
      </c>
      <c r="C25" s="124" t="str">
        <f t="shared" ref="C25:C28" si="286">TEXT(AN25,"mmm-yy")</f>
        <v>Apr-26</v>
      </c>
      <c r="D25" s="125">
        <v>46133</v>
      </c>
      <c r="E25" s="126" t="s">
        <v>240</v>
      </c>
      <c r="F25" s="126" t="s">
        <v>254</v>
      </c>
      <c r="G25" s="126" t="s">
        <v>279</v>
      </c>
      <c r="H25" s="127" t="s">
        <v>328</v>
      </c>
      <c r="I25" s="125">
        <v>46098</v>
      </c>
      <c r="J25" s="126" t="s">
        <v>329</v>
      </c>
      <c r="K25" s="125">
        <v>46133</v>
      </c>
      <c r="L25" s="126" t="s">
        <v>281</v>
      </c>
      <c r="M25" s="126" t="s">
        <v>240</v>
      </c>
      <c r="N25" s="127" t="s">
        <v>330</v>
      </c>
      <c r="O25" s="126">
        <v>1</v>
      </c>
      <c r="P25" s="280">
        <v>49905</v>
      </c>
      <c r="Q25" s="128">
        <f t="shared" si="252"/>
        <v>49905</v>
      </c>
      <c r="R25" s="129">
        <v>0</v>
      </c>
      <c r="S25" s="128">
        <f t="shared" ref="S25:S28" si="287">O25-R25</f>
        <v>1</v>
      </c>
      <c r="T25" s="129">
        <v>0</v>
      </c>
      <c r="U25" s="130">
        <v>0</v>
      </c>
      <c r="V25" s="131">
        <v>0</v>
      </c>
      <c r="W25" s="130">
        <v>0</v>
      </c>
      <c r="X25" s="130">
        <v>0</v>
      </c>
      <c r="Y25" s="130">
        <v>0</v>
      </c>
      <c r="Z25" s="130">
        <v>0</v>
      </c>
      <c r="AA25" s="129">
        <v>0</v>
      </c>
      <c r="AB25" s="133">
        <f t="shared" ref="AB25:AB28" si="288">Y25+AA25+Z25</f>
        <v>0</v>
      </c>
      <c r="AC25" s="133">
        <v>0</v>
      </c>
      <c r="AD25" s="129">
        <v>0</v>
      </c>
      <c r="AE25" s="130">
        <v>0</v>
      </c>
      <c r="AF25" s="130">
        <v>0</v>
      </c>
      <c r="AG25" s="336">
        <v>0</v>
      </c>
      <c r="AH25" s="130">
        <v>0</v>
      </c>
      <c r="AI25" s="131">
        <v>0</v>
      </c>
      <c r="AJ25" s="130">
        <v>0</v>
      </c>
      <c r="AK25" s="130">
        <v>0</v>
      </c>
      <c r="AL25" s="130">
        <v>0</v>
      </c>
      <c r="AM25" s="134">
        <f t="shared" ref="AM25:AM28" si="289">Q25+AB25+AL25+AK25+AJ25+T25+AE25</f>
        <v>49905</v>
      </c>
      <c r="AN25" s="135">
        <f t="shared" ref="AN25:AN28" si="290">D25</f>
        <v>46133</v>
      </c>
      <c r="AO25" s="136">
        <v>0</v>
      </c>
      <c r="AP25" s="137">
        <v>0</v>
      </c>
      <c r="AQ25" s="138">
        <v>0</v>
      </c>
      <c r="AR25" s="138">
        <v>0</v>
      </c>
      <c r="AS25" s="126">
        <v>0</v>
      </c>
      <c r="AT25" s="139">
        <v>0</v>
      </c>
      <c r="AU25" s="140">
        <v>0</v>
      </c>
      <c r="AV25" s="140">
        <v>0</v>
      </c>
      <c r="AW25" s="138">
        <v>0</v>
      </c>
      <c r="AX25" s="326">
        <v>0</v>
      </c>
      <c r="AY25" s="138">
        <f t="shared" ref="AY25:AY28" si="291">AW25*AX25</f>
        <v>0</v>
      </c>
      <c r="AZ25" s="141" t="b">
        <f t="shared" ref="AZ25:AZ28" si="292">AW25=O25</f>
        <v>0</v>
      </c>
      <c r="BA25" s="128">
        <v>0</v>
      </c>
      <c r="BB25" s="142">
        <f t="shared" ref="BB25:BB28" si="293">AW25-BA25</f>
        <v>0</v>
      </c>
      <c r="BC25" s="143">
        <v>0</v>
      </c>
      <c r="BD25" s="142" t="s">
        <v>115</v>
      </c>
      <c r="BE25" s="143">
        <v>0</v>
      </c>
      <c r="BF25" s="142">
        <v>0</v>
      </c>
      <c r="BG25" s="143">
        <v>0</v>
      </c>
      <c r="BH25" s="131">
        <v>0</v>
      </c>
      <c r="BI25" s="337">
        <v>0</v>
      </c>
      <c r="BJ25" s="131">
        <v>0</v>
      </c>
      <c r="BK25" s="128">
        <v>0</v>
      </c>
      <c r="BL25" s="138">
        <v>0</v>
      </c>
      <c r="BM25" s="138">
        <v>0</v>
      </c>
      <c r="BN25" s="144">
        <v>0</v>
      </c>
      <c r="BO25" s="129">
        <f t="shared" ref="BO25:BO28" si="294">AY25+BL25+BM25+BN25+BC25+BG25</f>
        <v>0</v>
      </c>
      <c r="BP25" s="134">
        <f t="shared" ref="BP25:BP28" si="295">BO25-AM25</f>
        <v>-49905</v>
      </c>
      <c r="BQ25" s="143" t="str">
        <f t="shared" ref="BQ25:BQ28" si="296">IF(BP25&gt;=0,"Positive Margin","Negative Margin")</f>
        <v>Negative Margin</v>
      </c>
      <c r="BR25" s="145" t="s">
        <v>289</v>
      </c>
      <c r="BS25" s="128">
        <f t="shared" ref="BS25:BS28" si="297">AY25-Y25-Q25-AA25-T25+BC25</f>
        <v>-49905</v>
      </c>
      <c r="BT25" s="146" t="str">
        <f t="shared" ref="BT25:BT28" si="298">IF(BS25&lt;0, "Negative Margin at Inception", "Positive Margin at Inception")</f>
        <v>Negative Margin at Inception</v>
      </c>
      <c r="BU25" s="147" t="str">
        <f t="shared" ref="BU25:BU28" si="299">IFERROR(BP25/BO25,"0")</f>
        <v>0</v>
      </c>
      <c r="BV25" s="146" t="str">
        <f t="shared" ref="BV25:BV28" si="300">IF(BU25&lt;1%,"Less Than 1%",IF(BU25&gt;2%,"More than 2%",IF(BU25&gt;=1%,"1% - 2%")))</f>
        <v>More than 2%</v>
      </c>
      <c r="BW25" s="128">
        <f t="shared" ref="BW25:BW28" si="301">BM25+BN25</f>
        <v>0</v>
      </c>
      <c r="BX25" s="129">
        <f t="shared" ref="BX25:BX28" si="302">AL25+AK25</f>
        <v>0</v>
      </c>
      <c r="BY25" s="128">
        <f t="shared" ref="BY25:BY28" si="303">BW25-BX25</f>
        <v>0</v>
      </c>
      <c r="BZ25" s="148">
        <f t="shared" ref="BZ25:BZ28" si="304">BM25</f>
        <v>0</v>
      </c>
      <c r="CA25" s="148">
        <f t="shared" ref="CA25:CA28" si="305">AK25</f>
        <v>0</v>
      </c>
      <c r="CB25" s="130">
        <f t="shared" ref="CB25:CB28" si="306">BZ25-CA25</f>
        <v>0</v>
      </c>
      <c r="CC25" s="148" t="s">
        <v>222</v>
      </c>
      <c r="CD25" s="130">
        <v>0</v>
      </c>
      <c r="CE25" s="130" t="str">
        <f t="shared" ref="CE25:CE28" si="307">TEXT(AN25,"mmm-yy")</f>
        <v>Apr-26</v>
      </c>
      <c r="CF25" s="130">
        <f t="shared" ref="CF25:CF28" si="308">AM25-AL25-AA25</f>
        <v>49905</v>
      </c>
      <c r="CG25" s="130">
        <f t="shared" ref="CG25:CG28" si="309">BO25-BN25</f>
        <v>0</v>
      </c>
      <c r="CH25" s="130">
        <f t="shared" ref="CH25:CH28" si="310">INT((D25- IF(MONTH(D25) &gt;= 4, DATE(YEAR(D25), 4, 1), DATE(YEAR(D25)-1, 4, 1))) / 7) + 1</f>
        <v>3</v>
      </c>
      <c r="CI25" s="149" t="s">
        <v>223</v>
      </c>
      <c r="CJ25" s="130" t="s">
        <v>223</v>
      </c>
      <c r="CK25" s="130">
        <v>0</v>
      </c>
      <c r="CL25" s="130">
        <f t="shared" ref="CL25:CL28" si="311">AY25-Q25</f>
        <v>-49905</v>
      </c>
      <c r="CM25" s="130">
        <f t="shared" ref="CM25:CM28" si="312">CL25-Y25+Z25</f>
        <v>-49905</v>
      </c>
      <c r="CN25" s="130">
        <f t="shared" ref="CN25:CN28" si="313">BO25-AM25</f>
        <v>-49905</v>
      </c>
      <c r="CO25" s="130">
        <f t="shared" ref="CO25:CO28" si="314">AY25*118%</f>
        <v>0</v>
      </c>
      <c r="CP25" s="130">
        <f t="shared" ref="CP25:CP28" si="315">-Q25*118%</f>
        <v>-58887.899999999994</v>
      </c>
      <c r="CQ25" s="130">
        <f t="shared" ref="CQ25:CQ28" si="316">-BZ25*118%</f>
        <v>0</v>
      </c>
      <c r="CR25" s="130">
        <f t="shared" ref="CR25:CR28" si="317">-CA25*118%</f>
        <v>0</v>
      </c>
      <c r="CS25" s="130">
        <f t="shared" ref="CS25:CS28" si="318">SUM(CO25:CR25)</f>
        <v>-58887.899999999994</v>
      </c>
      <c r="CT25" s="130" t="s">
        <v>214</v>
      </c>
      <c r="CU25" s="130" t="s">
        <v>214</v>
      </c>
      <c r="CV25" s="144" t="str">
        <f t="shared" ref="CV25:CV28" si="319">MID(G25,3,10)</f>
        <v>ANHPG0363J</v>
      </c>
      <c r="CW25" s="144" t="str">
        <f t="shared" ref="CW25:CW28" si="320">MID(AR25,3,10)</f>
        <v/>
      </c>
    </row>
    <row r="26" spans="2:101" s="170" customFormat="1" ht="12" x14ac:dyDescent="0.3">
      <c r="B26" s="123" t="str">
        <f t="shared" si="285"/>
        <v>Q1</v>
      </c>
      <c r="C26" s="124" t="str">
        <f t="shared" si="286"/>
        <v>Apr-26</v>
      </c>
      <c r="D26" s="125">
        <v>46133</v>
      </c>
      <c r="E26" s="126" t="s">
        <v>240</v>
      </c>
      <c r="F26" s="126" t="s">
        <v>254</v>
      </c>
      <c r="G26" s="126" t="s">
        <v>279</v>
      </c>
      <c r="H26" s="127" t="s">
        <v>331</v>
      </c>
      <c r="I26" s="125">
        <v>46098</v>
      </c>
      <c r="J26" s="126" t="s">
        <v>332</v>
      </c>
      <c r="K26" s="125">
        <v>46133</v>
      </c>
      <c r="L26" s="126" t="s">
        <v>281</v>
      </c>
      <c r="M26" s="126" t="s">
        <v>240</v>
      </c>
      <c r="N26" s="127" t="s">
        <v>333</v>
      </c>
      <c r="O26" s="126">
        <v>1</v>
      </c>
      <c r="P26" s="280">
        <v>133200</v>
      </c>
      <c r="Q26" s="128">
        <f t="shared" si="252"/>
        <v>133200</v>
      </c>
      <c r="R26" s="129">
        <v>0</v>
      </c>
      <c r="S26" s="128">
        <f t="shared" si="287"/>
        <v>1</v>
      </c>
      <c r="T26" s="129">
        <v>0</v>
      </c>
      <c r="U26" s="130">
        <v>0</v>
      </c>
      <c r="V26" s="131">
        <v>0</v>
      </c>
      <c r="W26" s="130">
        <v>0</v>
      </c>
      <c r="X26" s="130">
        <v>0</v>
      </c>
      <c r="Y26" s="130">
        <v>0</v>
      </c>
      <c r="Z26" s="130">
        <v>0</v>
      </c>
      <c r="AA26" s="129">
        <v>0</v>
      </c>
      <c r="AB26" s="133">
        <f t="shared" si="288"/>
        <v>0</v>
      </c>
      <c r="AC26" s="133">
        <v>0</v>
      </c>
      <c r="AD26" s="129">
        <v>0</v>
      </c>
      <c r="AE26" s="130">
        <v>0</v>
      </c>
      <c r="AF26" s="130">
        <v>0</v>
      </c>
      <c r="AG26" s="336">
        <v>0</v>
      </c>
      <c r="AH26" s="130">
        <v>0</v>
      </c>
      <c r="AI26" s="131">
        <v>0</v>
      </c>
      <c r="AJ26" s="130">
        <v>0</v>
      </c>
      <c r="AK26" s="130">
        <v>0</v>
      </c>
      <c r="AL26" s="130">
        <v>0</v>
      </c>
      <c r="AM26" s="134">
        <f t="shared" si="289"/>
        <v>133200</v>
      </c>
      <c r="AN26" s="135">
        <f t="shared" si="290"/>
        <v>46133</v>
      </c>
      <c r="AO26" s="136">
        <v>0</v>
      </c>
      <c r="AP26" s="137">
        <v>0</v>
      </c>
      <c r="AQ26" s="138">
        <v>0</v>
      </c>
      <c r="AR26" s="138">
        <v>0</v>
      </c>
      <c r="AS26" s="126">
        <v>0</v>
      </c>
      <c r="AT26" s="139">
        <v>0</v>
      </c>
      <c r="AU26" s="140">
        <v>0</v>
      </c>
      <c r="AV26" s="140">
        <v>0</v>
      </c>
      <c r="AW26" s="138">
        <v>0</v>
      </c>
      <c r="AX26" s="326">
        <v>0</v>
      </c>
      <c r="AY26" s="138">
        <f t="shared" si="291"/>
        <v>0</v>
      </c>
      <c r="AZ26" s="141" t="b">
        <f t="shared" si="292"/>
        <v>0</v>
      </c>
      <c r="BA26" s="128">
        <v>0</v>
      </c>
      <c r="BB26" s="142">
        <f t="shared" si="293"/>
        <v>0</v>
      </c>
      <c r="BC26" s="143">
        <v>0</v>
      </c>
      <c r="BD26" s="142" t="s">
        <v>115</v>
      </c>
      <c r="BE26" s="143">
        <v>0</v>
      </c>
      <c r="BF26" s="142">
        <v>0</v>
      </c>
      <c r="BG26" s="143">
        <v>0</v>
      </c>
      <c r="BH26" s="131">
        <v>0</v>
      </c>
      <c r="BI26" s="337">
        <v>0</v>
      </c>
      <c r="BJ26" s="131">
        <v>0</v>
      </c>
      <c r="BK26" s="128">
        <v>0</v>
      </c>
      <c r="BL26" s="138">
        <v>0</v>
      </c>
      <c r="BM26" s="138">
        <v>0</v>
      </c>
      <c r="BN26" s="144">
        <v>0</v>
      </c>
      <c r="BO26" s="129">
        <f t="shared" si="294"/>
        <v>0</v>
      </c>
      <c r="BP26" s="134">
        <f t="shared" si="295"/>
        <v>-133200</v>
      </c>
      <c r="BQ26" s="143" t="str">
        <f t="shared" si="296"/>
        <v>Negative Margin</v>
      </c>
      <c r="BR26" s="145" t="s">
        <v>289</v>
      </c>
      <c r="BS26" s="128">
        <f t="shared" si="297"/>
        <v>-133200</v>
      </c>
      <c r="BT26" s="146" t="str">
        <f t="shared" si="298"/>
        <v>Negative Margin at Inception</v>
      </c>
      <c r="BU26" s="147" t="str">
        <f t="shared" si="299"/>
        <v>0</v>
      </c>
      <c r="BV26" s="146" t="str">
        <f t="shared" si="300"/>
        <v>More than 2%</v>
      </c>
      <c r="BW26" s="128">
        <f t="shared" si="301"/>
        <v>0</v>
      </c>
      <c r="BX26" s="129">
        <f t="shared" si="302"/>
        <v>0</v>
      </c>
      <c r="BY26" s="128">
        <f t="shared" si="303"/>
        <v>0</v>
      </c>
      <c r="BZ26" s="148">
        <f t="shared" si="304"/>
        <v>0</v>
      </c>
      <c r="CA26" s="148">
        <f t="shared" si="305"/>
        <v>0</v>
      </c>
      <c r="CB26" s="130">
        <f t="shared" si="306"/>
        <v>0</v>
      </c>
      <c r="CC26" s="148" t="s">
        <v>222</v>
      </c>
      <c r="CD26" s="130">
        <v>0</v>
      </c>
      <c r="CE26" s="130" t="str">
        <f t="shared" si="307"/>
        <v>Apr-26</v>
      </c>
      <c r="CF26" s="130">
        <f t="shared" si="308"/>
        <v>133200</v>
      </c>
      <c r="CG26" s="130">
        <f t="shared" si="309"/>
        <v>0</v>
      </c>
      <c r="CH26" s="130">
        <f t="shared" si="310"/>
        <v>3</v>
      </c>
      <c r="CI26" s="149" t="s">
        <v>223</v>
      </c>
      <c r="CJ26" s="130" t="s">
        <v>223</v>
      </c>
      <c r="CK26" s="130">
        <v>0</v>
      </c>
      <c r="CL26" s="130">
        <f t="shared" si="311"/>
        <v>-133200</v>
      </c>
      <c r="CM26" s="130">
        <f t="shared" si="312"/>
        <v>-133200</v>
      </c>
      <c r="CN26" s="130">
        <f t="shared" si="313"/>
        <v>-133200</v>
      </c>
      <c r="CO26" s="130">
        <f t="shared" si="314"/>
        <v>0</v>
      </c>
      <c r="CP26" s="130">
        <f t="shared" si="315"/>
        <v>-157176</v>
      </c>
      <c r="CQ26" s="130">
        <f t="shared" si="316"/>
        <v>0</v>
      </c>
      <c r="CR26" s="130">
        <f t="shared" si="317"/>
        <v>0</v>
      </c>
      <c r="CS26" s="130">
        <f t="shared" si="318"/>
        <v>-157176</v>
      </c>
      <c r="CT26" s="130" t="s">
        <v>214</v>
      </c>
      <c r="CU26" s="130" t="s">
        <v>214</v>
      </c>
      <c r="CV26" s="144" t="str">
        <f t="shared" si="319"/>
        <v>ANHPG0363J</v>
      </c>
      <c r="CW26" s="144" t="str">
        <f t="shared" si="320"/>
        <v/>
      </c>
    </row>
    <row r="27" spans="2:101" s="170" customFormat="1" ht="12" x14ac:dyDescent="0.3">
      <c r="B27" s="123" t="str">
        <f t="shared" si="285"/>
        <v>Q1</v>
      </c>
      <c r="C27" s="124" t="str">
        <f t="shared" si="286"/>
        <v>Apr-26</v>
      </c>
      <c r="D27" s="125">
        <v>46136</v>
      </c>
      <c r="E27" s="126" t="s">
        <v>240</v>
      </c>
      <c r="F27" s="126" t="s">
        <v>254</v>
      </c>
      <c r="G27" s="126" t="s">
        <v>279</v>
      </c>
      <c r="H27" s="127" t="s">
        <v>251</v>
      </c>
      <c r="I27" s="125">
        <v>46136</v>
      </c>
      <c r="J27" s="126" t="s">
        <v>334</v>
      </c>
      <c r="K27" s="125">
        <v>46136</v>
      </c>
      <c r="L27" s="126" t="s">
        <v>281</v>
      </c>
      <c r="M27" s="126" t="s">
        <v>240</v>
      </c>
      <c r="N27" s="127" t="s">
        <v>335</v>
      </c>
      <c r="O27" s="126">
        <v>3810</v>
      </c>
      <c r="P27" s="280">
        <v>7.1</v>
      </c>
      <c r="Q27" s="128">
        <f t="shared" si="252"/>
        <v>27051</v>
      </c>
      <c r="R27" s="129">
        <v>0</v>
      </c>
      <c r="S27" s="128">
        <f t="shared" si="287"/>
        <v>3810</v>
      </c>
      <c r="T27" s="129">
        <v>0</v>
      </c>
      <c r="U27" s="130">
        <v>0</v>
      </c>
      <c r="V27" s="131">
        <v>0</v>
      </c>
      <c r="W27" s="130">
        <v>0</v>
      </c>
      <c r="X27" s="130">
        <v>0</v>
      </c>
      <c r="Y27" s="130">
        <v>0</v>
      </c>
      <c r="Z27" s="130">
        <v>0</v>
      </c>
      <c r="AA27" s="129">
        <v>0</v>
      </c>
      <c r="AB27" s="133">
        <f t="shared" si="288"/>
        <v>0</v>
      </c>
      <c r="AC27" s="133">
        <v>0</v>
      </c>
      <c r="AD27" s="129">
        <v>0</v>
      </c>
      <c r="AE27" s="130">
        <v>0</v>
      </c>
      <c r="AF27" s="130">
        <v>0</v>
      </c>
      <c r="AG27" s="336">
        <v>0</v>
      </c>
      <c r="AH27" s="130">
        <v>0</v>
      </c>
      <c r="AI27" s="131">
        <v>0</v>
      </c>
      <c r="AJ27" s="130">
        <v>0</v>
      </c>
      <c r="AK27" s="130">
        <v>0</v>
      </c>
      <c r="AL27" s="130">
        <v>0</v>
      </c>
      <c r="AM27" s="134">
        <f t="shared" si="289"/>
        <v>27051</v>
      </c>
      <c r="AN27" s="135">
        <f t="shared" si="290"/>
        <v>46136</v>
      </c>
      <c r="AO27" s="136">
        <v>0</v>
      </c>
      <c r="AP27" s="137">
        <v>0</v>
      </c>
      <c r="AQ27" s="138">
        <v>0</v>
      </c>
      <c r="AR27" s="138">
        <v>0</v>
      </c>
      <c r="AS27" s="126">
        <v>0</v>
      </c>
      <c r="AT27" s="139">
        <v>0</v>
      </c>
      <c r="AU27" s="140">
        <v>0</v>
      </c>
      <c r="AV27" s="140">
        <v>0</v>
      </c>
      <c r="AW27" s="138">
        <v>0</v>
      </c>
      <c r="AX27" s="326">
        <v>0</v>
      </c>
      <c r="AY27" s="138">
        <f t="shared" si="291"/>
        <v>0</v>
      </c>
      <c r="AZ27" s="141" t="b">
        <f t="shared" si="292"/>
        <v>0</v>
      </c>
      <c r="BA27" s="128">
        <v>0</v>
      </c>
      <c r="BB27" s="142">
        <f t="shared" si="293"/>
        <v>0</v>
      </c>
      <c r="BC27" s="143">
        <v>0</v>
      </c>
      <c r="BD27" s="142" t="s">
        <v>115</v>
      </c>
      <c r="BE27" s="143">
        <v>0</v>
      </c>
      <c r="BF27" s="142">
        <v>0</v>
      </c>
      <c r="BG27" s="143">
        <v>0</v>
      </c>
      <c r="BH27" s="131">
        <v>0</v>
      </c>
      <c r="BI27" s="337">
        <v>0</v>
      </c>
      <c r="BJ27" s="131">
        <v>0</v>
      </c>
      <c r="BK27" s="128">
        <v>0</v>
      </c>
      <c r="BL27" s="138">
        <v>0</v>
      </c>
      <c r="BM27" s="138">
        <v>0</v>
      </c>
      <c r="BN27" s="144">
        <v>0</v>
      </c>
      <c r="BO27" s="129">
        <f t="shared" si="294"/>
        <v>0</v>
      </c>
      <c r="BP27" s="134">
        <f t="shared" si="295"/>
        <v>-27051</v>
      </c>
      <c r="BQ27" s="143" t="str">
        <f t="shared" si="296"/>
        <v>Negative Margin</v>
      </c>
      <c r="BR27" s="145" t="s">
        <v>289</v>
      </c>
      <c r="BS27" s="128">
        <f t="shared" si="297"/>
        <v>-27051</v>
      </c>
      <c r="BT27" s="146" t="str">
        <f t="shared" si="298"/>
        <v>Negative Margin at Inception</v>
      </c>
      <c r="BU27" s="147" t="str">
        <f t="shared" si="299"/>
        <v>0</v>
      </c>
      <c r="BV27" s="146" t="str">
        <f t="shared" si="300"/>
        <v>More than 2%</v>
      </c>
      <c r="BW27" s="128">
        <f t="shared" si="301"/>
        <v>0</v>
      </c>
      <c r="BX27" s="129">
        <f t="shared" si="302"/>
        <v>0</v>
      </c>
      <c r="BY27" s="128">
        <f t="shared" si="303"/>
        <v>0</v>
      </c>
      <c r="BZ27" s="148">
        <f t="shared" si="304"/>
        <v>0</v>
      </c>
      <c r="CA27" s="148">
        <f t="shared" si="305"/>
        <v>0</v>
      </c>
      <c r="CB27" s="130">
        <f t="shared" si="306"/>
        <v>0</v>
      </c>
      <c r="CC27" s="148" t="s">
        <v>222</v>
      </c>
      <c r="CD27" s="130">
        <v>0</v>
      </c>
      <c r="CE27" s="130" t="str">
        <f t="shared" si="307"/>
        <v>Apr-26</v>
      </c>
      <c r="CF27" s="130">
        <f t="shared" si="308"/>
        <v>27051</v>
      </c>
      <c r="CG27" s="130">
        <f t="shared" si="309"/>
        <v>0</v>
      </c>
      <c r="CH27" s="130">
        <f t="shared" si="310"/>
        <v>4</v>
      </c>
      <c r="CI27" s="149" t="s">
        <v>223</v>
      </c>
      <c r="CJ27" s="130" t="s">
        <v>223</v>
      </c>
      <c r="CK27" s="130">
        <v>0</v>
      </c>
      <c r="CL27" s="130">
        <f t="shared" si="311"/>
        <v>-27051</v>
      </c>
      <c r="CM27" s="130">
        <f t="shared" si="312"/>
        <v>-27051</v>
      </c>
      <c r="CN27" s="130">
        <f t="shared" si="313"/>
        <v>-27051</v>
      </c>
      <c r="CO27" s="130">
        <f t="shared" si="314"/>
        <v>0</v>
      </c>
      <c r="CP27" s="130">
        <f t="shared" si="315"/>
        <v>-31920.179999999997</v>
      </c>
      <c r="CQ27" s="130">
        <f t="shared" si="316"/>
        <v>0</v>
      </c>
      <c r="CR27" s="130">
        <f t="shared" si="317"/>
        <v>0</v>
      </c>
      <c r="CS27" s="130">
        <f t="shared" si="318"/>
        <v>-31920.179999999997</v>
      </c>
      <c r="CT27" s="130" t="s">
        <v>214</v>
      </c>
      <c r="CU27" s="130" t="s">
        <v>214</v>
      </c>
      <c r="CV27" s="144" t="str">
        <f t="shared" si="319"/>
        <v>ANHPG0363J</v>
      </c>
      <c r="CW27" s="144" t="str">
        <f t="shared" si="320"/>
        <v/>
      </c>
    </row>
    <row r="28" spans="2:101" s="170" customFormat="1" ht="12" x14ac:dyDescent="0.3">
      <c r="B28" s="123" t="str">
        <f t="shared" si="285"/>
        <v>Q1</v>
      </c>
      <c r="C28" s="124" t="str">
        <f t="shared" si="286"/>
        <v>Apr-26</v>
      </c>
      <c r="D28" s="125">
        <v>46136</v>
      </c>
      <c r="E28" s="126" t="s">
        <v>240</v>
      </c>
      <c r="F28" s="126" t="s">
        <v>254</v>
      </c>
      <c r="G28" s="126" t="s">
        <v>279</v>
      </c>
      <c r="H28" s="127" t="s">
        <v>257</v>
      </c>
      <c r="I28" s="125">
        <v>46136</v>
      </c>
      <c r="J28" s="126" t="s">
        <v>336</v>
      </c>
      <c r="K28" s="125">
        <v>46136</v>
      </c>
      <c r="L28" s="126" t="s">
        <v>281</v>
      </c>
      <c r="M28" s="126" t="s">
        <v>240</v>
      </c>
      <c r="N28" s="127" t="s">
        <v>337</v>
      </c>
      <c r="O28" s="126">
        <v>950</v>
      </c>
      <c r="P28" s="280">
        <v>45</v>
      </c>
      <c r="Q28" s="128">
        <f t="shared" si="252"/>
        <v>42750</v>
      </c>
      <c r="R28" s="129">
        <v>0</v>
      </c>
      <c r="S28" s="128">
        <f t="shared" si="287"/>
        <v>950</v>
      </c>
      <c r="T28" s="129">
        <v>0</v>
      </c>
      <c r="U28" s="130">
        <v>0</v>
      </c>
      <c r="V28" s="131">
        <v>0</v>
      </c>
      <c r="W28" s="130">
        <v>0</v>
      </c>
      <c r="X28" s="130">
        <v>0</v>
      </c>
      <c r="Y28" s="130">
        <v>0</v>
      </c>
      <c r="Z28" s="130">
        <v>0</v>
      </c>
      <c r="AA28" s="129">
        <v>0</v>
      </c>
      <c r="AB28" s="133">
        <f t="shared" si="288"/>
        <v>0</v>
      </c>
      <c r="AC28" s="133">
        <v>0</v>
      </c>
      <c r="AD28" s="129">
        <v>0</v>
      </c>
      <c r="AE28" s="130">
        <v>0</v>
      </c>
      <c r="AF28" s="130">
        <v>0</v>
      </c>
      <c r="AG28" s="336">
        <v>0</v>
      </c>
      <c r="AH28" s="130">
        <v>0</v>
      </c>
      <c r="AI28" s="131">
        <v>0</v>
      </c>
      <c r="AJ28" s="130">
        <v>0</v>
      </c>
      <c r="AK28" s="130">
        <v>0</v>
      </c>
      <c r="AL28" s="130">
        <v>0</v>
      </c>
      <c r="AM28" s="134">
        <f t="shared" si="289"/>
        <v>42750</v>
      </c>
      <c r="AN28" s="135">
        <f t="shared" si="290"/>
        <v>46136</v>
      </c>
      <c r="AO28" s="136">
        <v>0</v>
      </c>
      <c r="AP28" s="137">
        <v>0</v>
      </c>
      <c r="AQ28" s="138">
        <v>0</v>
      </c>
      <c r="AR28" s="138">
        <v>0</v>
      </c>
      <c r="AS28" s="126">
        <v>0</v>
      </c>
      <c r="AT28" s="139">
        <v>0</v>
      </c>
      <c r="AU28" s="140">
        <v>0</v>
      </c>
      <c r="AV28" s="140">
        <v>0</v>
      </c>
      <c r="AW28" s="138">
        <v>0</v>
      </c>
      <c r="AX28" s="326">
        <v>0</v>
      </c>
      <c r="AY28" s="138">
        <f t="shared" si="291"/>
        <v>0</v>
      </c>
      <c r="AZ28" s="141" t="b">
        <f t="shared" si="292"/>
        <v>0</v>
      </c>
      <c r="BA28" s="128">
        <v>0</v>
      </c>
      <c r="BB28" s="142">
        <f t="shared" si="293"/>
        <v>0</v>
      </c>
      <c r="BC28" s="143">
        <v>0</v>
      </c>
      <c r="BD28" s="142" t="s">
        <v>115</v>
      </c>
      <c r="BE28" s="143">
        <v>0</v>
      </c>
      <c r="BF28" s="142">
        <v>0</v>
      </c>
      <c r="BG28" s="143">
        <v>0</v>
      </c>
      <c r="BH28" s="131">
        <v>0</v>
      </c>
      <c r="BI28" s="337">
        <v>0</v>
      </c>
      <c r="BJ28" s="131">
        <v>0</v>
      </c>
      <c r="BK28" s="128">
        <v>0</v>
      </c>
      <c r="BL28" s="138">
        <v>0</v>
      </c>
      <c r="BM28" s="138">
        <v>0</v>
      </c>
      <c r="BN28" s="144">
        <v>0</v>
      </c>
      <c r="BO28" s="129">
        <f t="shared" si="294"/>
        <v>0</v>
      </c>
      <c r="BP28" s="134">
        <f t="shared" si="295"/>
        <v>-42750</v>
      </c>
      <c r="BQ28" s="143" t="str">
        <f t="shared" si="296"/>
        <v>Negative Margin</v>
      </c>
      <c r="BR28" s="145" t="s">
        <v>289</v>
      </c>
      <c r="BS28" s="128">
        <f t="shared" si="297"/>
        <v>-42750</v>
      </c>
      <c r="BT28" s="146" t="str">
        <f t="shared" si="298"/>
        <v>Negative Margin at Inception</v>
      </c>
      <c r="BU28" s="147" t="str">
        <f t="shared" si="299"/>
        <v>0</v>
      </c>
      <c r="BV28" s="146" t="str">
        <f t="shared" si="300"/>
        <v>More than 2%</v>
      </c>
      <c r="BW28" s="128">
        <f t="shared" si="301"/>
        <v>0</v>
      </c>
      <c r="BX28" s="129">
        <f t="shared" si="302"/>
        <v>0</v>
      </c>
      <c r="BY28" s="128">
        <f t="shared" si="303"/>
        <v>0</v>
      </c>
      <c r="BZ28" s="148">
        <f t="shared" si="304"/>
        <v>0</v>
      </c>
      <c r="CA28" s="148">
        <f t="shared" si="305"/>
        <v>0</v>
      </c>
      <c r="CB28" s="130">
        <f t="shared" si="306"/>
        <v>0</v>
      </c>
      <c r="CC28" s="148" t="s">
        <v>222</v>
      </c>
      <c r="CD28" s="130">
        <v>0</v>
      </c>
      <c r="CE28" s="130" t="str">
        <f t="shared" si="307"/>
        <v>Apr-26</v>
      </c>
      <c r="CF28" s="130">
        <f t="shared" si="308"/>
        <v>42750</v>
      </c>
      <c r="CG28" s="130">
        <f t="shared" si="309"/>
        <v>0</v>
      </c>
      <c r="CH28" s="130">
        <f t="shared" si="310"/>
        <v>4</v>
      </c>
      <c r="CI28" s="149" t="s">
        <v>223</v>
      </c>
      <c r="CJ28" s="130" t="s">
        <v>223</v>
      </c>
      <c r="CK28" s="130">
        <v>0</v>
      </c>
      <c r="CL28" s="130">
        <f t="shared" si="311"/>
        <v>-42750</v>
      </c>
      <c r="CM28" s="130">
        <f t="shared" si="312"/>
        <v>-42750</v>
      </c>
      <c r="CN28" s="130">
        <f t="shared" si="313"/>
        <v>-42750</v>
      </c>
      <c r="CO28" s="130">
        <f t="shared" si="314"/>
        <v>0</v>
      </c>
      <c r="CP28" s="130">
        <f t="shared" si="315"/>
        <v>-50445</v>
      </c>
      <c r="CQ28" s="130">
        <f t="shared" si="316"/>
        <v>0</v>
      </c>
      <c r="CR28" s="130">
        <f t="shared" si="317"/>
        <v>0</v>
      </c>
      <c r="CS28" s="130">
        <f t="shared" si="318"/>
        <v>-50445</v>
      </c>
      <c r="CT28" s="130" t="s">
        <v>214</v>
      </c>
      <c r="CU28" s="130" t="s">
        <v>214</v>
      </c>
      <c r="CV28" s="144" t="str">
        <f t="shared" si="319"/>
        <v>ANHPG0363J</v>
      </c>
      <c r="CW28" s="144" t="str">
        <f t="shared" si="320"/>
        <v/>
      </c>
    </row>
    <row r="29" spans="2:101" s="170" customFormat="1" ht="12" x14ac:dyDescent="0.3">
      <c r="B29" s="123" t="str">
        <f t="shared" ref="B29:B30" si="321">"Q" &amp; IF(ROUNDUP(MONTH(D29)/3,0)-1=0,4,ROUNDUP(MONTH(D29)/3,0)-1)</f>
        <v>Q1</v>
      </c>
      <c r="C29" s="124" t="str">
        <f t="shared" ref="C29:C30" si="322">TEXT(AN29,"mmm-yy")</f>
        <v>Apr-26</v>
      </c>
      <c r="D29" s="125">
        <v>46133</v>
      </c>
      <c r="E29" s="126" t="s">
        <v>240</v>
      </c>
      <c r="F29" s="126" t="s">
        <v>254</v>
      </c>
      <c r="G29" s="126" t="s">
        <v>279</v>
      </c>
      <c r="H29" s="127" t="s">
        <v>338</v>
      </c>
      <c r="I29" s="125">
        <v>46098</v>
      </c>
      <c r="J29" s="126" t="s">
        <v>339</v>
      </c>
      <c r="K29" s="125">
        <v>46133</v>
      </c>
      <c r="L29" s="126" t="s">
        <v>281</v>
      </c>
      <c r="M29" s="126" t="s">
        <v>240</v>
      </c>
      <c r="N29" s="127" t="s">
        <v>340</v>
      </c>
      <c r="O29" s="126">
        <v>1</v>
      </c>
      <c r="P29" s="280">
        <v>0</v>
      </c>
      <c r="Q29" s="128">
        <f t="shared" ref="Q29:Q32" si="323">O29*P29</f>
        <v>0</v>
      </c>
      <c r="R29" s="129">
        <v>0</v>
      </c>
      <c r="S29" s="128">
        <f t="shared" ref="S29:S30" si="324">O29-R29</f>
        <v>1</v>
      </c>
      <c r="T29" s="129">
        <v>0</v>
      </c>
      <c r="U29" s="130">
        <v>0</v>
      </c>
      <c r="V29" s="131">
        <v>0</v>
      </c>
      <c r="W29" s="130">
        <v>0</v>
      </c>
      <c r="X29" s="130">
        <v>0</v>
      </c>
      <c r="Y29" s="130">
        <v>42000</v>
      </c>
      <c r="Z29" s="130">
        <v>0</v>
      </c>
      <c r="AA29" s="129">
        <v>0</v>
      </c>
      <c r="AB29" s="133">
        <f t="shared" ref="AB29:AB32" si="325">Y29+AA29+Z29</f>
        <v>42000</v>
      </c>
      <c r="AC29" s="133">
        <v>0</v>
      </c>
      <c r="AD29" s="129">
        <v>0</v>
      </c>
      <c r="AE29" s="130">
        <v>0</v>
      </c>
      <c r="AF29" s="130">
        <v>0</v>
      </c>
      <c r="AG29" s="336">
        <v>0</v>
      </c>
      <c r="AH29" s="130">
        <v>0</v>
      </c>
      <c r="AI29" s="131">
        <v>0</v>
      </c>
      <c r="AJ29" s="130">
        <v>0</v>
      </c>
      <c r="AK29" s="130">
        <v>0</v>
      </c>
      <c r="AL29" s="130">
        <v>0</v>
      </c>
      <c r="AM29" s="134">
        <f t="shared" ref="AM29:AM32" si="326">Q29+AB29+AL29+AK29+AJ29+T29+AE29</f>
        <v>42000</v>
      </c>
      <c r="AN29" s="135">
        <f t="shared" ref="AN29:AN30" si="327">D29</f>
        <v>46133</v>
      </c>
      <c r="AO29" s="136">
        <v>0</v>
      </c>
      <c r="AP29" s="137">
        <v>0</v>
      </c>
      <c r="AQ29" s="138">
        <v>0</v>
      </c>
      <c r="AR29" s="138">
        <v>0</v>
      </c>
      <c r="AS29" s="126">
        <v>0</v>
      </c>
      <c r="AT29" s="139">
        <v>0</v>
      </c>
      <c r="AU29" s="140">
        <v>0</v>
      </c>
      <c r="AV29" s="140">
        <v>0</v>
      </c>
      <c r="AW29" s="138">
        <v>0</v>
      </c>
      <c r="AX29" s="326">
        <v>0</v>
      </c>
      <c r="AY29" s="138">
        <f t="shared" ref="AY29:AY30" si="328">AW29*AX29</f>
        <v>0</v>
      </c>
      <c r="AZ29" s="141" t="b">
        <f t="shared" ref="AZ29:AZ32" si="329">AW29=O29</f>
        <v>0</v>
      </c>
      <c r="BA29" s="128">
        <v>0</v>
      </c>
      <c r="BB29" s="142">
        <f t="shared" ref="BB29:BB30" si="330">AW29-BA29</f>
        <v>0</v>
      </c>
      <c r="BC29" s="143">
        <v>0</v>
      </c>
      <c r="BD29" s="142" t="s">
        <v>115</v>
      </c>
      <c r="BE29" s="143">
        <v>0</v>
      </c>
      <c r="BF29" s="142">
        <v>0</v>
      </c>
      <c r="BG29" s="143">
        <v>0</v>
      </c>
      <c r="BH29" s="131">
        <v>0</v>
      </c>
      <c r="BI29" s="337">
        <v>0</v>
      </c>
      <c r="BJ29" s="131">
        <v>0</v>
      </c>
      <c r="BK29" s="128">
        <v>0</v>
      </c>
      <c r="BL29" s="138">
        <v>0</v>
      </c>
      <c r="BM29" s="138">
        <v>0</v>
      </c>
      <c r="BN29" s="144">
        <v>0</v>
      </c>
      <c r="BO29" s="129">
        <f t="shared" ref="BO29:BO30" si="331">AY29+BL29+BM29+BN29+BC29+BG29</f>
        <v>0</v>
      </c>
      <c r="BP29" s="134">
        <f t="shared" ref="BP29:BP30" si="332">BO29-AM29</f>
        <v>-42000</v>
      </c>
      <c r="BQ29" s="143" t="str">
        <f t="shared" ref="BQ29:BQ30" si="333">IF(BP29&gt;=0,"Positive Margin","Negative Margin")</f>
        <v>Negative Margin</v>
      </c>
      <c r="BR29" s="145" t="s">
        <v>289</v>
      </c>
      <c r="BS29" s="128">
        <f t="shared" ref="BS29:BS30" si="334">AY29-Y29-Q29-AA29-T29+BC29</f>
        <v>-42000</v>
      </c>
      <c r="BT29" s="146" t="str">
        <f t="shared" ref="BT29:BT30" si="335">IF(BS29&lt;0, "Negative Margin at Inception", "Positive Margin at Inception")</f>
        <v>Negative Margin at Inception</v>
      </c>
      <c r="BU29" s="147" t="str">
        <f t="shared" ref="BU29:BU30" si="336">IFERROR(BP29/BO29,"0")</f>
        <v>0</v>
      </c>
      <c r="BV29" s="146" t="str">
        <f t="shared" ref="BV29:BV30" si="337">IF(BU29&lt;1%,"Less Than 1%",IF(BU29&gt;2%,"More than 2%",IF(BU29&gt;=1%,"1% - 2%")))</f>
        <v>More than 2%</v>
      </c>
      <c r="BW29" s="128">
        <f t="shared" ref="BW29:BW30" si="338">BM29+BN29</f>
        <v>0</v>
      </c>
      <c r="BX29" s="129">
        <f t="shared" ref="BX29:BX30" si="339">AL29+AK29</f>
        <v>0</v>
      </c>
      <c r="BY29" s="128">
        <f t="shared" ref="BY29:BY30" si="340">BW29-BX29</f>
        <v>0</v>
      </c>
      <c r="BZ29" s="148">
        <f t="shared" ref="BZ29:BZ30" si="341">BM29</f>
        <v>0</v>
      </c>
      <c r="CA29" s="148">
        <f t="shared" ref="CA29:CA30" si="342">AK29</f>
        <v>0</v>
      </c>
      <c r="CB29" s="130">
        <f t="shared" ref="CB29:CB30" si="343">BZ29-CA29</f>
        <v>0</v>
      </c>
      <c r="CC29" s="148" t="s">
        <v>222</v>
      </c>
      <c r="CD29" s="130">
        <v>0</v>
      </c>
      <c r="CE29" s="130" t="str">
        <f t="shared" ref="CE29:CE30" si="344">TEXT(AN29,"mmm-yy")</f>
        <v>Apr-26</v>
      </c>
      <c r="CF29" s="130">
        <f t="shared" ref="CF29:CF30" si="345">AM29-AL29-AA29</f>
        <v>42000</v>
      </c>
      <c r="CG29" s="130">
        <f t="shared" ref="CG29:CG30" si="346">BO29-BN29</f>
        <v>0</v>
      </c>
      <c r="CH29" s="130">
        <f t="shared" ref="CH29:CH30" si="347">INT((D29- IF(MONTH(D29) &gt;= 4, DATE(YEAR(D29), 4, 1), DATE(YEAR(D29)-1, 4, 1))) / 7) + 1</f>
        <v>3</v>
      </c>
      <c r="CI29" s="149" t="s">
        <v>223</v>
      </c>
      <c r="CJ29" s="130" t="s">
        <v>223</v>
      </c>
      <c r="CK29" s="130">
        <v>0</v>
      </c>
      <c r="CL29" s="130">
        <f t="shared" ref="CL29:CL30" si="348">AY29-Q29</f>
        <v>0</v>
      </c>
      <c r="CM29" s="130">
        <f t="shared" ref="CM29:CM30" si="349">CL29-Y29+Z29</f>
        <v>-42000</v>
      </c>
      <c r="CN29" s="130">
        <f t="shared" ref="CN29:CN30" si="350">BO29-AM29</f>
        <v>-42000</v>
      </c>
      <c r="CO29" s="130">
        <f t="shared" ref="CO29:CO30" si="351">AY29*118%</f>
        <v>0</v>
      </c>
      <c r="CP29" s="130">
        <f t="shared" ref="CP29:CP30" si="352">-Q29*118%</f>
        <v>0</v>
      </c>
      <c r="CQ29" s="130">
        <f t="shared" ref="CQ29:CQ30" si="353">-BZ29*118%</f>
        <v>0</v>
      </c>
      <c r="CR29" s="130">
        <f t="shared" ref="CR29:CR30" si="354">-CA29*118%</f>
        <v>0</v>
      </c>
      <c r="CS29" s="130">
        <f t="shared" ref="CS29:CS30" si="355">SUM(CO29:CR29)</f>
        <v>0</v>
      </c>
      <c r="CT29" s="130" t="s">
        <v>214</v>
      </c>
      <c r="CU29" s="130" t="s">
        <v>214</v>
      </c>
      <c r="CV29" s="144" t="str">
        <f t="shared" ref="CV29:CV30" si="356">MID(G29,3,10)</f>
        <v>ANHPG0363J</v>
      </c>
      <c r="CW29" s="144" t="str">
        <f t="shared" ref="CW29:CW30" si="357">MID(AR29,3,10)</f>
        <v/>
      </c>
    </row>
    <row r="30" spans="2:101" s="170" customFormat="1" ht="12" x14ac:dyDescent="0.3">
      <c r="B30" s="123" t="str">
        <f t="shared" si="321"/>
        <v>Q1</v>
      </c>
      <c r="C30" s="124" t="str">
        <f t="shared" si="322"/>
        <v>Apr-26</v>
      </c>
      <c r="D30" s="125">
        <v>46136</v>
      </c>
      <c r="E30" s="126" t="s">
        <v>240</v>
      </c>
      <c r="F30" s="126" t="s">
        <v>254</v>
      </c>
      <c r="G30" s="126" t="s">
        <v>279</v>
      </c>
      <c r="H30" s="127" t="s">
        <v>341</v>
      </c>
      <c r="I30" s="125">
        <v>46136</v>
      </c>
      <c r="J30" s="126" t="s">
        <v>342</v>
      </c>
      <c r="K30" s="125">
        <v>46136</v>
      </c>
      <c r="L30" s="126" t="s">
        <v>281</v>
      </c>
      <c r="M30" s="126" t="s">
        <v>240</v>
      </c>
      <c r="N30" s="127" t="s">
        <v>340</v>
      </c>
      <c r="O30" s="126">
        <v>1</v>
      </c>
      <c r="P30" s="280">
        <v>0</v>
      </c>
      <c r="Q30" s="128">
        <f t="shared" si="323"/>
        <v>0</v>
      </c>
      <c r="R30" s="129">
        <v>0</v>
      </c>
      <c r="S30" s="128">
        <f t="shared" si="324"/>
        <v>1</v>
      </c>
      <c r="T30" s="129">
        <v>0</v>
      </c>
      <c r="U30" s="130">
        <v>0</v>
      </c>
      <c r="V30" s="131">
        <v>0</v>
      </c>
      <c r="W30" s="130">
        <v>0</v>
      </c>
      <c r="X30" s="130">
        <v>0</v>
      </c>
      <c r="Y30" s="130">
        <v>12711</v>
      </c>
      <c r="Z30" s="130">
        <v>0</v>
      </c>
      <c r="AA30" s="129">
        <v>0</v>
      </c>
      <c r="AB30" s="133">
        <f t="shared" si="325"/>
        <v>12711</v>
      </c>
      <c r="AC30" s="133">
        <v>0</v>
      </c>
      <c r="AD30" s="129">
        <v>0</v>
      </c>
      <c r="AE30" s="130">
        <v>0</v>
      </c>
      <c r="AF30" s="130">
        <v>0</v>
      </c>
      <c r="AG30" s="336">
        <v>0</v>
      </c>
      <c r="AH30" s="130">
        <v>0</v>
      </c>
      <c r="AI30" s="131">
        <v>0</v>
      </c>
      <c r="AJ30" s="130">
        <v>0</v>
      </c>
      <c r="AK30" s="130">
        <v>0</v>
      </c>
      <c r="AL30" s="130">
        <v>0</v>
      </c>
      <c r="AM30" s="134">
        <f t="shared" si="326"/>
        <v>12711</v>
      </c>
      <c r="AN30" s="135">
        <f t="shared" si="327"/>
        <v>46136</v>
      </c>
      <c r="AO30" s="136">
        <v>0</v>
      </c>
      <c r="AP30" s="137">
        <v>0</v>
      </c>
      <c r="AQ30" s="138">
        <v>0</v>
      </c>
      <c r="AR30" s="138">
        <v>0</v>
      </c>
      <c r="AS30" s="126">
        <v>0</v>
      </c>
      <c r="AT30" s="139">
        <v>0</v>
      </c>
      <c r="AU30" s="140">
        <v>0</v>
      </c>
      <c r="AV30" s="140">
        <v>0</v>
      </c>
      <c r="AW30" s="138">
        <v>0</v>
      </c>
      <c r="AX30" s="326">
        <v>0</v>
      </c>
      <c r="AY30" s="138">
        <f t="shared" si="328"/>
        <v>0</v>
      </c>
      <c r="AZ30" s="141" t="b">
        <f t="shared" si="329"/>
        <v>0</v>
      </c>
      <c r="BA30" s="128">
        <v>0</v>
      </c>
      <c r="BB30" s="142">
        <f t="shared" si="330"/>
        <v>0</v>
      </c>
      <c r="BC30" s="143">
        <v>0</v>
      </c>
      <c r="BD30" s="142" t="s">
        <v>115</v>
      </c>
      <c r="BE30" s="143">
        <v>0</v>
      </c>
      <c r="BF30" s="142">
        <v>0</v>
      </c>
      <c r="BG30" s="143">
        <v>0</v>
      </c>
      <c r="BH30" s="131">
        <v>0</v>
      </c>
      <c r="BI30" s="337">
        <v>0</v>
      </c>
      <c r="BJ30" s="131">
        <v>0</v>
      </c>
      <c r="BK30" s="128">
        <v>0</v>
      </c>
      <c r="BL30" s="138">
        <v>0</v>
      </c>
      <c r="BM30" s="138">
        <v>0</v>
      </c>
      <c r="BN30" s="144">
        <v>0</v>
      </c>
      <c r="BO30" s="129">
        <f t="shared" si="331"/>
        <v>0</v>
      </c>
      <c r="BP30" s="134">
        <f t="shared" si="332"/>
        <v>-12711</v>
      </c>
      <c r="BQ30" s="143" t="str">
        <f t="shared" si="333"/>
        <v>Negative Margin</v>
      </c>
      <c r="BR30" s="145" t="s">
        <v>289</v>
      </c>
      <c r="BS30" s="128">
        <f t="shared" si="334"/>
        <v>-12711</v>
      </c>
      <c r="BT30" s="146" t="str">
        <f t="shared" si="335"/>
        <v>Negative Margin at Inception</v>
      </c>
      <c r="BU30" s="147" t="str">
        <f t="shared" si="336"/>
        <v>0</v>
      </c>
      <c r="BV30" s="146" t="str">
        <f t="shared" si="337"/>
        <v>More than 2%</v>
      </c>
      <c r="BW30" s="128">
        <f t="shared" si="338"/>
        <v>0</v>
      </c>
      <c r="BX30" s="129">
        <f t="shared" si="339"/>
        <v>0</v>
      </c>
      <c r="BY30" s="128">
        <f t="shared" si="340"/>
        <v>0</v>
      </c>
      <c r="BZ30" s="148">
        <f t="shared" si="341"/>
        <v>0</v>
      </c>
      <c r="CA30" s="148">
        <f t="shared" si="342"/>
        <v>0</v>
      </c>
      <c r="CB30" s="130">
        <f t="shared" si="343"/>
        <v>0</v>
      </c>
      <c r="CC30" s="148" t="s">
        <v>222</v>
      </c>
      <c r="CD30" s="130">
        <v>0</v>
      </c>
      <c r="CE30" s="130" t="str">
        <f t="shared" si="344"/>
        <v>Apr-26</v>
      </c>
      <c r="CF30" s="130">
        <f t="shared" si="345"/>
        <v>12711</v>
      </c>
      <c r="CG30" s="130">
        <f t="shared" si="346"/>
        <v>0</v>
      </c>
      <c r="CH30" s="130">
        <f t="shared" si="347"/>
        <v>4</v>
      </c>
      <c r="CI30" s="149" t="s">
        <v>223</v>
      </c>
      <c r="CJ30" s="130" t="s">
        <v>223</v>
      </c>
      <c r="CK30" s="130">
        <v>0</v>
      </c>
      <c r="CL30" s="130">
        <f t="shared" si="348"/>
        <v>0</v>
      </c>
      <c r="CM30" s="130">
        <f t="shared" si="349"/>
        <v>-12711</v>
      </c>
      <c r="CN30" s="130">
        <f t="shared" si="350"/>
        <v>-12711</v>
      </c>
      <c r="CO30" s="130">
        <f t="shared" si="351"/>
        <v>0</v>
      </c>
      <c r="CP30" s="130">
        <f t="shared" si="352"/>
        <v>0</v>
      </c>
      <c r="CQ30" s="130">
        <f t="shared" si="353"/>
        <v>0</v>
      </c>
      <c r="CR30" s="130">
        <f t="shared" si="354"/>
        <v>0</v>
      </c>
      <c r="CS30" s="130">
        <f t="shared" si="355"/>
        <v>0</v>
      </c>
      <c r="CT30" s="130" t="s">
        <v>214</v>
      </c>
      <c r="CU30" s="130" t="s">
        <v>214</v>
      </c>
      <c r="CV30" s="144" t="str">
        <f t="shared" si="356"/>
        <v>ANHPG0363J</v>
      </c>
      <c r="CW30" s="144" t="str">
        <f t="shared" si="357"/>
        <v/>
      </c>
    </row>
    <row r="31" spans="2:101" s="170" customFormat="1" ht="12" x14ac:dyDescent="0.3">
      <c r="B31" s="123" t="str">
        <f t="shared" ref="B31" si="358">"Q" &amp; IF(ROUNDUP(MONTH(D31)/3,0)-1=0,4,ROUNDUP(MONTH(D31)/3,0)-1)</f>
        <v>Q1</v>
      </c>
      <c r="C31" s="124" t="str">
        <f t="shared" ref="C31" si="359">TEXT(AN31,"mmm-yy")</f>
        <v>May-26</v>
      </c>
      <c r="D31" s="125" t="s">
        <v>364</v>
      </c>
      <c r="E31" s="126" t="s">
        <v>240</v>
      </c>
      <c r="F31" s="126" t="s">
        <v>322</v>
      </c>
      <c r="G31" s="126" t="s">
        <v>323</v>
      </c>
      <c r="H31" s="127" t="s">
        <v>365</v>
      </c>
      <c r="I31" s="125">
        <v>46148</v>
      </c>
      <c r="J31" s="126" t="s">
        <v>366</v>
      </c>
      <c r="K31" s="125">
        <v>46157</v>
      </c>
      <c r="L31" s="126" t="s">
        <v>326</v>
      </c>
      <c r="M31" s="126"/>
      <c r="N31" s="127" t="s">
        <v>327</v>
      </c>
      <c r="O31" s="126">
        <v>3</v>
      </c>
      <c r="P31" s="280">
        <v>3000</v>
      </c>
      <c r="Q31" s="128">
        <f t="shared" si="323"/>
        <v>9000</v>
      </c>
      <c r="R31" s="129">
        <v>0</v>
      </c>
      <c r="S31" s="128">
        <f t="shared" ref="S31" si="360">O31-R31</f>
        <v>3</v>
      </c>
      <c r="T31" s="129">
        <v>0</v>
      </c>
      <c r="U31" s="130">
        <v>0</v>
      </c>
      <c r="V31" s="131">
        <v>0</v>
      </c>
      <c r="W31" s="130">
        <v>0</v>
      </c>
      <c r="X31" s="130">
        <v>0</v>
      </c>
      <c r="Y31" s="130">
        <v>0</v>
      </c>
      <c r="Z31" s="130">
        <v>0</v>
      </c>
      <c r="AA31" s="129">
        <v>0</v>
      </c>
      <c r="AB31" s="133">
        <f t="shared" si="325"/>
        <v>0</v>
      </c>
      <c r="AC31" s="133">
        <v>0</v>
      </c>
      <c r="AD31" s="129">
        <v>0</v>
      </c>
      <c r="AE31" s="130">
        <v>0</v>
      </c>
      <c r="AF31" s="130">
        <v>0</v>
      </c>
      <c r="AG31" s="336">
        <v>0</v>
      </c>
      <c r="AH31" s="130">
        <v>0</v>
      </c>
      <c r="AI31" s="131">
        <v>0</v>
      </c>
      <c r="AJ31" s="130">
        <v>0</v>
      </c>
      <c r="AK31" s="130">
        <v>0</v>
      </c>
      <c r="AL31" s="130">
        <v>0</v>
      </c>
      <c r="AM31" s="134">
        <f t="shared" si="326"/>
        <v>9000</v>
      </c>
      <c r="AN31" s="125" t="s">
        <v>364</v>
      </c>
      <c r="AO31" s="136">
        <v>0</v>
      </c>
      <c r="AP31" s="137">
        <v>0</v>
      </c>
      <c r="AQ31" s="138">
        <v>0</v>
      </c>
      <c r="AR31" s="138">
        <v>0</v>
      </c>
      <c r="AS31" s="126">
        <v>0</v>
      </c>
      <c r="AT31" s="139">
        <v>0</v>
      </c>
      <c r="AU31" s="140">
        <v>0</v>
      </c>
      <c r="AV31" s="140">
        <v>0</v>
      </c>
      <c r="AW31" s="138">
        <v>0</v>
      </c>
      <c r="AX31" s="326">
        <v>0</v>
      </c>
      <c r="AY31" s="138">
        <f t="shared" ref="AY31:AY32" si="361">AW31*AX31</f>
        <v>0</v>
      </c>
      <c r="AZ31" s="141" t="b">
        <f t="shared" si="329"/>
        <v>0</v>
      </c>
      <c r="BA31" s="128">
        <v>0</v>
      </c>
      <c r="BB31" s="142">
        <f t="shared" ref="BB31:BB32" si="362">AW31-BA31</f>
        <v>0</v>
      </c>
      <c r="BC31" s="143">
        <v>0</v>
      </c>
      <c r="BD31" s="142" t="s">
        <v>115</v>
      </c>
      <c r="BE31" s="143">
        <v>0</v>
      </c>
      <c r="BF31" s="142">
        <v>0</v>
      </c>
      <c r="BG31" s="143">
        <v>0</v>
      </c>
      <c r="BH31" s="131">
        <v>0</v>
      </c>
      <c r="BI31" s="337">
        <v>0</v>
      </c>
      <c r="BJ31" s="131">
        <v>0</v>
      </c>
      <c r="BK31" s="128">
        <v>0</v>
      </c>
      <c r="BL31" s="138">
        <v>0</v>
      </c>
      <c r="BM31" s="138">
        <v>0</v>
      </c>
      <c r="BN31" s="144">
        <v>0</v>
      </c>
      <c r="BO31" s="129">
        <f t="shared" ref="BO31:BO32" si="363">AY31+BL31+BM31+BN31+BC31+BG31</f>
        <v>0</v>
      </c>
      <c r="BP31" s="134">
        <f t="shared" ref="BP31:BP32" si="364">BO31-AM31</f>
        <v>-9000</v>
      </c>
      <c r="BQ31" s="143" t="str">
        <f t="shared" ref="BQ31:BQ32" si="365">IF(BP31&gt;=0,"Positive Margin","Negative Margin")</f>
        <v>Negative Margin</v>
      </c>
      <c r="BR31" s="145" t="s">
        <v>289</v>
      </c>
      <c r="BS31" s="128">
        <f t="shared" ref="BS31:BS32" si="366">AY31-Y31-Q31-AA31-T31+BC31</f>
        <v>-9000</v>
      </c>
      <c r="BT31" s="146" t="str">
        <f t="shared" ref="BT31:BT32" si="367">IF(BS31&lt;0, "Negative Margin at Inception", "Positive Margin at Inception")</f>
        <v>Negative Margin at Inception</v>
      </c>
      <c r="BU31" s="147" t="str">
        <f t="shared" ref="BU31:BU32" si="368">IFERROR(BP31/BO31,"0")</f>
        <v>0</v>
      </c>
      <c r="BV31" s="146" t="str">
        <f t="shared" ref="BV31:BV32" si="369">IF(BU31&lt;1%,"Less Than 1%",IF(BU31&gt;2%,"More than 2%",IF(BU31&gt;=1%,"1% - 2%")))</f>
        <v>More than 2%</v>
      </c>
      <c r="BW31" s="128">
        <f t="shared" ref="BW31:BW32" si="370">BM31+BN31</f>
        <v>0</v>
      </c>
      <c r="BX31" s="129">
        <f t="shared" ref="BX31:BX32" si="371">AL31+AK31</f>
        <v>0</v>
      </c>
      <c r="BY31" s="128">
        <f t="shared" ref="BY31:BY32" si="372">BW31-BX31</f>
        <v>0</v>
      </c>
      <c r="BZ31" s="148">
        <f t="shared" ref="BZ31:BZ32" si="373">BM31</f>
        <v>0</v>
      </c>
      <c r="CA31" s="148">
        <f t="shared" ref="CA31:CA32" si="374">AK31</f>
        <v>0</v>
      </c>
      <c r="CB31" s="130">
        <f t="shared" ref="CB31:CB32" si="375">BZ31-CA31</f>
        <v>0</v>
      </c>
      <c r="CC31" s="148" t="s">
        <v>222</v>
      </c>
      <c r="CD31" s="130">
        <v>0</v>
      </c>
      <c r="CE31" s="130" t="str">
        <f t="shared" ref="CE31:CE32" si="376">TEXT(AN31,"mmm-yy")</f>
        <v>May-26</v>
      </c>
      <c r="CF31" s="130">
        <f t="shared" ref="CF31:CF32" si="377">AM31-AL31-AA31</f>
        <v>9000</v>
      </c>
      <c r="CG31" s="130">
        <f t="shared" ref="CG31:CG32" si="378">BO31-BN31</f>
        <v>0</v>
      </c>
      <c r="CH31" s="130">
        <f t="shared" ref="CH31:CH32" si="379">INT((D31- IF(MONTH(D31) &gt;= 4, DATE(YEAR(D31), 4, 1), DATE(YEAR(D31)-1, 4, 1))) / 7) + 1</f>
        <v>6</v>
      </c>
      <c r="CI31" s="149" t="s">
        <v>223</v>
      </c>
      <c r="CJ31" s="130" t="s">
        <v>223</v>
      </c>
      <c r="CK31" s="130">
        <v>0</v>
      </c>
      <c r="CL31" s="130">
        <f t="shared" ref="CL31:CL32" si="380">AY31-Q31</f>
        <v>-9000</v>
      </c>
      <c r="CM31" s="130">
        <f t="shared" ref="CM31:CM32" si="381">CL31-Y31+Z31</f>
        <v>-9000</v>
      </c>
      <c r="CN31" s="130">
        <f t="shared" ref="CN31:CN32" si="382">BO31-AM31</f>
        <v>-9000</v>
      </c>
      <c r="CO31" s="130">
        <f t="shared" ref="CO31:CO32" si="383">AY31*118%</f>
        <v>0</v>
      </c>
      <c r="CP31" s="130">
        <f t="shared" ref="CP31:CP32" si="384">-Q31*118%</f>
        <v>-10620</v>
      </c>
      <c r="CQ31" s="130">
        <f t="shared" ref="CQ31:CQ32" si="385">-BZ31*118%</f>
        <v>0</v>
      </c>
      <c r="CR31" s="130">
        <f t="shared" ref="CR31:CR32" si="386">-CA31*118%</f>
        <v>0</v>
      </c>
      <c r="CS31" s="130">
        <f t="shared" ref="CS31:CS32" si="387">SUM(CO31:CR31)</f>
        <v>-10620</v>
      </c>
      <c r="CT31" s="130" t="s">
        <v>214</v>
      </c>
      <c r="CU31" s="130" t="s">
        <v>214</v>
      </c>
      <c r="CV31" s="144" t="str">
        <f t="shared" ref="CV31:CV32" si="388">MID(G31,3,10)</f>
        <v>AAICT1418L</v>
      </c>
      <c r="CW31" s="144" t="str">
        <f t="shared" ref="CW31:CW32" si="389">MID(AR31,3,10)</f>
        <v/>
      </c>
    </row>
    <row r="32" spans="2:101" s="170" customFormat="1" ht="12" x14ac:dyDescent="0.3">
      <c r="B32" s="123" t="str">
        <f t="shared" ref="B32" si="390">"Q" &amp; IF(ROUNDUP(MONTH(D32)/3,0)-1=0,4,ROUNDUP(MONTH(D32)/3,0)-1)</f>
        <v>Q1</v>
      </c>
      <c r="C32" s="124" t="str">
        <f t="shared" ref="C32" si="391">TEXT(AN32,"mmm-yy")</f>
        <v>May-26</v>
      </c>
      <c r="D32" s="125" t="s">
        <v>364</v>
      </c>
      <c r="E32" s="126" t="s">
        <v>240</v>
      </c>
      <c r="F32" s="126" t="s">
        <v>322</v>
      </c>
      <c r="G32" s="126" t="s">
        <v>323</v>
      </c>
      <c r="H32" s="127" t="s">
        <v>365</v>
      </c>
      <c r="I32" s="125">
        <v>46148</v>
      </c>
      <c r="J32" s="126" t="s">
        <v>366</v>
      </c>
      <c r="K32" s="125">
        <v>46157</v>
      </c>
      <c r="L32" s="126" t="s">
        <v>326</v>
      </c>
      <c r="M32" s="126"/>
      <c r="N32" s="127" t="s">
        <v>327</v>
      </c>
      <c r="O32" s="126">
        <v>6</v>
      </c>
      <c r="P32" s="280">
        <v>5500</v>
      </c>
      <c r="Q32" s="128">
        <f t="shared" si="323"/>
        <v>33000</v>
      </c>
      <c r="R32" s="129">
        <v>0</v>
      </c>
      <c r="S32" s="128">
        <f t="shared" ref="S32:S33" si="392">O32-R32</f>
        <v>6</v>
      </c>
      <c r="T32" s="129">
        <v>0</v>
      </c>
      <c r="U32" s="130">
        <v>0</v>
      </c>
      <c r="V32" s="131">
        <v>0</v>
      </c>
      <c r="W32" s="130">
        <v>0</v>
      </c>
      <c r="X32" s="130">
        <v>0</v>
      </c>
      <c r="Y32" s="130">
        <v>0</v>
      </c>
      <c r="Z32" s="130">
        <v>0</v>
      </c>
      <c r="AA32" s="129">
        <v>0</v>
      </c>
      <c r="AB32" s="133">
        <f t="shared" si="325"/>
        <v>0</v>
      </c>
      <c r="AC32" s="133">
        <v>0</v>
      </c>
      <c r="AD32" s="129">
        <v>0</v>
      </c>
      <c r="AE32" s="130">
        <v>0</v>
      </c>
      <c r="AF32" s="130">
        <v>0</v>
      </c>
      <c r="AG32" s="336">
        <v>0</v>
      </c>
      <c r="AH32" s="130">
        <v>0</v>
      </c>
      <c r="AI32" s="131">
        <v>0</v>
      </c>
      <c r="AJ32" s="130">
        <v>0</v>
      </c>
      <c r="AK32" s="130">
        <v>0</v>
      </c>
      <c r="AL32" s="130">
        <v>0</v>
      </c>
      <c r="AM32" s="134">
        <f t="shared" si="326"/>
        <v>33000</v>
      </c>
      <c r="AN32" s="125" t="s">
        <v>364</v>
      </c>
      <c r="AO32" s="136">
        <v>0</v>
      </c>
      <c r="AP32" s="137">
        <v>0</v>
      </c>
      <c r="AQ32" s="138">
        <v>0</v>
      </c>
      <c r="AR32" s="138">
        <v>0</v>
      </c>
      <c r="AS32" s="126">
        <v>0</v>
      </c>
      <c r="AT32" s="139">
        <v>0</v>
      </c>
      <c r="AU32" s="140">
        <v>0</v>
      </c>
      <c r="AV32" s="140">
        <v>0</v>
      </c>
      <c r="AW32" s="138">
        <v>0</v>
      </c>
      <c r="AX32" s="326">
        <v>0</v>
      </c>
      <c r="AY32" s="138">
        <f t="shared" si="361"/>
        <v>0</v>
      </c>
      <c r="AZ32" s="141" t="b">
        <f t="shared" si="329"/>
        <v>0</v>
      </c>
      <c r="BA32" s="128">
        <v>0</v>
      </c>
      <c r="BB32" s="142">
        <f t="shared" si="362"/>
        <v>0</v>
      </c>
      <c r="BC32" s="143">
        <v>0</v>
      </c>
      <c r="BD32" s="142" t="s">
        <v>115</v>
      </c>
      <c r="BE32" s="143">
        <v>0</v>
      </c>
      <c r="BF32" s="142">
        <v>0</v>
      </c>
      <c r="BG32" s="143">
        <v>0</v>
      </c>
      <c r="BH32" s="131">
        <v>0</v>
      </c>
      <c r="BI32" s="337">
        <v>0</v>
      </c>
      <c r="BJ32" s="131">
        <v>0</v>
      </c>
      <c r="BK32" s="128">
        <v>0</v>
      </c>
      <c r="BL32" s="138">
        <v>0</v>
      </c>
      <c r="BM32" s="138">
        <v>0</v>
      </c>
      <c r="BN32" s="144">
        <v>0</v>
      </c>
      <c r="BO32" s="129">
        <f t="shared" si="363"/>
        <v>0</v>
      </c>
      <c r="BP32" s="134">
        <f t="shared" si="364"/>
        <v>-33000</v>
      </c>
      <c r="BQ32" s="143" t="str">
        <f t="shared" si="365"/>
        <v>Negative Margin</v>
      </c>
      <c r="BR32" s="145" t="s">
        <v>289</v>
      </c>
      <c r="BS32" s="128">
        <f t="shared" si="366"/>
        <v>-33000</v>
      </c>
      <c r="BT32" s="146" t="str">
        <f t="shared" si="367"/>
        <v>Negative Margin at Inception</v>
      </c>
      <c r="BU32" s="147" t="str">
        <f t="shared" si="368"/>
        <v>0</v>
      </c>
      <c r="BV32" s="146" t="str">
        <f t="shared" si="369"/>
        <v>More than 2%</v>
      </c>
      <c r="BW32" s="128">
        <f t="shared" si="370"/>
        <v>0</v>
      </c>
      <c r="BX32" s="129">
        <f t="shared" si="371"/>
        <v>0</v>
      </c>
      <c r="BY32" s="128">
        <f t="shared" si="372"/>
        <v>0</v>
      </c>
      <c r="BZ32" s="148">
        <f t="shared" si="373"/>
        <v>0</v>
      </c>
      <c r="CA32" s="148">
        <f t="shared" si="374"/>
        <v>0</v>
      </c>
      <c r="CB32" s="130">
        <f t="shared" si="375"/>
        <v>0</v>
      </c>
      <c r="CC32" s="148" t="s">
        <v>222</v>
      </c>
      <c r="CD32" s="130">
        <v>0</v>
      </c>
      <c r="CE32" s="130" t="str">
        <f t="shared" si="376"/>
        <v>May-26</v>
      </c>
      <c r="CF32" s="130">
        <f t="shared" si="377"/>
        <v>33000</v>
      </c>
      <c r="CG32" s="130">
        <f t="shared" si="378"/>
        <v>0</v>
      </c>
      <c r="CH32" s="130">
        <f t="shared" si="379"/>
        <v>6</v>
      </c>
      <c r="CI32" s="149" t="s">
        <v>223</v>
      </c>
      <c r="CJ32" s="130" t="s">
        <v>223</v>
      </c>
      <c r="CK32" s="130">
        <v>0</v>
      </c>
      <c r="CL32" s="130">
        <f t="shared" si="380"/>
        <v>-33000</v>
      </c>
      <c r="CM32" s="130">
        <f t="shared" si="381"/>
        <v>-33000</v>
      </c>
      <c r="CN32" s="130">
        <f t="shared" si="382"/>
        <v>-33000</v>
      </c>
      <c r="CO32" s="130">
        <f t="shared" si="383"/>
        <v>0</v>
      </c>
      <c r="CP32" s="130">
        <f t="shared" si="384"/>
        <v>-38940</v>
      </c>
      <c r="CQ32" s="130">
        <f t="shared" si="385"/>
        <v>0</v>
      </c>
      <c r="CR32" s="130">
        <f t="shared" si="386"/>
        <v>0</v>
      </c>
      <c r="CS32" s="130">
        <f t="shared" si="387"/>
        <v>-38940</v>
      </c>
      <c r="CT32" s="130" t="s">
        <v>214</v>
      </c>
      <c r="CU32" s="130" t="s">
        <v>214</v>
      </c>
      <c r="CV32" s="144" t="str">
        <f t="shared" si="388"/>
        <v>AAICT1418L</v>
      </c>
      <c r="CW32" s="144" t="str">
        <f t="shared" si="389"/>
        <v/>
      </c>
    </row>
    <row r="33" spans="2:101" s="170" customFormat="1" ht="12" x14ac:dyDescent="0.3">
      <c r="B33" s="123" t="str">
        <f t="shared" ref="B33" si="393">"Q" &amp; IF(ROUNDUP(MONTH(D33)/3,0)-1=0,4,ROUNDUP(MONTH(D33)/3,0)-1)</f>
        <v>Q1</v>
      </c>
      <c r="C33" s="124" t="str">
        <f t="shared" ref="C33" si="394">TEXT(AN33,"mmm-yy")</f>
        <v>May-26</v>
      </c>
      <c r="D33" s="125">
        <v>46158</v>
      </c>
      <c r="E33" s="126" t="s">
        <v>240</v>
      </c>
      <c r="F33" s="126" t="s">
        <v>254</v>
      </c>
      <c r="G33" s="126" t="s">
        <v>279</v>
      </c>
      <c r="H33" s="127" t="s">
        <v>372</v>
      </c>
      <c r="I33" s="125">
        <v>46158</v>
      </c>
      <c r="J33" s="126" t="s">
        <v>373</v>
      </c>
      <c r="K33" s="125">
        <v>46160</v>
      </c>
      <c r="L33" s="126" t="s">
        <v>281</v>
      </c>
      <c r="M33" s="126" t="s">
        <v>240</v>
      </c>
      <c r="N33" s="127" t="s">
        <v>333</v>
      </c>
      <c r="O33" s="126">
        <v>1</v>
      </c>
      <c r="P33" s="280">
        <v>180000</v>
      </c>
      <c r="Q33" s="128">
        <f t="shared" ref="Q33" si="395">O33*P33</f>
        <v>180000</v>
      </c>
      <c r="R33" s="129">
        <v>0</v>
      </c>
      <c r="S33" s="128">
        <f t="shared" si="392"/>
        <v>1</v>
      </c>
      <c r="T33" s="129">
        <v>0</v>
      </c>
      <c r="U33" s="130">
        <v>0</v>
      </c>
      <c r="V33" s="131">
        <v>0</v>
      </c>
      <c r="W33" s="130">
        <v>0</v>
      </c>
      <c r="X33" s="130">
        <v>0</v>
      </c>
      <c r="Y33" s="130">
        <v>0</v>
      </c>
      <c r="Z33" s="130">
        <v>0</v>
      </c>
      <c r="AA33" s="129">
        <v>0</v>
      </c>
      <c r="AB33" s="133">
        <f t="shared" ref="AB33" si="396">Y33+AA33+Z33</f>
        <v>0</v>
      </c>
      <c r="AC33" s="133">
        <v>0</v>
      </c>
      <c r="AD33" s="129">
        <v>0</v>
      </c>
      <c r="AE33" s="130">
        <v>0</v>
      </c>
      <c r="AF33" s="130">
        <v>0</v>
      </c>
      <c r="AG33" s="336">
        <v>0</v>
      </c>
      <c r="AH33" s="130">
        <v>0</v>
      </c>
      <c r="AI33" s="131">
        <v>0</v>
      </c>
      <c r="AJ33" s="130">
        <v>0</v>
      </c>
      <c r="AK33" s="130">
        <v>0</v>
      </c>
      <c r="AL33" s="130">
        <v>0</v>
      </c>
      <c r="AM33" s="134">
        <f t="shared" ref="AM33" si="397">Q33+AB33+AL33+AK33+AJ33+T33+AE33</f>
        <v>180000</v>
      </c>
      <c r="AN33" s="125">
        <v>46158</v>
      </c>
      <c r="AO33" s="136">
        <v>0</v>
      </c>
      <c r="AP33" s="137">
        <v>0</v>
      </c>
      <c r="AQ33" s="138">
        <v>0</v>
      </c>
      <c r="AR33" s="138">
        <v>0</v>
      </c>
      <c r="AS33" s="126">
        <v>0</v>
      </c>
      <c r="AT33" s="139">
        <v>0</v>
      </c>
      <c r="AU33" s="140">
        <v>0</v>
      </c>
      <c r="AV33" s="140">
        <v>0</v>
      </c>
      <c r="AW33" s="138">
        <v>0</v>
      </c>
      <c r="AX33" s="326">
        <v>0</v>
      </c>
      <c r="AY33" s="138">
        <f t="shared" ref="AY33" si="398">AW33*AX33</f>
        <v>0</v>
      </c>
      <c r="AZ33" s="141" t="b">
        <f t="shared" ref="AZ33" si="399">AW33=O33</f>
        <v>0</v>
      </c>
      <c r="BA33" s="128">
        <v>0</v>
      </c>
      <c r="BB33" s="142">
        <f t="shared" ref="BB33" si="400">AW33-BA33</f>
        <v>0</v>
      </c>
      <c r="BC33" s="143">
        <v>0</v>
      </c>
      <c r="BD33" s="142" t="s">
        <v>115</v>
      </c>
      <c r="BE33" s="143">
        <v>0</v>
      </c>
      <c r="BF33" s="142">
        <v>0</v>
      </c>
      <c r="BG33" s="143">
        <v>0</v>
      </c>
      <c r="BH33" s="131">
        <v>0</v>
      </c>
      <c r="BI33" s="337">
        <v>0</v>
      </c>
      <c r="BJ33" s="131">
        <v>0</v>
      </c>
      <c r="BK33" s="128">
        <v>0</v>
      </c>
      <c r="BL33" s="138">
        <v>0</v>
      </c>
      <c r="BM33" s="138">
        <v>0</v>
      </c>
      <c r="BN33" s="144">
        <v>0</v>
      </c>
      <c r="BO33" s="129">
        <f t="shared" ref="BO33" si="401">AY33+BL33+BM33+BN33+BC33+BG33</f>
        <v>0</v>
      </c>
      <c r="BP33" s="134">
        <f t="shared" ref="BP33" si="402">BO33-AM33</f>
        <v>-180000</v>
      </c>
      <c r="BQ33" s="143" t="str">
        <f t="shared" ref="BQ33" si="403">IF(BP33&gt;=0,"Positive Margin","Negative Margin")</f>
        <v>Negative Margin</v>
      </c>
      <c r="BR33" s="145" t="s">
        <v>289</v>
      </c>
      <c r="BS33" s="128">
        <f t="shared" ref="BS33" si="404">AY33-Y33-Q33-AA33-T33+BC33</f>
        <v>-180000</v>
      </c>
      <c r="BT33" s="146" t="str">
        <f t="shared" ref="BT33" si="405">IF(BS33&lt;0, "Negative Margin at Inception", "Positive Margin at Inception")</f>
        <v>Negative Margin at Inception</v>
      </c>
      <c r="BU33" s="147" t="str">
        <f t="shared" ref="BU33" si="406">IFERROR(BP33/BO33,"0")</f>
        <v>0</v>
      </c>
      <c r="BV33" s="146" t="str">
        <f t="shared" ref="BV33" si="407">IF(BU33&lt;1%,"Less Than 1%",IF(BU33&gt;2%,"More than 2%",IF(BU33&gt;=1%,"1% - 2%")))</f>
        <v>More than 2%</v>
      </c>
      <c r="BW33" s="128">
        <f t="shared" ref="BW33" si="408">BM33+BN33</f>
        <v>0</v>
      </c>
      <c r="BX33" s="129">
        <f t="shared" ref="BX33" si="409">AL33+AK33</f>
        <v>0</v>
      </c>
      <c r="BY33" s="128">
        <f t="shared" ref="BY33" si="410">BW33-BX33</f>
        <v>0</v>
      </c>
      <c r="BZ33" s="148">
        <f t="shared" ref="BZ33" si="411">BM33</f>
        <v>0</v>
      </c>
      <c r="CA33" s="148">
        <f t="shared" ref="CA33" si="412">AK33</f>
        <v>0</v>
      </c>
      <c r="CB33" s="130">
        <f t="shared" ref="CB33" si="413">BZ33-CA33</f>
        <v>0</v>
      </c>
      <c r="CC33" s="148" t="s">
        <v>222</v>
      </c>
      <c r="CD33" s="130">
        <v>0</v>
      </c>
      <c r="CE33" s="130" t="str">
        <f t="shared" ref="CE33" si="414">TEXT(AN33,"mmm-yy")</f>
        <v>May-26</v>
      </c>
      <c r="CF33" s="130">
        <f t="shared" ref="CF33" si="415">AM33-AL33-AA33</f>
        <v>180000</v>
      </c>
      <c r="CG33" s="130">
        <f t="shared" ref="CG33" si="416">BO33-BN33</f>
        <v>0</v>
      </c>
      <c r="CH33" s="130">
        <f t="shared" ref="CH33" si="417">INT((D33- IF(MONTH(D33) &gt;= 4, DATE(YEAR(D33), 4, 1), DATE(YEAR(D33)-1, 4, 1))) / 7) + 1</f>
        <v>7</v>
      </c>
      <c r="CI33" s="149" t="s">
        <v>223</v>
      </c>
      <c r="CJ33" s="130" t="s">
        <v>223</v>
      </c>
      <c r="CK33" s="130">
        <v>0</v>
      </c>
      <c r="CL33" s="130">
        <f t="shared" ref="CL33" si="418">AY33-Q33</f>
        <v>-180000</v>
      </c>
      <c r="CM33" s="130">
        <f t="shared" ref="CM33" si="419">CL33-Y33+Z33</f>
        <v>-180000</v>
      </c>
      <c r="CN33" s="130">
        <f t="shared" ref="CN33" si="420">BO33-AM33</f>
        <v>-180000</v>
      </c>
      <c r="CO33" s="130">
        <f t="shared" ref="CO33" si="421">AY33*118%</f>
        <v>0</v>
      </c>
      <c r="CP33" s="130">
        <f t="shared" ref="CP33" si="422">-Q33*118%</f>
        <v>-212400</v>
      </c>
      <c r="CQ33" s="130">
        <f t="shared" ref="CQ33" si="423">-BZ33*118%</f>
        <v>0</v>
      </c>
      <c r="CR33" s="130">
        <f t="shared" ref="CR33" si="424">-CA33*118%</f>
        <v>0</v>
      </c>
      <c r="CS33" s="130">
        <f t="shared" ref="CS33" si="425">SUM(CO33:CR33)</f>
        <v>-212400</v>
      </c>
      <c r="CT33" s="130" t="s">
        <v>214</v>
      </c>
      <c r="CU33" s="130" t="s">
        <v>214</v>
      </c>
      <c r="CV33" s="144" t="str">
        <f t="shared" ref="CV33" si="426">MID(G33,3,10)</f>
        <v>ANHPG0363J</v>
      </c>
      <c r="CW33" s="144" t="str">
        <f t="shared" ref="CW33" si="427">MID(AR33,3,10)</f>
        <v/>
      </c>
    </row>
    <row r="34" spans="2:101" s="170" customFormat="1" ht="12.5" thickBot="1" x14ac:dyDescent="0.35">
      <c r="B34" s="123"/>
      <c r="C34" s="124"/>
      <c r="D34" s="125"/>
      <c r="E34" s="126"/>
      <c r="F34" s="126"/>
      <c r="G34" s="126"/>
      <c r="H34" s="127"/>
      <c r="I34" s="152"/>
      <c r="J34" s="153"/>
      <c r="K34" s="152"/>
      <c r="L34" s="153"/>
      <c r="M34" s="126"/>
      <c r="N34" s="127"/>
      <c r="O34" s="126"/>
      <c r="P34" s="127"/>
      <c r="Q34" s="128"/>
      <c r="R34" s="129"/>
      <c r="S34" s="128"/>
      <c r="T34" s="129"/>
      <c r="U34" s="130"/>
      <c r="V34" s="131"/>
      <c r="W34" s="130"/>
      <c r="X34" s="132"/>
      <c r="Y34" s="130"/>
      <c r="Z34" s="130"/>
      <c r="AA34" s="129"/>
      <c r="AB34" s="128"/>
      <c r="AC34" s="128"/>
      <c r="AD34" s="129"/>
      <c r="AE34" s="130"/>
      <c r="AF34" s="130"/>
      <c r="AG34" s="130"/>
      <c r="AH34" s="130"/>
      <c r="AI34" s="131"/>
      <c r="AJ34" s="130"/>
      <c r="AK34" s="130"/>
      <c r="AL34" s="130"/>
      <c r="AM34" s="134"/>
      <c r="AN34" s="135"/>
      <c r="AO34" s="136"/>
      <c r="AP34" s="137"/>
      <c r="AQ34" s="154"/>
      <c r="AR34" s="138"/>
      <c r="AS34" s="126"/>
      <c r="AT34" s="139"/>
      <c r="AU34" s="140"/>
      <c r="AV34" s="140"/>
      <c r="AW34" s="138"/>
      <c r="AX34" s="140"/>
      <c r="AY34" s="138"/>
      <c r="AZ34" s="141"/>
      <c r="BA34" s="128"/>
      <c r="BB34" s="142"/>
      <c r="BC34" s="143"/>
      <c r="BD34" s="142"/>
      <c r="BE34" s="143"/>
      <c r="BF34" s="142"/>
      <c r="BG34" s="143"/>
      <c r="BH34" s="130"/>
      <c r="BI34" s="133"/>
      <c r="BJ34" s="131"/>
      <c r="BK34" s="128"/>
      <c r="BL34" s="138"/>
      <c r="BM34" s="154"/>
      <c r="BN34" s="155"/>
      <c r="BO34" s="129"/>
      <c r="BP34" s="134"/>
      <c r="BQ34" s="143"/>
      <c r="BR34" s="145"/>
      <c r="BS34" s="128"/>
      <c r="BT34" s="146"/>
      <c r="BU34" s="147"/>
      <c r="BV34" s="146"/>
      <c r="BW34" s="128"/>
      <c r="BX34" s="129"/>
      <c r="BY34" s="128"/>
      <c r="BZ34" s="148"/>
      <c r="CA34" s="148"/>
      <c r="CB34" s="130"/>
      <c r="CC34" s="148"/>
      <c r="CD34" s="130"/>
      <c r="CE34" s="130"/>
      <c r="CF34" s="130"/>
      <c r="CG34" s="130"/>
      <c r="CH34" s="130"/>
      <c r="CI34" s="149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  <c r="CV34" s="144"/>
      <c r="CW34" s="144"/>
    </row>
    <row r="35" spans="2:101" s="151" customFormat="1" ht="12.5" thickBot="1" x14ac:dyDescent="0.35">
      <c r="B35" s="156"/>
      <c r="C35" s="157"/>
      <c r="D35" s="157"/>
      <c r="E35" s="157"/>
      <c r="F35" s="158" t="s">
        <v>62</v>
      </c>
      <c r="G35" s="157"/>
      <c r="H35" s="157"/>
      <c r="I35" s="159"/>
      <c r="J35" s="157"/>
      <c r="K35" s="159"/>
      <c r="L35" s="158"/>
      <c r="M35" s="160"/>
      <c r="N35" s="161"/>
      <c r="O35" s="162">
        <f>SUBTOTAL(9,O24:O34)</f>
        <v>4778</v>
      </c>
      <c r="P35" s="163"/>
      <c r="Q35" s="162">
        <f>SUBTOTAL(9,Q24:Q34)</f>
        <v>554906</v>
      </c>
      <c r="R35" s="162"/>
      <c r="S35" s="162">
        <f>SUBTOTAL(9,S24:S34)</f>
        <v>4778</v>
      </c>
      <c r="T35" s="162">
        <f>SUBTOTAL(9,T24:T34)</f>
        <v>0</v>
      </c>
      <c r="U35" s="164"/>
      <c r="V35" s="164"/>
      <c r="W35" s="165"/>
      <c r="X35" s="165"/>
      <c r="Y35" s="162">
        <f>SUBTOTAL(9,Y24:Y34)</f>
        <v>54711</v>
      </c>
      <c r="Z35" s="162">
        <f>SUBTOTAL(9,Z24:Z34)</f>
        <v>0</v>
      </c>
      <c r="AA35" s="162">
        <f>SUBTOTAL(9,AA24:AA34)</f>
        <v>0</v>
      </c>
      <c r="AB35" s="162">
        <f>SUBTOTAL(9,AB24:AB34)</f>
        <v>54711</v>
      </c>
      <c r="AC35" s="162">
        <f>SUBTOTAL(9,AC24:AC34)</f>
        <v>0</v>
      </c>
      <c r="AD35" s="162">
        <f>SUBTOTAL(1,AD24:AD34)</f>
        <v>0</v>
      </c>
      <c r="AE35" s="162">
        <f>SUBTOTAL(9,AE24:AE34)</f>
        <v>0</v>
      </c>
      <c r="AF35" s="157"/>
      <c r="AG35" s="157"/>
      <c r="AH35" s="166"/>
      <c r="AI35" s="166"/>
      <c r="AJ35" s="162">
        <f>SUBTOTAL(9,AJ24:AJ34)</f>
        <v>0</v>
      </c>
      <c r="AK35" s="162">
        <f>SUBTOTAL(9,AK24:AK34)</f>
        <v>0</v>
      </c>
      <c r="AL35" s="162">
        <f>SUBTOTAL(9,AL24:AL34)</f>
        <v>0</v>
      </c>
      <c r="AM35" s="162">
        <f>SUBTOTAL(9,AM24:AM34)</f>
        <v>609617</v>
      </c>
      <c r="AN35" s="163"/>
      <c r="AO35" s="163"/>
      <c r="AP35" s="163"/>
      <c r="AQ35" s="162"/>
      <c r="AR35" s="162"/>
      <c r="AS35" s="160"/>
      <c r="AT35" s="162"/>
      <c r="AU35" s="163"/>
      <c r="AV35" s="163"/>
      <c r="AW35" s="162">
        <f>SUBTOTAL(9,AW24:AW34)</f>
        <v>0</v>
      </c>
      <c r="AX35" s="162">
        <f>SUBTOTAL(101,AX24:AX34)</f>
        <v>0</v>
      </c>
      <c r="AY35" s="162">
        <f>SUBTOTAL(9,AY24:AY34)</f>
        <v>0</v>
      </c>
      <c r="AZ35" s="162"/>
      <c r="BA35" s="162">
        <f>SUBTOTAL(9,BA24:BA34)</f>
        <v>0</v>
      </c>
      <c r="BB35" s="162">
        <f>SUBTOTAL(9,BB24:BB34)</f>
        <v>0</v>
      </c>
      <c r="BC35" s="162">
        <f>SUBTOTAL(9,BC24:BC34)</f>
        <v>0</v>
      </c>
      <c r="BD35" s="162"/>
      <c r="BE35" s="162"/>
      <c r="BF35" s="162"/>
      <c r="BG35" s="162">
        <f>SUBTOTAL(9,BG24:BG34)</f>
        <v>0</v>
      </c>
      <c r="BH35" s="163"/>
      <c r="BI35" s="163"/>
      <c r="BJ35" s="163"/>
      <c r="BK35" s="163"/>
      <c r="BL35" s="162">
        <f>SUBTOTAL(9,BL24:BL34)</f>
        <v>0</v>
      </c>
      <c r="BM35" s="162">
        <f>SUBTOTAL(9,BM24:BM34)</f>
        <v>0</v>
      </c>
      <c r="BN35" s="162">
        <f>SUBTOTAL(9,BN24:BN34)</f>
        <v>0</v>
      </c>
      <c r="BO35" s="162">
        <f>SUBTOTAL(9,BO24:BO34)</f>
        <v>0</v>
      </c>
      <c r="BP35" s="162">
        <f>SUBTOTAL(9,BP24:BP34)</f>
        <v>-609617</v>
      </c>
      <c r="BQ35" s="162"/>
      <c r="BR35" s="162"/>
      <c r="BS35" s="162">
        <f>SUBTOTAL(9,BS24:BS34)</f>
        <v>-609617</v>
      </c>
      <c r="BT35" s="162"/>
      <c r="BU35" s="162"/>
      <c r="BV35" s="157"/>
      <c r="BW35" s="162">
        <f t="shared" ref="BW35:CB35" si="428">SUBTOTAL(9,BV20:BV34)</f>
        <v>0</v>
      </c>
      <c r="BX35" s="162">
        <f t="shared" si="428"/>
        <v>0</v>
      </c>
      <c r="BY35" s="162" t="e">
        <f t="shared" si="428"/>
        <v>#DIV/0!</v>
      </c>
      <c r="BZ35" s="162">
        <f t="shared" si="428"/>
        <v>0</v>
      </c>
      <c r="CA35" s="162">
        <f t="shared" si="428"/>
        <v>0</v>
      </c>
      <c r="CB35" s="167">
        <f t="shared" si="428"/>
        <v>5.6</v>
      </c>
      <c r="CC35" s="158"/>
      <c r="CD35" s="167"/>
      <c r="CE35" s="167"/>
      <c r="CF35" s="167">
        <f>SUBTOTAL(9,CE20:CE34)</f>
        <v>0</v>
      </c>
      <c r="CG35" s="167">
        <f>SUBTOTAL(9,CF20:CF34)</f>
        <v>2792652.4</v>
      </c>
      <c r="CH35" s="167"/>
      <c r="CI35" s="168"/>
      <c r="CJ35" s="167"/>
      <c r="CK35" s="167"/>
      <c r="CL35" s="167">
        <f t="shared" ref="CL35:CS35" si="429">SUBTOTAL(9,CK20:CK34)</f>
        <v>0</v>
      </c>
      <c r="CM35" s="167">
        <f t="shared" si="429"/>
        <v>-554906</v>
      </c>
      <c r="CN35" s="167">
        <f t="shared" si="429"/>
        <v>-609617</v>
      </c>
      <c r="CO35" s="167">
        <f t="shared" si="429"/>
        <v>-609617</v>
      </c>
      <c r="CP35" s="167">
        <f t="shared" si="429"/>
        <v>0</v>
      </c>
      <c r="CQ35" s="167">
        <f t="shared" si="429"/>
        <v>-654789.08000000007</v>
      </c>
      <c r="CR35" s="167">
        <f t="shared" si="429"/>
        <v>0</v>
      </c>
      <c r="CS35" s="167">
        <f t="shared" si="429"/>
        <v>0</v>
      </c>
      <c r="CT35" s="167"/>
      <c r="CU35" s="167"/>
      <c r="CV35" s="167"/>
      <c r="CW35" s="167"/>
    </row>
    <row r="36" spans="2:101" s="151" customFormat="1" ht="12.5" thickBot="1" x14ac:dyDescent="0.35">
      <c r="B36" s="169"/>
      <c r="C36" s="169"/>
      <c r="D36" s="169"/>
      <c r="E36" s="169"/>
      <c r="F36" s="327"/>
      <c r="G36" s="169"/>
      <c r="H36" s="169"/>
      <c r="I36" s="328"/>
      <c r="J36" s="169"/>
      <c r="K36" s="328"/>
      <c r="L36" s="327"/>
      <c r="M36" s="329"/>
      <c r="N36" s="161"/>
      <c r="O36" s="162"/>
      <c r="P36" s="191"/>
      <c r="Q36" s="330"/>
      <c r="R36" s="330"/>
      <c r="S36" s="330"/>
      <c r="T36" s="330"/>
      <c r="U36" s="331"/>
      <c r="V36" s="331"/>
      <c r="W36" s="332"/>
      <c r="X36" s="332"/>
      <c r="Y36" s="330"/>
      <c r="Z36" s="330"/>
      <c r="AA36" s="162"/>
      <c r="AB36" s="162"/>
      <c r="AC36" s="162"/>
      <c r="AD36" s="330"/>
      <c r="AE36" s="330"/>
      <c r="AF36" s="169"/>
      <c r="AG36" s="169"/>
      <c r="AH36" s="333"/>
      <c r="AI36" s="333"/>
      <c r="AJ36" s="330"/>
      <c r="AK36" s="330"/>
      <c r="AL36" s="330"/>
      <c r="AM36" s="330"/>
      <c r="AN36" s="191"/>
      <c r="AO36" s="191"/>
      <c r="AP36" s="191"/>
      <c r="AQ36" s="330"/>
      <c r="AR36" s="162"/>
      <c r="AS36" s="334"/>
      <c r="AT36" s="162"/>
      <c r="AU36" s="191"/>
      <c r="AV36" s="191"/>
      <c r="AW36" s="330"/>
      <c r="AX36" s="330"/>
      <c r="AY36" s="330"/>
      <c r="AZ36" s="330"/>
      <c r="BA36" s="330"/>
      <c r="BB36" s="330"/>
      <c r="BC36" s="330"/>
      <c r="BD36" s="330"/>
      <c r="BE36" s="330"/>
      <c r="BF36" s="330"/>
      <c r="BG36" s="330"/>
      <c r="BH36" s="191"/>
      <c r="BI36" s="191"/>
      <c r="BJ36" s="191"/>
      <c r="BK36" s="191"/>
      <c r="BL36" s="330"/>
      <c r="BM36" s="330"/>
      <c r="BN36" s="330"/>
      <c r="BO36" s="330"/>
      <c r="BP36" s="330"/>
      <c r="BQ36" s="330"/>
      <c r="BR36" s="330"/>
      <c r="BS36" s="330"/>
      <c r="BT36" s="330"/>
      <c r="BU36" s="330"/>
      <c r="BV36" s="169"/>
      <c r="BW36" s="330"/>
      <c r="BX36" s="330"/>
      <c r="BY36" s="330"/>
      <c r="BZ36" s="330"/>
      <c r="CA36" s="330"/>
      <c r="CB36" s="330"/>
      <c r="CC36" s="327"/>
      <c r="CD36" s="330"/>
      <c r="CE36" s="330"/>
      <c r="CF36" s="330"/>
      <c r="CG36" s="330"/>
      <c r="CH36" s="330"/>
      <c r="CI36" s="335"/>
      <c r="CJ36" s="330"/>
      <c r="CK36" s="330"/>
      <c r="CL36" s="330"/>
      <c r="CM36" s="330"/>
      <c r="CN36" s="330"/>
      <c r="CO36" s="330"/>
      <c r="CP36" s="330"/>
      <c r="CQ36" s="330"/>
      <c r="CR36" s="330"/>
      <c r="CS36" s="330"/>
      <c r="CT36" s="330"/>
      <c r="CU36" s="330"/>
      <c r="CV36" s="330"/>
      <c r="CW36" s="330"/>
    </row>
    <row r="37" spans="2:101" s="170" customFormat="1" ht="15" customHeight="1" thickBot="1" x14ac:dyDescent="0.35">
      <c r="N37" s="194" t="s">
        <v>87</v>
      </c>
      <c r="O37" s="195" t="s">
        <v>56</v>
      </c>
      <c r="P37" s="196"/>
      <c r="Q37" s="178"/>
      <c r="R37" s="178"/>
      <c r="S37" s="178"/>
      <c r="T37" s="178"/>
      <c r="U37" s="174"/>
      <c r="V37" s="150"/>
      <c r="W37" s="150"/>
      <c r="AA37" s="344" t="s">
        <v>87</v>
      </c>
      <c r="AB37" s="345"/>
      <c r="AC37" s="197" t="s">
        <v>56</v>
      </c>
      <c r="AD37" s="151"/>
      <c r="AE37" s="151"/>
      <c r="AF37" s="180"/>
      <c r="AG37" s="180"/>
      <c r="AH37" s="172"/>
      <c r="AI37" s="151"/>
      <c r="AJ37" s="179"/>
      <c r="AK37" s="186"/>
      <c r="AL37" s="151"/>
      <c r="AM37" s="151"/>
      <c r="AN37" s="151"/>
      <c r="AO37" s="151"/>
      <c r="AP37" s="151"/>
      <c r="AQ37" s="151"/>
      <c r="AR37" s="355" t="s">
        <v>87</v>
      </c>
      <c r="AS37" s="356"/>
      <c r="AT37" s="198" t="s">
        <v>56</v>
      </c>
      <c r="AU37" s="199"/>
      <c r="AV37" s="199"/>
      <c r="BN37" s="151"/>
    </row>
    <row r="38" spans="2:101" s="170" customFormat="1" ht="12.65" customHeight="1" x14ac:dyDescent="0.3">
      <c r="N38" s="200" t="s">
        <v>64</v>
      </c>
      <c r="O38" s="201">
        <f>Q19+AJ19+AK19+Q35</f>
        <v>2404936</v>
      </c>
      <c r="P38" s="151"/>
      <c r="Q38" s="178"/>
      <c r="R38" s="178"/>
      <c r="S38" s="178"/>
      <c r="T38" s="178"/>
      <c r="U38" s="174"/>
      <c r="V38" s="150"/>
      <c r="W38" s="150"/>
      <c r="AA38" s="346" t="s">
        <v>86</v>
      </c>
      <c r="AB38" s="347"/>
      <c r="AC38" s="202">
        <f>Y19+Z19+AB35</f>
        <v>54711</v>
      </c>
      <c r="AD38" s="196"/>
      <c r="AE38" s="196"/>
      <c r="AF38" s="180"/>
      <c r="AG38" s="180"/>
      <c r="AH38" s="172"/>
      <c r="AI38" s="151"/>
      <c r="AJ38" s="179"/>
      <c r="AK38" s="188"/>
      <c r="AL38" s="151"/>
      <c r="AM38" s="151"/>
      <c r="AN38" s="151"/>
      <c r="AO38" s="151"/>
      <c r="AP38" s="151"/>
      <c r="AQ38" s="151"/>
      <c r="AR38" s="221" t="s">
        <v>63</v>
      </c>
      <c r="AS38" s="213"/>
      <c r="AT38" s="203">
        <f>+AY19+BL19+BM19+BC19+BG19</f>
        <v>2026053.6</v>
      </c>
      <c r="AU38" s="204"/>
      <c r="AV38" s="204"/>
      <c r="BN38" s="151"/>
    </row>
    <row r="39" spans="2:101" s="170" customFormat="1" ht="11.4" customHeight="1" x14ac:dyDescent="0.3">
      <c r="N39" s="200" t="s">
        <v>88</v>
      </c>
      <c r="O39" s="201">
        <v>2354172</v>
      </c>
      <c r="P39" s="205">
        <v>46194</v>
      </c>
      <c r="Q39" s="178"/>
      <c r="S39" s="178"/>
      <c r="T39" s="178"/>
      <c r="U39" s="174"/>
      <c r="V39" s="150"/>
      <c r="W39" s="150"/>
      <c r="AA39" s="346" t="s">
        <v>65</v>
      </c>
      <c r="AB39" s="347"/>
      <c r="AC39" s="206">
        <v>54711</v>
      </c>
      <c r="AD39" s="205">
        <f>P39</f>
        <v>46194</v>
      </c>
      <c r="AF39" s="180"/>
      <c r="AG39" s="180"/>
      <c r="AH39" s="172"/>
      <c r="AI39" s="151"/>
      <c r="AJ39" s="179"/>
      <c r="AK39" s="188"/>
      <c r="AL39" s="151"/>
      <c r="AM39" s="151"/>
      <c r="AN39" s="151"/>
      <c r="AO39" s="151"/>
      <c r="AP39" s="151"/>
      <c r="AQ39" s="151"/>
      <c r="AR39" s="221" t="s">
        <v>65</v>
      </c>
      <c r="AS39" s="213"/>
      <c r="AT39" s="207">
        <v>1967519.6</v>
      </c>
      <c r="AU39" s="205">
        <f>P39</f>
        <v>46194</v>
      </c>
      <c r="AV39" s="205"/>
    </row>
    <row r="40" spans="2:101" s="170" customFormat="1" ht="11.4" customHeight="1" x14ac:dyDescent="0.3">
      <c r="N40" s="200" t="s">
        <v>66</v>
      </c>
      <c r="O40" s="208">
        <f>O39-O38</f>
        <v>-50764</v>
      </c>
      <c r="P40" s="151"/>
      <c r="Q40" s="178"/>
      <c r="S40" s="178"/>
      <c r="T40" s="178"/>
      <c r="U40" s="174"/>
      <c r="V40" s="150"/>
      <c r="W40" s="150"/>
      <c r="AA40" s="346" t="s">
        <v>66</v>
      </c>
      <c r="AB40" s="347"/>
      <c r="AC40" s="209">
        <f>AC39-AC38</f>
        <v>0</v>
      </c>
      <c r="AD40" s="196"/>
      <c r="AE40" s="196"/>
      <c r="AF40" s="180"/>
      <c r="AG40" s="180"/>
      <c r="AH40" s="172"/>
      <c r="AI40" s="151"/>
      <c r="AJ40" s="179"/>
      <c r="AK40" s="151"/>
      <c r="AL40" s="151"/>
      <c r="AM40" s="151"/>
      <c r="AN40" s="151"/>
      <c r="AO40" s="151"/>
      <c r="AP40" s="151"/>
      <c r="AQ40" s="151"/>
      <c r="AR40" s="221" t="s">
        <v>66</v>
      </c>
      <c r="AS40" s="213"/>
      <c r="AT40" s="208">
        <f>AT38-AT39</f>
        <v>58534</v>
      </c>
      <c r="AU40" s="190"/>
      <c r="AV40" s="190"/>
    </row>
    <row r="41" spans="2:101" s="170" customFormat="1" ht="12" x14ac:dyDescent="0.3">
      <c r="N41" s="200" t="s">
        <v>261</v>
      </c>
      <c r="O41" s="203">
        <f>'Last year''s'!G3</f>
        <v>244602</v>
      </c>
      <c r="P41" s="185"/>
      <c r="Q41" s="178"/>
      <c r="S41" s="178"/>
      <c r="T41" s="178"/>
      <c r="U41" s="174"/>
      <c r="V41" s="150"/>
      <c r="W41" s="150"/>
      <c r="Z41" s="324" t="s">
        <v>270</v>
      </c>
      <c r="AA41" s="346" t="s">
        <v>183</v>
      </c>
      <c r="AB41" s="347"/>
      <c r="AC41" s="210">
        <v>0</v>
      </c>
      <c r="AD41" s="196"/>
      <c r="AE41" s="196"/>
      <c r="AF41" s="180"/>
      <c r="AG41" s="180"/>
      <c r="AH41" s="172"/>
      <c r="AI41" s="151"/>
      <c r="AJ41" s="179"/>
      <c r="AK41" s="151"/>
      <c r="AL41" s="151"/>
      <c r="AM41" s="151"/>
      <c r="AN41" s="151"/>
      <c r="AO41" s="151"/>
      <c r="AP41" s="151"/>
      <c r="AQ41" s="151"/>
      <c r="AR41" s="221" t="s">
        <v>182</v>
      </c>
      <c r="AS41" s="213"/>
      <c r="AT41" s="203">
        <f>'Last year''s'!N3</f>
        <v>227297.5</v>
      </c>
      <c r="AU41" s="190"/>
      <c r="AV41" s="190"/>
    </row>
    <row r="42" spans="2:101" s="170" customFormat="1" ht="12" x14ac:dyDescent="0.3">
      <c r="N42" s="200" t="s">
        <v>172</v>
      </c>
      <c r="O42" s="203">
        <v>0</v>
      </c>
      <c r="P42" s="211"/>
      <c r="Q42" s="178"/>
      <c r="S42" s="178"/>
      <c r="T42" s="178"/>
      <c r="U42" s="174"/>
      <c r="V42" s="150"/>
      <c r="W42" s="150"/>
      <c r="X42" s="170" t="s">
        <v>271</v>
      </c>
      <c r="AA42" s="346" t="s">
        <v>160</v>
      </c>
      <c r="AB42" s="347"/>
      <c r="AC42" s="210">
        <f>'Last year''s'!T32</f>
        <v>0</v>
      </c>
      <c r="AD42" s="196"/>
      <c r="AE42" s="196"/>
      <c r="AF42" s="180"/>
      <c r="AG42" s="180"/>
      <c r="AH42" s="151"/>
      <c r="AI42" s="151"/>
      <c r="AJ42" s="212"/>
      <c r="AK42" s="151"/>
      <c r="AL42" s="151"/>
      <c r="AM42" s="151"/>
      <c r="AN42" s="151"/>
      <c r="AO42" s="151"/>
      <c r="AP42" s="151"/>
      <c r="AQ42" s="151"/>
      <c r="AR42" s="221" t="s">
        <v>181</v>
      </c>
      <c r="AS42" s="213"/>
      <c r="AT42" s="203">
        <f>'Last year''s'!N5</f>
        <v>168763.5</v>
      </c>
      <c r="AU42" s="204"/>
      <c r="AV42" s="204"/>
    </row>
    <row r="43" spans="2:101" s="170" customFormat="1" ht="12" x14ac:dyDescent="0.3">
      <c r="N43" s="200" t="s">
        <v>262</v>
      </c>
      <c r="O43" s="203">
        <f>'Last year''s'!G4</f>
        <v>295366</v>
      </c>
      <c r="P43" s="186"/>
      <c r="Q43" s="178"/>
      <c r="S43" s="178"/>
      <c r="T43" s="178"/>
      <c r="U43" s="174"/>
      <c r="V43" s="150"/>
      <c r="W43" s="150"/>
      <c r="AA43" s="346"/>
      <c r="AB43" s="347"/>
      <c r="AC43" s="210"/>
      <c r="AD43" s="204"/>
      <c r="AE43" s="204"/>
      <c r="AF43" s="180"/>
      <c r="AG43" s="180"/>
      <c r="AH43" s="151"/>
      <c r="AI43" s="151"/>
      <c r="AJ43" s="212"/>
      <c r="AK43" s="151"/>
      <c r="AL43" s="151"/>
      <c r="AM43" s="151"/>
      <c r="AN43" s="151"/>
      <c r="AO43" s="151"/>
      <c r="AP43" s="151"/>
      <c r="AQ43" s="151"/>
      <c r="AR43" s="221" t="s">
        <v>83</v>
      </c>
      <c r="AS43" s="213"/>
      <c r="AT43" s="203">
        <f>-'Recon Items'!C29+'Recon Items'!F29+'Recon Items'!Q8</f>
        <v>0</v>
      </c>
      <c r="AU43" s="204"/>
      <c r="AV43" s="204"/>
    </row>
    <row r="44" spans="2:101" s="170" customFormat="1" ht="12.5" thickBot="1" x14ac:dyDescent="0.35">
      <c r="N44" s="200" t="s">
        <v>83</v>
      </c>
      <c r="O44" s="203">
        <f>'Recon Items'!F18-'Recon Items'!C18-'Recon Items'!M18</f>
        <v>0</v>
      </c>
      <c r="P44" s="191"/>
      <c r="Q44" s="178"/>
      <c r="S44" s="178"/>
      <c r="T44" s="178"/>
      <c r="U44" s="174"/>
      <c r="V44" s="150"/>
      <c r="W44" s="150"/>
      <c r="AA44" s="342" t="s">
        <v>155</v>
      </c>
      <c r="AB44" s="343"/>
      <c r="AC44" s="213"/>
      <c r="AD44" s="178"/>
      <c r="AE44" s="178"/>
      <c r="AF44" s="180"/>
      <c r="AG44" s="180"/>
      <c r="AH44" s="151"/>
      <c r="AI44" s="151"/>
      <c r="AJ44" s="212"/>
      <c r="AK44" s="151"/>
      <c r="AL44" s="151"/>
      <c r="AM44" s="151"/>
      <c r="AN44" s="151"/>
      <c r="AO44" s="151"/>
      <c r="AP44" s="151"/>
      <c r="AQ44" s="151"/>
      <c r="AR44" s="221" t="s">
        <v>155</v>
      </c>
      <c r="AS44" s="213"/>
      <c r="AT44" s="203">
        <f>'Recon Items'!F64</f>
        <v>0</v>
      </c>
      <c r="AU44" s="190"/>
      <c r="AV44" s="190"/>
    </row>
    <row r="45" spans="2:101" s="170" customFormat="1" ht="15" customHeight="1" thickBot="1" x14ac:dyDescent="0.35">
      <c r="N45" s="200" t="s">
        <v>155</v>
      </c>
      <c r="O45" s="214">
        <f>'Recon Items'!C64</f>
        <v>0</v>
      </c>
      <c r="Q45" s="178"/>
      <c r="S45" s="178"/>
      <c r="T45" s="178"/>
      <c r="U45" s="174"/>
      <c r="V45" s="150"/>
      <c r="W45" s="150"/>
      <c r="AA45" s="215" t="s">
        <v>66</v>
      </c>
      <c r="AB45" s="158"/>
      <c r="AC45" s="216">
        <f>-AC40+AC41+AC42</f>
        <v>0</v>
      </c>
      <c r="AD45" s="191"/>
      <c r="AE45" s="191"/>
      <c r="AF45" s="180"/>
      <c r="AG45" s="180"/>
      <c r="AH45" s="151"/>
      <c r="AI45" s="151"/>
      <c r="AJ45" s="177"/>
      <c r="AK45" s="151"/>
      <c r="AL45" s="151"/>
      <c r="AM45" s="151"/>
      <c r="AN45" s="151"/>
      <c r="AO45" s="151"/>
      <c r="AP45" s="151"/>
      <c r="AQ45" s="151"/>
      <c r="AR45" s="353" t="s">
        <v>77</v>
      </c>
      <c r="AS45" s="354"/>
      <c r="AT45" s="217">
        <f>AT40+AT42+AT43-AT41+AT44</f>
        <v>0</v>
      </c>
      <c r="AU45" s="151"/>
      <c r="AV45" s="151"/>
    </row>
    <row r="46" spans="2:101" s="151" customFormat="1" ht="12.5" thickBot="1" x14ac:dyDescent="0.35">
      <c r="E46" s="171"/>
      <c r="F46" s="172"/>
      <c r="H46" s="172"/>
      <c r="I46" s="193"/>
      <c r="J46" s="179"/>
      <c r="K46" s="193"/>
      <c r="L46" s="174"/>
      <c r="M46" s="172"/>
      <c r="N46" s="215" t="s">
        <v>66</v>
      </c>
      <c r="O46" s="216">
        <f>O40+O43-O44-O41-O45-O42</f>
        <v>0</v>
      </c>
      <c r="P46" s="179"/>
      <c r="Q46" s="178"/>
      <c r="U46" s="174"/>
      <c r="V46" s="150"/>
      <c r="W46" s="150"/>
      <c r="X46" s="172"/>
      <c r="AD46" s="179"/>
      <c r="AE46" s="179"/>
      <c r="AF46" s="180"/>
      <c r="AG46" s="180"/>
      <c r="AH46" s="172"/>
      <c r="AM46" s="179"/>
      <c r="AR46" s="189"/>
      <c r="BL46" s="180"/>
      <c r="BQ46" s="172"/>
      <c r="BR46" s="192"/>
      <c r="BX46" s="172"/>
      <c r="CB46" s="171"/>
      <c r="CH46" s="172"/>
    </row>
    <row r="47" spans="2:101" s="151" customFormat="1" ht="12" x14ac:dyDescent="0.3">
      <c r="E47" s="171"/>
      <c r="F47" s="172"/>
      <c r="H47" s="172"/>
      <c r="I47" s="193"/>
      <c r="J47" s="179"/>
      <c r="K47" s="193"/>
      <c r="L47" s="174"/>
      <c r="M47" s="172"/>
      <c r="N47" s="180"/>
      <c r="O47" s="180"/>
      <c r="P47" s="179"/>
      <c r="Q47" s="178"/>
      <c r="U47" s="174"/>
      <c r="V47" s="150"/>
      <c r="W47" s="150"/>
      <c r="X47" s="172"/>
      <c r="AD47" s="179"/>
      <c r="AE47" s="179"/>
      <c r="AF47" s="180"/>
      <c r="AG47" s="180"/>
      <c r="AH47" s="172"/>
      <c r="AM47" s="179"/>
      <c r="AR47" s="189"/>
      <c r="BL47" s="180"/>
      <c r="BQ47" s="172"/>
      <c r="BR47" s="192"/>
      <c r="BX47" s="172"/>
      <c r="CB47" s="171"/>
      <c r="CH47" s="172"/>
    </row>
    <row r="48" spans="2:101" s="151" customFormat="1" ht="12" x14ac:dyDescent="0.3">
      <c r="E48" s="171"/>
      <c r="F48" s="172"/>
      <c r="H48" s="172"/>
      <c r="I48" s="193"/>
      <c r="J48" s="179"/>
      <c r="K48" s="193"/>
      <c r="L48" s="174"/>
      <c r="M48" s="172"/>
      <c r="N48" s="180"/>
      <c r="O48" s="180"/>
      <c r="P48" s="179"/>
      <c r="Q48" s="178"/>
      <c r="U48" s="174"/>
      <c r="V48" s="150"/>
      <c r="W48" s="150"/>
      <c r="X48" s="172"/>
      <c r="AD48" s="179"/>
      <c r="AE48" s="179"/>
      <c r="AF48" s="180"/>
      <c r="AG48" s="180"/>
      <c r="AH48" s="172"/>
      <c r="AM48" s="179"/>
      <c r="AR48" s="189"/>
      <c r="BL48" s="180"/>
      <c r="BQ48" s="172"/>
      <c r="BR48" s="192"/>
      <c r="BX48" s="172"/>
      <c r="CB48" s="171"/>
      <c r="CH48" s="172"/>
    </row>
    <row r="49" spans="5:86" s="151" customFormat="1" ht="12" x14ac:dyDescent="0.3">
      <c r="E49" s="171"/>
      <c r="F49" s="172"/>
      <c r="H49" s="172"/>
      <c r="I49" s="193"/>
      <c r="J49" s="179"/>
      <c r="K49" s="193"/>
      <c r="L49" s="174"/>
      <c r="M49" s="172"/>
      <c r="N49" s="180"/>
      <c r="O49" s="180"/>
      <c r="P49" s="179"/>
      <c r="Q49" s="178"/>
      <c r="U49" s="174"/>
      <c r="V49" s="150"/>
      <c r="W49" s="150"/>
      <c r="X49" s="172"/>
      <c r="AD49" s="179"/>
      <c r="AE49" s="179"/>
      <c r="AF49" s="180"/>
      <c r="AG49" s="180"/>
      <c r="AH49" s="172"/>
      <c r="AM49" s="179"/>
      <c r="AR49" s="189"/>
      <c r="BL49" s="180"/>
      <c r="BQ49" s="172"/>
      <c r="BR49" s="192"/>
      <c r="BX49" s="172"/>
      <c r="CB49" s="171"/>
      <c r="CH49" s="172"/>
    </row>
    <row r="50" spans="5:86" s="151" customFormat="1" ht="12" x14ac:dyDescent="0.3">
      <c r="E50" s="171"/>
      <c r="F50" s="172"/>
      <c r="H50" s="172"/>
      <c r="I50" s="193"/>
      <c r="J50" s="179"/>
      <c r="K50" s="193"/>
      <c r="L50" s="174"/>
      <c r="M50" s="172"/>
      <c r="N50" s="180"/>
      <c r="O50" s="180"/>
      <c r="P50" s="179"/>
      <c r="Q50" s="178"/>
      <c r="U50" s="174"/>
      <c r="V50" s="150"/>
      <c r="W50" s="150"/>
      <c r="X50" s="172"/>
      <c r="AD50" s="179"/>
      <c r="AE50" s="179"/>
      <c r="AF50" s="180"/>
      <c r="AG50" s="180"/>
      <c r="AH50" s="172"/>
      <c r="AM50" s="179"/>
      <c r="AR50" s="189"/>
      <c r="BL50" s="180"/>
      <c r="BQ50" s="172"/>
      <c r="BR50" s="192"/>
      <c r="BX50" s="172"/>
      <c r="CB50" s="171"/>
      <c r="CH50" s="172"/>
    </row>
    <row r="51" spans="5:86" s="151" customFormat="1" ht="12" x14ac:dyDescent="0.3">
      <c r="E51" s="171"/>
      <c r="F51" s="172"/>
      <c r="H51" s="172"/>
      <c r="I51" s="193"/>
      <c r="J51" s="179"/>
      <c r="K51" s="193"/>
      <c r="L51" s="174"/>
      <c r="M51" s="172"/>
      <c r="N51" s="180"/>
      <c r="O51" s="180"/>
      <c r="P51" s="179"/>
      <c r="Q51" s="178"/>
      <c r="U51" s="174"/>
      <c r="V51" s="150"/>
      <c r="W51" s="150"/>
      <c r="X51" s="172"/>
      <c r="AD51" s="179"/>
      <c r="AE51" s="179"/>
      <c r="AF51" s="180"/>
      <c r="AG51" s="180"/>
      <c r="AH51" s="172"/>
      <c r="AM51" s="179"/>
      <c r="AR51" s="189"/>
      <c r="BL51" s="180"/>
      <c r="BQ51" s="172"/>
      <c r="BR51" s="192"/>
      <c r="BX51" s="172"/>
      <c r="CB51" s="171"/>
      <c r="CH51" s="172"/>
    </row>
    <row r="52" spans="5:86" s="151" customFormat="1" ht="12" x14ac:dyDescent="0.3">
      <c r="E52" s="171"/>
      <c r="F52" s="172"/>
      <c r="H52" s="172"/>
      <c r="I52" s="193"/>
      <c r="J52" s="179"/>
      <c r="K52" s="193"/>
      <c r="L52" s="174"/>
      <c r="M52" s="172"/>
      <c r="N52" s="180"/>
      <c r="O52" s="180"/>
      <c r="P52" s="179"/>
      <c r="Q52" s="178"/>
      <c r="U52" s="174"/>
      <c r="V52" s="150"/>
      <c r="W52" s="150"/>
      <c r="X52" s="172"/>
      <c r="AD52" s="179"/>
      <c r="AE52" s="179"/>
      <c r="AF52" s="180"/>
      <c r="AG52" s="180"/>
      <c r="AH52" s="172"/>
      <c r="AM52" s="179"/>
      <c r="AR52" s="189"/>
      <c r="BL52" s="180"/>
      <c r="BQ52" s="172"/>
      <c r="BR52" s="192"/>
      <c r="BX52" s="172"/>
      <c r="CB52" s="171"/>
      <c r="CH52" s="172"/>
    </row>
    <row r="53" spans="5:86" x14ac:dyDescent="0.25">
      <c r="Q53" s="104"/>
    </row>
    <row r="54" spans="5:86" x14ac:dyDescent="0.25">
      <c r="Q54" s="104"/>
    </row>
    <row r="55" spans="5:86" x14ac:dyDescent="0.25">
      <c r="Q55" s="104"/>
    </row>
    <row r="56" spans="5:86" x14ac:dyDescent="0.25">
      <c r="Q56" s="104"/>
    </row>
    <row r="57" spans="5:86" x14ac:dyDescent="0.25">
      <c r="Q57" s="104"/>
    </row>
    <row r="58" spans="5:86" s="90" customFormat="1" ht="14.5" x14ac:dyDescent="0.35">
      <c r="N58" s="105"/>
      <c r="O58" s="105"/>
      <c r="Q58" s="104"/>
      <c r="R58" s="82"/>
      <c r="S58" s="82"/>
      <c r="T58" s="82"/>
      <c r="U58" s="102"/>
      <c r="V58" s="88"/>
      <c r="W58" s="111"/>
      <c r="X58" s="103"/>
      <c r="Y58" s="82"/>
      <c r="Z58" s="112"/>
      <c r="AD58" s="97"/>
      <c r="AE58" s="97"/>
      <c r="AF58" s="105"/>
      <c r="AG58" s="105"/>
      <c r="AH58" s="112"/>
      <c r="AI58" s="82"/>
      <c r="AJ58" s="107"/>
      <c r="AK58" s="82"/>
      <c r="AL58" s="82"/>
      <c r="AM58" s="113"/>
      <c r="AN58" s="112"/>
      <c r="AO58" s="112"/>
      <c r="AP58" s="82"/>
      <c r="AQ58" s="82"/>
      <c r="AR58" s="108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112"/>
      <c r="BH58" s="107"/>
      <c r="BI58" s="107"/>
      <c r="BJ58" s="106">
        <f>SUM(BJ52:BJ57)</f>
        <v>0</v>
      </c>
    </row>
    <row r="59" spans="5:86" s="90" customFormat="1" ht="14.5" x14ac:dyDescent="0.35">
      <c r="Q59" s="104"/>
      <c r="R59" s="82"/>
      <c r="S59" s="82"/>
      <c r="T59" s="82"/>
      <c r="U59" s="102"/>
      <c r="V59" s="88"/>
      <c r="W59" s="111"/>
      <c r="X59" s="103"/>
      <c r="Y59" s="82"/>
      <c r="Z59" s="104"/>
      <c r="AA59" s="104"/>
      <c r="AB59" s="104"/>
      <c r="AD59" s="97"/>
      <c r="AE59" s="97"/>
      <c r="AF59" s="105"/>
      <c r="AG59" s="105"/>
      <c r="AH59" s="112"/>
      <c r="AI59" s="82"/>
      <c r="AJ59" s="82"/>
      <c r="AK59" s="82"/>
      <c r="AL59" s="82"/>
      <c r="AM59" s="113"/>
      <c r="AN59" s="112"/>
      <c r="AO59" s="112"/>
      <c r="AP59" s="82"/>
      <c r="AQ59" s="82"/>
      <c r="AR59" s="108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112"/>
      <c r="BH59" s="109"/>
      <c r="BI59" s="109"/>
      <c r="BJ59" s="109">
        <f>BJ51-BJ58</f>
        <v>0</v>
      </c>
    </row>
    <row r="60" spans="5:86" s="90" customFormat="1" ht="14.5" x14ac:dyDescent="0.35">
      <c r="Q60" s="104"/>
      <c r="R60" s="82"/>
      <c r="S60" s="82"/>
      <c r="T60" s="82"/>
      <c r="U60" s="102"/>
      <c r="V60" s="88"/>
      <c r="W60" s="111"/>
      <c r="X60" s="103"/>
      <c r="Y60" s="82"/>
      <c r="Z60" s="82"/>
      <c r="AA60" s="104"/>
      <c r="AB60" s="104"/>
      <c r="AC60" s="104"/>
      <c r="AD60" s="97"/>
      <c r="AE60" s="97"/>
      <c r="AF60" s="105"/>
      <c r="AG60" s="105"/>
      <c r="AH60" s="112"/>
      <c r="AI60" s="82"/>
      <c r="AJ60" s="82"/>
      <c r="AK60" s="82"/>
      <c r="AL60" s="82"/>
      <c r="AM60" s="113"/>
      <c r="AN60" s="112"/>
      <c r="AO60" s="112"/>
      <c r="AP60" s="82"/>
      <c r="AQ60" s="82"/>
      <c r="AR60" s="108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112"/>
      <c r="BH60" s="82"/>
      <c r="BI60" s="82"/>
      <c r="BJ60" s="82"/>
    </row>
    <row r="61" spans="5:86" s="90" customFormat="1" ht="14.5" x14ac:dyDescent="0.35">
      <c r="Q61" s="104"/>
      <c r="R61" s="82"/>
      <c r="S61" s="82"/>
      <c r="T61" s="82"/>
      <c r="U61" s="102"/>
      <c r="V61" s="88"/>
      <c r="W61" s="111"/>
      <c r="X61" s="103"/>
      <c r="Y61" s="82"/>
      <c r="Z61" s="82"/>
      <c r="AA61" s="104"/>
      <c r="AB61" s="82"/>
      <c r="AC61" s="104"/>
      <c r="AD61" s="97"/>
      <c r="AE61" s="97"/>
      <c r="AF61" s="105"/>
      <c r="AG61" s="105"/>
      <c r="AH61" s="112"/>
      <c r="AI61" s="82"/>
      <c r="AJ61" s="82"/>
      <c r="AK61" s="82"/>
      <c r="AL61" s="82"/>
      <c r="AM61" s="97"/>
      <c r="AN61" s="112"/>
      <c r="AO61" s="112"/>
      <c r="AP61" s="82"/>
      <c r="AQ61" s="82"/>
      <c r="AR61" s="108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112"/>
      <c r="BH61" s="97"/>
      <c r="BI61" s="97"/>
      <c r="BJ61" s="82"/>
    </row>
    <row r="62" spans="5:86" s="90" customFormat="1" ht="14.5" x14ac:dyDescent="0.35">
      <c r="Q62" s="104"/>
      <c r="R62" s="82"/>
      <c r="S62" s="82"/>
      <c r="T62" s="82"/>
      <c r="U62" s="102"/>
      <c r="V62" s="88"/>
      <c r="W62" s="111"/>
      <c r="X62" s="103"/>
      <c r="Y62" s="82"/>
      <c r="Z62" s="82"/>
      <c r="AA62" s="104"/>
      <c r="AB62" s="82"/>
      <c r="AD62" s="97"/>
      <c r="AE62" s="97"/>
      <c r="AF62" s="105"/>
      <c r="AG62" s="105"/>
      <c r="AH62" s="112"/>
      <c r="AI62" s="82"/>
      <c r="AJ62" s="82"/>
      <c r="AK62" s="82"/>
      <c r="AL62" s="82"/>
      <c r="AM62" s="97"/>
      <c r="AN62" s="112"/>
      <c r="AO62" s="112"/>
      <c r="AP62" s="82"/>
      <c r="AQ62" s="82"/>
      <c r="AR62" s="108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112"/>
      <c r="BH62" s="97"/>
      <c r="BI62" s="97"/>
      <c r="BJ62" s="82"/>
    </row>
    <row r="63" spans="5:86" s="90" customFormat="1" ht="14.5" x14ac:dyDescent="0.35">
      <c r="Q63" s="104"/>
      <c r="R63" s="82"/>
      <c r="S63" s="82"/>
      <c r="T63" s="82"/>
      <c r="U63" s="102"/>
      <c r="V63" s="88"/>
      <c r="W63" s="111"/>
      <c r="X63" s="103"/>
      <c r="Y63" s="82"/>
      <c r="Z63" s="82"/>
      <c r="AA63" s="104"/>
      <c r="AB63" s="82"/>
      <c r="AD63" s="97"/>
      <c r="AE63" s="97"/>
      <c r="AF63" s="105"/>
      <c r="AG63" s="105"/>
      <c r="AH63" s="112"/>
      <c r="AI63" s="82"/>
      <c r="AJ63" s="82"/>
      <c r="AK63" s="82"/>
      <c r="AL63" s="82"/>
      <c r="AM63" s="97"/>
      <c r="AN63" s="112"/>
      <c r="AO63" s="112"/>
      <c r="AP63" s="82"/>
      <c r="AQ63" s="82"/>
      <c r="AR63" s="108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112"/>
      <c r="BH63" s="82"/>
      <c r="BI63" s="82"/>
      <c r="BJ63" s="82"/>
    </row>
    <row r="64" spans="5:86" s="90" customFormat="1" ht="14.5" x14ac:dyDescent="0.35">
      <c r="Q64" s="104"/>
      <c r="R64" s="82"/>
      <c r="S64" s="82"/>
      <c r="T64" s="82"/>
      <c r="U64" s="102"/>
      <c r="V64" s="88"/>
      <c r="W64" s="111"/>
      <c r="X64" s="103"/>
      <c r="Y64" s="82"/>
      <c r="Z64" s="82"/>
      <c r="AA64" s="104"/>
      <c r="AB64" s="82"/>
      <c r="AD64" s="97"/>
      <c r="AE64" s="97"/>
      <c r="AF64" s="105"/>
      <c r="AG64" s="105"/>
      <c r="AH64" s="112"/>
      <c r="AI64" s="82"/>
      <c r="AJ64" s="82"/>
      <c r="AK64" s="82"/>
      <c r="AL64" s="82"/>
      <c r="AM64" s="113"/>
      <c r="AN64" s="112"/>
      <c r="AO64" s="112"/>
      <c r="AP64" s="82"/>
      <c r="AQ64" s="82"/>
      <c r="AR64" s="108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112"/>
      <c r="BH64" s="82"/>
      <c r="BI64" s="82"/>
      <c r="BJ64" s="82"/>
    </row>
    <row r="65" spans="14:62" s="90" customFormat="1" ht="14.5" x14ac:dyDescent="0.35">
      <c r="Q65" s="104"/>
      <c r="R65" s="82"/>
      <c r="S65" s="82"/>
      <c r="T65" s="82"/>
      <c r="U65" s="102"/>
      <c r="V65" s="88"/>
      <c r="W65" s="111"/>
      <c r="X65" s="103"/>
      <c r="Y65" s="82"/>
      <c r="Z65" s="82"/>
      <c r="AA65" s="104"/>
      <c r="AB65" s="82"/>
      <c r="AD65" s="97"/>
      <c r="AE65" s="97"/>
      <c r="AF65" s="105"/>
      <c r="AG65" s="105"/>
      <c r="AH65" s="112"/>
      <c r="AI65" s="82"/>
      <c r="AJ65" s="82"/>
      <c r="AK65" s="82">
        <f>AK66-AK67</f>
        <v>0</v>
      </c>
      <c r="AL65" s="82"/>
      <c r="AM65" s="97"/>
      <c r="AN65" s="112"/>
      <c r="AO65" s="112"/>
      <c r="AP65" s="82"/>
      <c r="AQ65" s="82"/>
      <c r="AR65" s="108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112"/>
      <c r="BH65" s="82"/>
      <c r="BI65" s="82"/>
      <c r="BJ65" s="82"/>
    </row>
    <row r="66" spans="14:62" s="90" customFormat="1" ht="14.5" x14ac:dyDescent="0.35">
      <c r="Q66" s="104"/>
      <c r="R66" s="82"/>
      <c r="S66" s="82"/>
      <c r="T66" s="82"/>
      <c r="U66" s="102"/>
      <c r="V66" s="88"/>
      <c r="W66" s="111"/>
      <c r="X66" s="103"/>
      <c r="Y66" s="82"/>
      <c r="Z66" s="82"/>
      <c r="AA66" s="104"/>
      <c r="AB66" s="82"/>
      <c r="AD66" s="97"/>
      <c r="AE66" s="97"/>
      <c r="AF66" s="105"/>
      <c r="AG66" s="105"/>
      <c r="AH66" s="112"/>
      <c r="AJ66" s="82"/>
      <c r="AK66" s="82"/>
      <c r="AL66" s="82"/>
      <c r="AM66" s="97"/>
      <c r="AN66" s="112"/>
      <c r="AO66" s="112"/>
      <c r="AP66" s="82"/>
      <c r="AQ66" s="82"/>
      <c r="AR66" s="108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114"/>
      <c r="BH66" s="82"/>
      <c r="BI66" s="82"/>
      <c r="BJ66" s="82"/>
    </row>
    <row r="67" spans="14:62" s="90" customFormat="1" ht="14.5" x14ac:dyDescent="0.35">
      <c r="Q67" s="104"/>
      <c r="R67" s="82"/>
      <c r="S67" s="82"/>
      <c r="T67" s="82"/>
      <c r="U67" s="102"/>
      <c r="V67" s="88"/>
      <c r="W67" s="111"/>
      <c r="X67" s="103"/>
      <c r="Y67" s="107"/>
      <c r="Z67" s="82"/>
      <c r="AA67" s="82"/>
      <c r="AB67" s="82"/>
      <c r="AC67" s="82"/>
      <c r="AD67" s="97"/>
      <c r="AE67" s="97"/>
      <c r="AF67" s="105"/>
      <c r="AG67" s="105"/>
      <c r="AH67" s="112"/>
      <c r="AI67" s="82"/>
      <c r="AJ67" s="82"/>
      <c r="AK67" s="82"/>
      <c r="AL67" s="82"/>
      <c r="AM67" s="97"/>
      <c r="AN67" s="112"/>
      <c r="AO67" s="112"/>
      <c r="AP67" s="82"/>
      <c r="AQ67" s="82"/>
      <c r="AR67" s="108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112"/>
      <c r="BH67" s="82"/>
      <c r="BI67" s="82"/>
      <c r="BJ67" s="82"/>
    </row>
    <row r="68" spans="14:62" x14ac:dyDescent="0.25">
      <c r="N68" s="90"/>
      <c r="O68" s="90"/>
    </row>
  </sheetData>
  <dataConsolidate link="1">
    <dataRefs count="1">
      <dataRef name="s"/>
    </dataRefs>
  </dataConsolidate>
  <mergeCells count="16">
    <mergeCell ref="B3:D3"/>
    <mergeCell ref="BV3:CA3"/>
    <mergeCell ref="BV2:CA2"/>
    <mergeCell ref="AR45:AS45"/>
    <mergeCell ref="AR37:AS37"/>
    <mergeCell ref="CN3:CR3"/>
    <mergeCell ref="AA44:AB44"/>
    <mergeCell ref="AA37:AB37"/>
    <mergeCell ref="AA38:AB38"/>
    <mergeCell ref="AA39:AB39"/>
    <mergeCell ref="AA40:AB40"/>
    <mergeCell ref="AA41:AB41"/>
    <mergeCell ref="AA42:AB42"/>
    <mergeCell ref="AA43:AB43"/>
    <mergeCell ref="CK3:CM3"/>
    <mergeCell ref="CE3:CF3"/>
  </mergeCells>
  <conditionalFormatting sqref="E3">
    <cfRule type="duplicateValues" dxfId="62" priority="15890"/>
  </conditionalFormatting>
  <conditionalFormatting sqref="E4">
    <cfRule type="duplicateValues" dxfId="61" priority="15624"/>
  </conditionalFormatting>
  <conditionalFormatting sqref="E4:E18">
    <cfRule type="duplicateValues" dxfId="60" priority="20084"/>
  </conditionalFormatting>
  <conditionalFormatting sqref="E23"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  <cfRule type="duplicateValues" dxfId="53" priority="10"/>
  </conditionalFormatting>
  <conditionalFormatting sqref="E23:E34">
    <cfRule type="duplicateValues" dxfId="52" priority="20083"/>
  </conditionalFormatting>
  <conditionalFormatting sqref="I37:I1048576 I20:I21 CH2 E4 I1 E2:AY2 CB2">
    <cfRule type="duplicateValues" dxfId="51" priority="19818"/>
    <cfRule type="duplicateValues" dxfId="50" priority="19819"/>
    <cfRule type="duplicateValues" dxfId="49" priority="19820"/>
    <cfRule type="duplicateValues" dxfId="48" priority="19821"/>
    <cfRule type="duplicateValues" dxfId="47" priority="19822"/>
  </conditionalFormatting>
  <conditionalFormatting sqref="I49:I1048576 CH2 E43:E48 I1 E4 I20:I21 E2:AY2 CB2 I37:I42">
    <cfRule type="duplicateValues" dxfId="46" priority="19848"/>
  </conditionalFormatting>
  <conditionalFormatting sqref="AM46:AM1048576 AO19:AP19 AJ45 AM20:AM21 AM1 AO4:AP4 AM3 AJ37:AJ41">
    <cfRule type="duplicateValues" dxfId="45" priority="138"/>
  </conditionalFormatting>
  <conditionalFormatting sqref="AM58">
    <cfRule type="duplicateValues" dxfId="44" priority="153"/>
  </conditionalFormatting>
  <conditionalFormatting sqref="AN66:AO66">
    <cfRule type="duplicateValues" dxfId="43" priority="164"/>
  </conditionalFormatting>
  <conditionalFormatting sqref="AO35:AP36 AO23:AP23">
    <cfRule type="duplicateValues" dxfId="42" priority="3"/>
  </conditionalFormatting>
  <conditionalFormatting sqref="AZ5:AZ18 BB5:BK18 AZ24:AZ34 BB24:BK34">
    <cfRule type="containsText" dxfId="41" priority="23" operator="containsText" text="FALSE">
      <formula>NOT(ISERROR(SEARCH("FALSE",AZ5)))</formula>
    </cfRule>
  </conditionalFormatting>
  <conditionalFormatting sqref="AZ4:BK4">
    <cfRule type="containsText" dxfId="40" priority="58" operator="containsText" text="FALSE">
      <formula>NOT(ISERROR(SEARCH("FALSE",AZ4)))</formula>
    </cfRule>
  </conditionalFormatting>
  <conditionalFormatting sqref="AZ23:BK23">
    <cfRule type="containsText" dxfId="39" priority="2" operator="containsText" text="FALSE">
      <formula>NOT(ISERROR(SEARCH("FALSE",AZ23)))</formula>
    </cfRule>
  </conditionalFormatting>
  <conditionalFormatting sqref="BO58">
    <cfRule type="duplicateValues" dxfId="38" priority="148"/>
    <cfRule type="duplicateValues" dxfId="37" priority="149"/>
  </conditionalFormatting>
  <conditionalFormatting sqref="BO59">
    <cfRule type="duplicateValues" dxfId="36" priority="145"/>
    <cfRule type="duplicateValues" dxfId="35" priority="144"/>
  </conditionalFormatting>
  <conditionalFormatting sqref="BV51">
    <cfRule type="duplicateValues" dxfId="34" priority="159"/>
    <cfRule type="duplicateValues" dxfId="33" priority="160"/>
  </conditionalFormatting>
  <conditionalFormatting sqref="BV56">
    <cfRule type="duplicateValues" dxfId="32" priority="156"/>
    <cfRule type="duplicateValues" dxfId="31" priority="155"/>
  </conditionalFormatting>
  <conditionalFormatting sqref="BW53">
    <cfRule type="duplicateValues" dxfId="30" priority="161"/>
    <cfRule type="duplicateValues" dxfId="29" priority="16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A96F-FFFD-4523-8291-41682D9F27C4}">
  <dimension ref="B1:AC46"/>
  <sheetViews>
    <sheetView showGridLines="0" showRowColHeaders="0" topLeftCell="F1" workbookViewId="0">
      <selection activeCell="N1" sqref="N1"/>
    </sheetView>
  </sheetViews>
  <sheetFormatPr defaultRowHeight="14.5" x14ac:dyDescent="0.35"/>
  <cols>
    <col min="2" max="2" width="10.08984375" bestFit="1" customWidth="1"/>
    <col min="3" max="3" width="7.7265625" bestFit="1" customWidth="1"/>
    <col min="4" max="4" width="9.90625" bestFit="1" customWidth="1"/>
    <col min="5" max="5" width="3.81640625" bestFit="1" customWidth="1"/>
    <col min="6" max="6" width="10.08984375" bestFit="1" customWidth="1"/>
    <col min="7" max="7" width="18.1796875" bestFit="1" customWidth="1"/>
    <col min="8" max="8" width="28.1796875" bestFit="1" customWidth="1"/>
    <col min="9" max="10" width="9.6328125" style="3" bestFit="1" customWidth="1"/>
    <col min="11" max="11" width="17.90625" bestFit="1" customWidth="1"/>
    <col min="12" max="12" width="11.26953125" bestFit="1" customWidth="1"/>
    <col min="13" max="13" width="32.08984375" bestFit="1" customWidth="1"/>
    <col min="14" max="15" width="38.08984375" bestFit="1" customWidth="1"/>
    <col min="16" max="16" width="20.90625" bestFit="1" customWidth="1"/>
    <col min="18" max="18" width="10.08984375" bestFit="1" customWidth="1"/>
    <col min="19" max="19" width="12.1796875" bestFit="1" customWidth="1"/>
    <col min="20" max="20" width="6.6328125" bestFit="1" customWidth="1"/>
    <col min="21" max="21" width="4.6328125" bestFit="1" customWidth="1"/>
    <col min="22" max="22" width="10.08984375" bestFit="1" customWidth="1"/>
    <col min="23" max="23" width="19.08984375" bestFit="1" customWidth="1"/>
    <col min="24" max="24" width="34.36328125" bestFit="1" customWidth="1"/>
    <col min="25" max="26" width="9.81640625" bestFit="1" customWidth="1"/>
    <col min="28" max="28" width="21.81640625" style="315" bestFit="1" customWidth="1"/>
    <col min="29" max="29" width="7.7265625" bestFit="1" customWidth="1"/>
  </cols>
  <sheetData>
    <row r="1" spans="2:29" x14ac:dyDescent="0.35">
      <c r="N1" s="338">
        <f>I2-N2</f>
        <v>1671613.07</v>
      </c>
    </row>
    <row r="2" spans="2:29" x14ac:dyDescent="0.35">
      <c r="I2" s="3">
        <f>SUBTOTAL(9,I4:I49)</f>
        <v>1792414.23</v>
      </c>
      <c r="J2" s="3">
        <f>SUBTOTAL(9,J4:J49)</f>
        <v>4152274.9499999997</v>
      </c>
      <c r="N2">
        <f>SUBTOTAL(9,N4:N1048576)</f>
        <v>120801.16</v>
      </c>
      <c r="Y2" s="1">
        <f>SUM(Y4:Y24)</f>
        <v>948429.3</v>
      </c>
      <c r="Z2" s="1">
        <f>SUM(Z4:Z24)</f>
        <v>2428102.25</v>
      </c>
    </row>
    <row r="3" spans="2:29" x14ac:dyDescent="0.35">
      <c r="B3" s="317" t="s">
        <v>224</v>
      </c>
      <c r="C3" s="316" t="s">
        <v>225</v>
      </c>
      <c r="D3" s="316" t="s">
        <v>226</v>
      </c>
      <c r="E3" s="316" t="s">
        <v>227</v>
      </c>
      <c r="F3" s="316" t="s">
        <v>228</v>
      </c>
      <c r="G3" s="316" t="s">
        <v>229</v>
      </c>
      <c r="H3" s="316" t="s">
        <v>230</v>
      </c>
      <c r="I3" s="318" t="s">
        <v>231</v>
      </c>
      <c r="J3" s="318" t="s">
        <v>232</v>
      </c>
      <c r="K3" s="318" t="s">
        <v>246</v>
      </c>
      <c r="L3" s="318" t="s">
        <v>247</v>
      </c>
      <c r="M3" s="318" t="s">
        <v>248</v>
      </c>
      <c r="N3" s="318" t="s">
        <v>344</v>
      </c>
      <c r="O3" s="318" t="s">
        <v>249</v>
      </c>
      <c r="P3" s="339" t="s">
        <v>60</v>
      </c>
      <c r="R3" s="318" t="s">
        <v>224</v>
      </c>
      <c r="S3" s="318" t="s">
        <v>225</v>
      </c>
      <c r="T3" s="318" t="s">
        <v>226</v>
      </c>
      <c r="U3" s="318" t="s">
        <v>227</v>
      </c>
      <c r="V3" s="318" t="s">
        <v>228</v>
      </c>
      <c r="W3" s="318" t="s">
        <v>229</v>
      </c>
      <c r="X3" s="318" t="s">
        <v>243</v>
      </c>
      <c r="Y3" s="318" t="s">
        <v>231</v>
      </c>
      <c r="Z3" s="318" t="s">
        <v>232</v>
      </c>
      <c r="AA3" s="339" t="s">
        <v>247</v>
      </c>
      <c r="AB3" s="340" t="s">
        <v>346</v>
      </c>
      <c r="AC3" s="339" t="s">
        <v>347</v>
      </c>
    </row>
    <row r="4" spans="2:29" x14ac:dyDescent="0.35">
      <c r="B4" s="315">
        <v>46104</v>
      </c>
      <c r="C4" t="s">
        <v>233</v>
      </c>
      <c r="D4" t="s">
        <v>235</v>
      </c>
      <c r="E4" t="s">
        <v>465</v>
      </c>
      <c r="F4" t="s">
        <v>258</v>
      </c>
      <c r="G4" t="s">
        <v>277</v>
      </c>
      <c r="H4" t="s">
        <v>274</v>
      </c>
      <c r="I4" s="3">
        <v>20780.2</v>
      </c>
      <c r="J4" s="3">
        <v>2098777.7000000002</v>
      </c>
      <c r="K4" t="s">
        <v>275</v>
      </c>
      <c r="L4" t="s">
        <v>276</v>
      </c>
      <c r="M4">
        <v>3000000</v>
      </c>
      <c r="N4">
        <v>0</v>
      </c>
      <c r="O4" t="s">
        <v>211</v>
      </c>
      <c r="P4" t="s">
        <v>345</v>
      </c>
      <c r="R4" s="320" t="s">
        <v>260</v>
      </c>
      <c r="S4" s="319" t="s">
        <v>233</v>
      </c>
      <c r="T4" s="319" t="s">
        <v>244</v>
      </c>
      <c r="U4" s="319" t="s">
        <v>469</v>
      </c>
      <c r="V4" s="319" t="s">
        <v>260</v>
      </c>
      <c r="W4" s="319" t="s">
        <v>241</v>
      </c>
      <c r="X4" s="319" t="s">
        <v>254</v>
      </c>
      <c r="Y4" s="321">
        <v>42170.85</v>
      </c>
      <c r="Z4" s="321">
        <v>276453.34999999998</v>
      </c>
      <c r="AA4" t="s">
        <v>279</v>
      </c>
      <c r="AB4" s="315" t="s">
        <v>211</v>
      </c>
      <c r="AC4" t="s">
        <v>350</v>
      </c>
    </row>
    <row r="5" spans="2:29" x14ac:dyDescent="0.35">
      <c r="B5" s="315">
        <v>46151</v>
      </c>
      <c r="C5" t="s">
        <v>233</v>
      </c>
      <c r="D5" t="s">
        <v>235</v>
      </c>
      <c r="E5" t="s">
        <v>466</v>
      </c>
      <c r="F5" t="s">
        <v>368</v>
      </c>
      <c r="G5" t="s">
        <v>355</v>
      </c>
      <c r="H5" t="s">
        <v>239</v>
      </c>
      <c r="I5" s="3">
        <v>14670.78</v>
      </c>
      <c r="J5" s="3">
        <v>296534</v>
      </c>
      <c r="K5" t="s">
        <v>250</v>
      </c>
      <c r="L5" t="s">
        <v>221</v>
      </c>
      <c r="M5">
        <v>4800000</v>
      </c>
      <c r="N5">
        <v>120801.16</v>
      </c>
      <c r="O5" t="s">
        <v>211</v>
      </c>
      <c r="P5" t="s">
        <v>345</v>
      </c>
      <c r="R5" s="320" t="s">
        <v>260</v>
      </c>
      <c r="S5" s="319" t="s">
        <v>233</v>
      </c>
      <c r="T5" s="319" t="s">
        <v>244</v>
      </c>
      <c r="U5" s="319" t="s">
        <v>469</v>
      </c>
      <c r="V5" s="319" t="s">
        <v>260</v>
      </c>
      <c r="W5" s="319" t="s">
        <v>237</v>
      </c>
      <c r="X5" s="319" t="s">
        <v>254</v>
      </c>
      <c r="Y5" s="321">
        <v>4572</v>
      </c>
      <c r="Z5" s="321">
        <v>29972</v>
      </c>
      <c r="AA5" t="s">
        <v>279</v>
      </c>
      <c r="AB5" s="315" t="s">
        <v>211</v>
      </c>
      <c r="AC5" t="s">
        <v>350</v>
      </c>
    </row>
    <row r="6" spans="2:29" x14ac:dyDescent="0.35">
      <c r="B6" s="315">
        <v>46155</v>
      </c>
      <c r="C6" t="s">
        <v>233</v>
      </c>
      <c r="D6" t="s">
        <v>235</v>
      </c>
      <c r="E6" t="s">
        <v>402</v>
      </c>
      <c r="F6" t="s">
        <v>369</v>
      </c>
      <c r="G6" t="s">
        <v>362</v>
      </c>
      <c r="H6" t="s">
        <v>239</v>
      </c>
      <c r="I6" s="3">
        <v>358232.42</v>
      </c>
      <c r="J6" s="3">
        <v>358232.42</v>
      </c>
      <c r="K6" t="s">
        <v>250</v>
      </c>
      <c r="L6" t="s">
        <v>221</v>
      </c>
      <c r="M6">
        <v>4800000</v>
      </c>
      <c r="N6">
        <v>0</v>
      </c>
      <c r="O6" t="s">
        <v>211</v>
      </c>
      <c r="P6" t="s">
        <v>345</v>
      </c>
      <c r="R6" s="320" t="s">
        <v>260</v>
      </c>
      <c r="S6" s="319" t="s">
        <v>233</v>
      </c>
      <c r="T6" s="319" t="s">
        <v>244</v>
      </c>
      <c r="U6" s="319" t="s">
        <v>469</v>
      </c>
      <c r="V6" s="319" t="s">
        <v>260</v>
      </c>
      <c r="W6" s="319" t="s">
        <v>242</v>
      </c>
      <c r="X6" s="319" t="s">
        <v>254</v>
      </c>
      <c r="Y6" s="321">
        <v>4185</v>
      </c>
      <c r="Z6" s="321">
        <v>27435</v>
      </c>
      <c r="AA6" t="s">
        <v>279</v>
      </c>
      <c r="AB6" s="315" t="s">
        <v>211</v>
      </c>
      <c r="AC6" t="s">
        <v>350</v>
      </c>
    </row>
    <row r="7" spans="2:29" x14ac:dyDescent="0.35">
      <c r="B7" s="315">
        <v>46168</v>
      </c>
      <c r="C7" t="s">
        <v>233</v>
      </c>
      <c r="D7" t="s">
        <v>235</v>
      </c>
      <c r="E7" t="s">
        <v>467</v>
      </c>
      <c r="F7" t="s">
        <v>385</v>
      </c>
      <c r="G7" t="s">
        <v>380</v>
      </c>
      <c r="H7" t="s">
        <v>239</v>
      </c>
      <c r="I7" s="3">
        <v>207201.16</v>
      </c>
      <c r="J7" s="3">
        <v>207201.16</v>
      </c>
      <c r="K7" t="s">
        <v>250</v>
      </c>
      <c r="L7" t="s">
        <v>221</v>
      </c>
      <c r="M7">
        <v>4800000</v>
      </c>
      <c r="N7">
        <v>0</v>
      </c>
      <c r="O7" t="s">
        <v>211</v>
      </c>
      <c r="P7" t="s">
        <v>345</v>
      </c>
      <c r="R7" s="320" t="s">
        <v>252</v>
      </c>
      <c r="S7" s="319" t="s">
        <v>233</v>
      </c>
      <c r="T7" s="319" t="s">
        <v>244</v>
      </c>
      <c r="U7" s="319" t="s">
        <v>470</v>
      </c>
      <c r="V7" s="319" t="s">
        <v>252</v>
      </c>
      <c r="W7" s="319" t="s">
        <v>259</v>
      </c>
      <c r="X7" s="319" t="s">
        <v>254</v>
      </c>
      <c r="Y7" s="321">
        <v>22428</v>
      </c>
      <c r="Z7" s="321">
        <v>22428</v>
      </c>
      <c r="AA7" t="s">
        <v>279</v>
      </c>
      <c r="AB7" s="315" t="s">
        <v>211</v>
      </c>
      <c r="AC7" t="s">
        <v>350</v>
      </c>
    </row>
    <row r="8" spans="2:29" x14ac:dyDescent="0.35">
      <c r="B8" s="315">
        <v>46174</v>
      </c>
      <c r="C8" t="s">
        <v>233</v>
      </c>
      <c r="D8" t="s">
        <v>235</v>
      </c>
      <c r="E8" t="s">
        <v>359</v>
      </c>
      <c r="F8" t="s">
        <v>439</v>
      </c>
      <c r="G8" t="s">
        <v>409</v>
      </c>
      <c r="H8" t="s">
        <v>411</v>
      </c>
      <c r="I8" s="3">
        <v>46464.6</v>
      </c>
      <c r="J8" s="3">
        <v>46464.6</v>
      </c>
      <c r="K8" t="s">
        <v>440</v>
      </c>
      <c r="L8" t="s">
        <v>412</v>
      </c>
      <c r="M8">
        <v>12000000</v>
      </c>
      <c r="N8">
        <v>0</v>
      </c>
      <c r="O8" t="s">
        <v>211</v>
      </c>
      <c r="P8" t="s">
        <v>345</v>
      </c>
      <c r="R8" s="315" t="s">
        <v>370</v>
      </c>
      <c r="S8" t="s">
        <v>233</v>
      </c>
      <c r="T8" t="s">
        <v>244</v>
      </c>
      <c r="U8" t="s">
        <v>471</v>
      </c>
      <c r="V8" t="s">
        <v>357</v>
      </c>
      <c r="W8" t="s">
        <v>352</v>
      </c>
      <c r="X8" t="s">
        <v>254</v>
      </c>
      <c r="Y8">
        <v>36613.699999999997</v>
      </c>
      <c r="Z8">
        <v>243581.5</v>
      </c>
      <c r="AA8" t="s">
        <v>279</v>
      </c>
      <c r="AB8" s="315" t="s">
        <v>211</v>
      </c>
      <c r="AC8" t="s">
        <v>350</v>
      </c>
    </row>
    <row r="9" spans="2:29" x14ac:dyDescent="0.35">
      <c r="B9" s="315">
        <v>46176</v>
      </c>
      <c r="C9" t="s">
        <v>233</v>
      </c>
      <c r="D9" t="s">
        <v>235</v>
      </c>
      <c r="E9" t="s">
        <v>352</v>
      </c>
      <c r="F9" t="s">
        <v>441</v>
      </c>
      <c r="G9" t="s">
        <v>417</v>
      </c>
      <c r="H9" t="s">
        <v>411</v>
      </c>
      <c r="I9" s="3">
        <v>46678.28</v>
      </c>
      <c r="J9" s="3">
        <v>46678.28</v>
      </c>
      <c r="K9" t="s">
        <v>440</v>
      </c>
      <c r="L9" t="s">
        <v>412</v>
      </c>
      <c r="M9">
        <v>12000000</v>
      </c>
      <c r="N9">
        <v>0</v>
      </c>
      <c r="O9" t="s">
        <v>211</v>
      </c>
      <c r="P9" t="s">
        <v>345</v>
      </c>
      <c r="R9" s="315" t="s">
        <v>357</v>
      </c>
      <c r="S9" t="s">
        <v>233</v>
      </c>
      <c r="T9" t="s">
        <v>244</v>
      </c>
      <c r="U9" t="s">
        <v>472</v>
      </c>
      <c r="V9" t="s">
        <v>371</v>
      </c>
      <c r="W9" t="s">
        <v>359</v>
      </c>
      <c r="X9" t="s">
        <v>254</v>
      </c>
      <c r="Y9">
        <v>339556.8</v>
      </c>
      <c r="Z9">
        <v>339556.8</v>
      </c>
      <c r="AA9" t="s">
        <v>279</v>
      </c>
      <c r="AB9" s="315" t="s">
        <v>211</v>
      </c>
      <c r="AC9" t="s">
        <v>350</v>
      </c>
    </row>
    <row r="10" spans="2:29" x14ac:dyDescent="0.35">
      <c r="B10" s="315">
        <v>46176</v>
      </c>
      <c r="C10" t="s">
        <v>233</v>
      </c>
      <c r="D10" t="s">
        <v>235</v>
      </c>
      <c r="E10" t="s">
        <v>352</v>
      </c>
      <c r="F10" t="s">
        <v>441</v>
      </c>
      <c r="G10" t="s">
        <v>419</v>
      </c>
      <c r="H10" t="s">
        <v>411</v>
      </c>
      <c r="I10" s="3">
        <v>46658.85</v>
      </c>
      <c r="J10" s="3">
        <v>46658.85</v>
      </c>
      <c r="K10" t="s">
        <v>440</v>
      </c>
      <c r="L10" t="s">
        <v>412</v>
      </c>
      <c r="M10">
        <v>12000000</v>
      </c>
      <c r="N10">
        <v>0</v>
      </c>
      <c r="O10" t="s">
        <v>211</v>
      </c>
      <c r="P10" t="s">
        <v>345</v>
      </c>
      <c r="R10" s="315" t="s">
        <v>374</v>
      </c>
      <c r="S10" t="s">
        <v>233</v>
      </c>
      <c r="T10" t="s">
        <v>244</v>
      </c>
      <c r="U10" t="s">
        <v>473</v>
      </c>
      <c r="V10" t="s">
        <v>375</v>
      </c>
      <c r="W10" t="s">
        <v>372</v>
      </c>
      <c r="X10" t="s">
        <v>254</v>
      </c>
      <c r="Y10">
        <v>32400</v>
      </c>
      <c r="Z10">
        <v>210600</v>
      </c>
      <c r="AA10" t="s">
        <v>279</v>
      </c>
      <c r="AB10" s="315" t="s">
        <v>211</v>
      </c>
      <c r="AC10" t="s">
        <v>350</v>
      </c>
    </row>
    <row r="11" spans="2:29" x14ac:dyDescent="0.35">
      <c r="B11" s="315">
        <v>46177</v>
      </c>
      <c r="C11" t="s">
        <v>233</v>
      </c>
      <c r="D11" t="s">
        <v>235</v>
      </c>
      <c r="E11" t="s">
        <v>451</v>
      </c>
      <c r="F11" t="s">
        <v>442</v>
      </c>
      <c r="G11" t="s">
        <v>416</v>
      </c>
      <c r="H11" t="s">
        <v>239</v>
      </c>
      <c r="I11" s="3">
        <v>155064.74</v>
      </c>
      <c r="J11" s="3">
        <v>155064.74</v>
      </c>
      <c r="K11" t="s">
        <v>250</v>
      </c>
      <c r="L11" t="s">
        <v>221</v>
      </c>
      <c r="M11">
        <v>4800000</v>
      </c>
      <c r="N11">
        <v>0</v>
      </c>
      <c r="O11" t="s">
        <v>211</v>
      </c>
      <c r="P11" t="s">
        <v>345</v>
      </c>
      <c r="R11" s="315" t="s">
        <v>386</v>
      </c>
      <c r="S11" t="s">
        <v>233</v>
      </c>
      <c r="T11" t="s">
        <v>244</v>
      </c>
      <c r="U11" t="s">
        <v>438</v>
      </c>
      <c r="V11" t="s">
        <v>387</v>
      </c>
      <c r="W11" t="s">
        <v>377</v>
      </c>
      <c r="X11" t="s">
        <v>254</v>
      </c>
      <c r="Y11">
        <v>29959.200000000001</v>
      </c>
      <c r="Z11">
        <v>196399.2</v>
      </c>
      <c r="AA11" t="s">
        <v>279</v>
      </c>
      <c r="AB11" s="315" t="s">
        <v>211</v>
      </c>
      <c r="AC11" t="s">
        <v>350</v>
      </c>
    </row>
    <row r="12" spans="2:29" x14ac:dyDescent="0.35">
      <c r="B12" s="315">
        <v>46181</v>
      </c>
      <c r="C12" t="s">
        <v>233</v>
      </c>
      <c r="D12" t="s">
        <v>235</v>
      </c>
      <c r="E12" t="s">
        <v>251</v>
      </c>
      <c r="F12" t="s">
        <v>444</v>
      </c>
      <c r="G12" t="s">
        <v>434</v>
      </c>
      <c r="H12" t="s">
        <v>411</v>
      </c>
      <c r="I12" s="3">
        <v>34246.28</v>
      </c>
      <c r="J12" s="3">
        <v>34246.28</v>
      </c>
      <c r="K12" t="s">
        <v>440</v>
      </c>
      <c r="L12" t="s">
        <v>412</v>
      </c>
      <c r="M12">
        <v>12000000</v>
      </c>
      <c r="N12">
        <v>0</v>
      </c>
      <c r="O12" t="s">
        <v>211</v>
      </c>
      <c r="P12" t="s">
        <v>345</v>
      </c>
      <c r="R12" s="315" t="s">
        <v>448</v>
      </c>
      <c r="S12" t="s">
        <v>233</v>
      </c>
      <c r="T12" t="s">
        <v>244</v>
      </c>
      <c r="U12" t="s">
        <v>474</v>
      </c>
      <c r="V12" t="s">
        <v>449</v>
      </c>
      <c r="W12" t="s">
        <v>394</v>
      </c>
      <c r="X12" t="s">
        <v>253</v>
      </c>
      <c r="Y12">
        <v>33503.050000000003</v>
      </c>
      <c r="Z12">
        <v>42875.7</v>
      </c>
      <c r="AA12" t="s">
        <v>348</v>
      </c>
      <c r="AB12" s="315" t="s">
        <v>211</v>
      </c>
      <c r="AC12" t="s">
        <v>349</v>
      </c>
    </row>
    <row r="13" spans="2:29" x14ac:dyDescent="0.35">
      <c r="B13" s="315">
        <v>46180</v>
      </c>
      <c r="C13" t="s">
        <v>367</v>
      </c>
      <c r="D13" t="s">
        <v>235</v>
      </c>
      <c r="E13" t="s">
        <v>240</v>
      </c>
      <c r="F13" t="s">
        <v>443</v>
      </c>
      <c r="G13" t="s">
        <v>418</v>
      </c>
      <c r="H13" t="s">
        <v>239</v>
      </c>
      <c r="I13" s="3">
        <v>214819.94</v>
      </c>
      <c r="J13" s="3">
        <v>214819.94</v>
      </c>
      <c r="K13" t="s">
        <v>250</v>
      </c>
      <c r="L13" t="s">
        <v>221</v>
      </c>
      <c r="M13">
        <v>4800000</v>
      </c>
      <c r="N13">
        <v>0</v>
      </c>
      <c r="O13" t="s">
        <v>211</v>
      </c>
      <c r="P13" t="s">
        <v>345</v>
      </c>
      <c r="R13" s="315" t="s">
        <v>448</v>
      </c>
      <c r="S13" t="s">
        <v>233</v>
      </c>
      <c r="T13" t="s">
        <v>244</v>
      </c>
      <c r="U13" t="s">
        <v>474</v>
      </c>
      <c r="V13" t="s">
        <v>449</v>
      </c>
      <c r="W13" t="s">
        <v>398</v>
      </c>
      <c r="X13" t="s">
        <v>253</v>
      </c>
      <c r="Y13">
        <v>42893.55</v>
      </c>
      <c r="Z13">
        <v>42893.55</v>
      </c>
      <c r="AA13" t="s">
        <v>348</v>
      </c>
      <c r="AB13" s="315" t="s">
        <v>211</v>
      </c>
      <c r="AC13" t="s">
        <v>349</v>
      </c>
    </row>
    <row r="14" spans="2:29" x14ac:dyDescent="0.35">
      <c r="B14" s="315">
        <v>46181</v>
      </c>
      <c r="C14" t="s">
        <v>367</v>
      </c>
      <c r="D14" t="s">
        <v>235</v>
      </c>
      <c r="E14" t="s">
        <v>240</v>
      </c>
      <c r="F14" t="s">
        <v>445</v>
      </c>
      <c r="G14" t="s">
        <v>435</v>
      </c>
      <c r="H14" t="s">
        <v>239</v>
      </c>
      <c r="I14" s="3">
        <v>194204.4</v>
      </c>
      <c r="J14" s="3">
        <v>194204.4</v>
      </c>
      <c r="K14" t="s">
        <v>250</v>
      </c>
      <c r="L14" t="s">
        <v>221</v>
      </c>
      <c r="M14">
        <v>4800000</v>
      </c>
      <c r="N14">
        <v>0</v>
      </c>
      <c r="O14" t="s">
        <v>211</v>
      </c>
      <c r="P14" t="s">
        <v>345</v>
      </c>
      <c r="R14" t="s">
        <v>450</v>
      </c>
      <c r="S14" t="s">
        <v>233</v>
      </c>
      <c r="T14" t="s">
        <v>244</v>
      </c>
      <c r="U14" t="s">
        <v>359</v>
      </c>
      <c r="V14" t="s">
        <v>439</v>
      </c>
      <c r="W14" t="s">
        <v>402</v>
      </c>
      <c r="X14" t="s">
        <v>254</v>
      </c>
      <c r="Y14">
        <v>22420.799999999999</v>
      </c>
      <c r="Z14">
        <v>146980.79999999999</v>
      </c>
      <c r="AA14" t="s">
        <v>279</v>
      </c>
      <c r="AB14" s="315" t="s">
        <v>211</v>
      </c>
      <c r="AC14" t="s">
        <v>350</v>
      </c>
    </row>
    <row r="15" spans="2:29" x14ac:dyDescent="0.35">
      <c r="B15" s="315">
        <v>46186</v>
      </c>
      <c r="C15" t="s">
        <v>367</v>
      </c>
      <c r="D15" t="s">
        <v>235</v>
      </c>
      <c r="E15" t="s">
        <v>240</v>
      </c>
      <c r="F15" t="s">
        <v>446</v>
      </c>
      <c r="G15" t="s">
        <v>436</v>
      </c>
      <c r="H15" t="s">
        <v>239</v>
      </c>
      <c r="I15" s="3">
        <v>227368.54</v>
      </c>
      <c r="J15" s="3">
        <v>227368.54</v>
      </c>
      <c r="K15" t="s">
        <v>250</v>
      </c>
      <c r="L15" t="s">
        <v>221</v>
      </c>
      <c r="M15">
        <v>4800000</v>
      </c>
      <c r="N15">
        <v>0</v>
      </c>
      <c r="O15" t="s">
        <v>211</v>
      </c>
      <c r="P15" t="s">
        <v>345</v>
      </c>
      <c r="R15" t="s">
        <v>449</v>
      </c>
      <c r="S15" t="s">
        <v>233</v>
      </c>
      <c r="T15" t="s">
        <v>244</v>
      </c>
      <c r="U15" t="s">
        <v>475</v>
      </c>
      <c r="V15" t="s">
        <v>452</v>
      </c>
      <c r="W15" t="s">
        <v>406</v>
      </c>
      <c r="X15" t="s">
        <v>254</v>
      </c>
      <c r="Y15">
        <v>31060.799999999999</v>
      </c>
      <c r="Z15">
        <v>203620.8</v>
      </c>
      <c r="AA15" t="s">
        <v>279</v>
      </c>
      <c r="AB15" s="315" t="s">
        <v>211</v>
      </c>
      <c r="AC15" t="s">
        <v>350</v>
      </c>
    </row>
    <row r="16" spans="2:29" x14ac:dyDescent="0.35">
      <c r="B16" s="315">
        <v>46191</v>
      </c>
      <c r="C16" t="s">
        <v>367</v>
      </c>
      <c r="D16" t="s">
        <v>235</v>
      </c>
      <c r="E16" t="s">
        <v>240</v>
      </c>
      <c r="F16" t="s">
        <v>468</v>
      </c>
      <c r="G16" t="s">
        <v>462</v>
      </c>
      <c r="H16" t="s">
        <v>239</v>
      </c>
      <c r="I16" s="3">
        <v>226024.04</v>
      </c>
      <c r="J16" s="3">
        <v>226024.04</v>
      </c>
      <c r="K16" t="s">
        <v>250</v>
      </c>
      <c r="L16" t="s">
        <v>221</v>
      </c>
      <c r="M16">
        <v>4800000</v>
      </c>
      <c r="N16">
        <v>0</v>
      </c>
      <c r="O16" t="s">
        <v>211</v>
      </c>
      <c r="P16" t="s">
        <v>345</v>
      </c>
      <c r="R16" t="s">
        <v>439</v>
      </c>
      <c r="S16" t="s">
        <v>233</v>
      </c>
      <c r="T16" t="s">
        <v>244</v>
      </c>
      <c r="U16" t="s">
        <v>447</v>
      </c>
      <c r="V16" t="s">
        <v>453</v>
      </c>
      <c r="W16" t="s">
        <v>423</v>
      </c>
      <c r="X16" t="s">
        <v>253</v>
      </c>
      <c r="Y16">
        <v>31469.55</v>
      </c>
      <c r="Z16">
        <v>31469.55</v>
      </c>
      <c r="AA16" t="s">
        <v>348</v>
      </c>
      <c r="AB16" s="315" t="s">
        <v>211</v>
      </c>
      <c r="AC16" t="s">
        <v>349</v>
      </c>
    </row>
    <row r="17" spans="2:29" x14ac:dyDescent="0.35">
      <c r="B17" s="315"/>
      <c r="R17" t="s">
        <v>439</v>
      </c>
      <c r="S17" t="s">
        <v>233</v>
      </c>
      <c r="T17" t="s">
        <v>244</v>
      </c>
      <c r="U17" t="s">
        <v>447</v>
      </c>
      <c r="V17" t="s">
        <v>453</v>
      </c>
      <c r="W17" t="s">
        <v>427</v>
      </c>
      <c r="X17" t="s">
        <v>254</v>
      </c>
      <c r="Y17">
        <v>28080</v>
      </c>
      <c r="Z17">
        <v>184080</v>
      </c>
      <c r="AA17" t="s">
        <v>279</v>
      </c>
      <c r="AB17" s="315" t="s">
        <v>211</v>
      </c>
      <c r="AC17" t="s">
        <v>350</v>
      </c>
    </row>
    <row r="18" spans="2:29" x14ac:dyDescent="0.35">
      <c r="B18" s="315"/>
      <c r="R18" t="s">
        <v>454</v>
      </c>
      <c r="S18" t="s">
        <v>233</v>
      </c>
      <c r="T18" t="s">
        <v>244</v>
      </c>
      <c r="U18" t="s">
        <v>384</v>
      </c>
      <c r="V18" t="s">
        <v>456</v>
      </c>
      <c r="W18" t="s">
        <v>431</v>
      </c>
      <c r="X18" t="s">
        <v>254</v>
      </c>
      <c r="Y18">
        <v>32875.199999999997</v>
      </c>
      <c r="Z18">
        <v>215515.2</v>
      </c>
      <c r="AA18" t="s">
        <v>279</v>
      </c>
      <c r="AB18" s="315" t="s">
        <v>211</v>
      </c>
      <c r="AC18" t="s">
        <v>350</v>
      </c>
    </row>
    <row r="19" spans="2:29" x14ac:dyDescent="0.35">
      <c r="B19" s="315"/>
      <c r="R19" t="s">
        <v>442</v>
      </c>
      <c r="S19" t="s">
        <v>455</v>
      </c>
      <c r="T19" t="s">
        <v>244</v>
      </c>
      <c r="U19" t="s">
        <v>240</v>
      </c>
      <c r="V19" t="s">
        <v>445</v>
      </c>
      <c r="W19" t="s">
        <v>459</v>
      </c>
      <c r="X19" t="s">
        <v>254</v>
      </c>
      <c r="Y19">
        <v>214240.8</v>
      </c>
      <c r="Z19">
        <v>214240.8</v>
      </c>
      <c r="AA19" t="s">
        <v>279</v>
      </c>
      <c r="AB19" s="315" t="s">
        <v>211</v>
      </c>
      <c r="AC19" t="s">
        <v>350</v>
      </c>
    </row>
    <row r="20" spans="2:29" x14ac:dyDescent="0.35">
      <c r="B20" s="315"/>
    </row>
    <row r="21" spans="2:29" x14ac:dyDescent="0.35">
      <c r="B21" s="315"/>
    </row>
    <row r="22" spans="2:29" x14ac:dyDescent="0.35">
      <c r="B22" s="315"/>
    </row>
    <row r="23" spans="2:29" x14ac:dyDescent="0.35">
      <c r="B23" s="315"/>
    </row>
    <row r="24" spans="2:29" x14ac:dyDescent="0.35">
      <c r="B24" s="315"/>
    </row>
    <row r="25" spans="2:29" x14ac:dyDescent="0.35">
      <c r="B25" s="315"/>
    </row>
    <row r="26" spans="2:29" x14ac:dyDescent="0.35">
      <c r="B26" s="315"/>
    </row>
    <row r="27" spans="2:29" x14ac:dyDescent="0.35">
      <c r="B27" s="315"/>
    </row>
    <row r="28" spans="2:29" x14ac:dyDescent="0.35">
      <c r="B28" s="315"/>
    </row>
    <row r="29" spans="2:29" x14ac:dyDescent="0.35">
      <c r="B29" s="315"/>
    </row>
    <row r="30" spans="2:29" x14ac:dyDescent="0.35">
      <c r="B30" s="315"/>
    </row>
    <row r="31" spans="2:29" x14ac:dyDescent="0.35">
      <c r="B31" s="315"/>
    </row>
    <row r="32" spans="2:29" x14ac:dyDescent="0.35">
      <c r="B32" s="315"/>
    </row>
    <row r="33" spans="2:2" x14ac:dyDescent="0.35">
      <c r="B33" s="315"/>
    </row>
    <row r="34" spans="2:2" x14ac:dyDescent="0.35">
      <c r="B34" s="315"/>
    </row>
    <row r="35" spans="2:2" x14ac:dyDescent="0.35">
      <c r="B35" s="315"/>
    </row>
    <row r="36" spans="2:2" x14ac:dyDescent="0.35">
      <c r="B36" s="315"/>
    </row>
    <row r="37" spans="2:2" x14ac:dyDescent="0.35">
      <c r="B37" s="315"/>
    </row>
    <row r="38" spans="2:2" x14ac:dyDescent="0.35">
      <c r="B38" s="315"/>
    </row>
    <row r="39" spans="2:2" x14ac:dyDescent="0.35">
      <c r="B39" s="315"/>
    </row>
    <row r="40" spans="2:2" x14ac:dyDescent="0.35">
      <c r="B40" s="315"/>
    </row>
    <row r="41" spans="2:2" x14ac:dyDescent="0.35">
      <c r="B41" s="315"/>
    </row>
    <row r="42" spans="2:2" x14ac:dyDescent="0.35">
      <c r="B42" s="315"/>
    </row>
    <row r="43" spans="2:2" x14ac:dyDescent="0.35">
      <c r="B43" s="315"/>
    </row>
    <row r="44" spans="2:2" x14ac:dyDescent="0.35">
      <c r="B44" s="315"/>
    </row>
    <row r="45" spans="2:2" x14ac:dyDescent="0.35">
      <c r="B45" s="315"/>
    </row>
    <row r="46" spans="2:2" x14ac:dyDescent="0.35">
      <c r="B46" s="3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3:AA700"/>
  <sheetViews>
    <sheetView showGridLines="0" showRowColHeaders="0" workbookViewId="0">
      <selection activeCell="J9" sqref="J9"/>
    </sheetView>
  </sheetViews>
  <sheetFormatPr defaultRowHeight="14.5" x14ac:dyDescent="0.35"/>
  <cols>
    <col min="1" max="1" width="4.36328125" customWidth="1"/>
    <col min="2" max="2" width="22.90625" bestFit="1" customWidth="1"/>
    <col min="3" max="3" width="16.08984375" style="4" bestFit="1" customWidth="1"/>
    <col min="4" max="4" width="4.08984375" customWidth="1"/>
    <col min="5" max="5" width="35.81640625" bestFit="1" customWidth="1"/>
    <col min="6" max="6" width="12.36328125" style="4" bestFit="1" customWidth="1"/>
    <col min="7" max="7" width="6.453125" bestFit="1" customWidth="1"/>
    <col min="8" max="8" width="4.81640625" customWidth="1"/>
    <col min="9" max="9" width="35.90625" bestFit="1" customWidth="1"/>
    <col min="10" max="10" width="11.1796875" bestFit="1" customWidth="1"/>
    <col min="11" max="11" width="8" bestFit="1" customWidth="1"/>
    <col min="12" max="12" width="44.08984375" bestFit="1" customWidth="1"/>
    <col min="13" max="13" width="9.08984375" bestFit="1" customWidth="1"/>
    <col min="14" max="14" width="8.90625" bestFit="1" customWidth="1"/>
    <col min="16" max="16" width="25.453125" bestFit="1" customWidth="1"/>
    <col min="17" max="17" width="8.08984375" bestFit="1" customWidth="1"/>
    <col min="27" max="27" width="7.6328125" bestFit="1" customWidth="1"/>
  </cols>
  <sheetData>
    <row r="3" spans="2:17" ht="15" thickBot="1" x14ac:dyDescent="0.4">
      <c r="I3" s="50" t="s">
        <v>133</v>
      </c>
      <c r="L3" s="50" t="s">
        <v>273</v>
      </c>
      <c r="P3" s="50" t="s">
        <v>179</v>
      </c>
    </row>
    <row r="4" spans="2:17" ht="15" thickBot="1" x14ac:dyDescent="0.4">
      <c r="B4" s="30" t="s">
        <v>69</v>
      </c>
      <c r="C4" s="31" t="s">
        <v>56</v>
      </c>
      <c r="E4" s="30" t="s">
        <v>70</v>
      </c>
      <c r="F4" s="31" t="s">
        <v>56</v>
      </c>
      <c r="G4" s="40" t="s">
        <v>82</v>
      </c>
      <c r="I4" s="30" t="s">
        <v>57</v>
      </c>
      <c r="J4" s="34">
        <f>Details!AD39</f>
        <v>46194</v>
      </c>
      <c r="L4" s="30" t="s">
        <v>69</v>
      </c>
      <c r="M4" s="31" t="s">
        <v>56</v>
      </c>
      <c r="N4" s="31" t="s">
        <v>82</v>
      </c>
      <c r="P4" s="30" t="s">
        <v>140</v>
      </c>
      <c r="Q4" s="31" t="s">
        <v>56</v>
      </c>
    </row>
    <row r="5" spans="2:17" x14ac:dyDescent="0.35">
      <c r="B5" s="7"/>
      <c r="C5" s="14"/>
      <c r="E5" s="7"/>
      <c r="F5" s="14"/>
      <c r="G5" s="19"/>
      <c r="I5" s="7"/>
      <c r="J5" s="11"/>
      <c r="L5" s="7"/>
      <c r="M5" s="14"/>
      <c r="N5" s="16"/>
      <c r="P5" s="7"/>
      <c r="Q5" s="16"/>
    </row>
    <row r="6" spans="2:17" x14ac:dyDescent="0.35">
      <c r="B6" s="7"/>
      <c r="C6" s="14"/>
      <c r="E6" s="7"/>
      <c r="F6" s="14"/>
      <c r="G6" s="19"/>
      <c r="I6" s="7" t="s">
        <v>79</v>
      </c>
      <c r="J6" s="12">
        <f>-Details!AW19</f>
        <v>-187870</v>
      </c>
      <c r="L6" s="7"/>
      <c r="M6" s="14"/>
      <c r="N6" s="16"/>
      <c r="P6" s="7"/>
      <c r="Q6" s="16"/>
    </row>
    <row r="7" spans="2:17" ht="15" thickBot="1" x14ac:dyDescent="0.4">
      <c r="B7" s="7"/>
      <c r="C7" s="14"/>
      <c r="E7" s="7"/>
      <c r="F7" s="14"/>
      <c r="G7" s="19"/>
      <c r="I7" s="7" t="s">
        <v>421</v>
      </c>
      <c r="J7" s="12">
        <v>74960</v>
      </c>
      <c r="L7" s="7"/>
      <c r="M7" s="14"/>
      <c r="N7" s="16"/>
      <c r="P7" s="10"/>
      <c r="Q7" s="20"/>
    </row>
    <row r="8" spans="2:17" ht="15" thickBot="1" x14ac:dyDescent="0.4">
      <c r="B8" s="7"/>
      <c r="C8" s="14"/>
      <c r="E8" s="7"/>
      <c r="F8" s="14"/>
      <c r="G8" s="19"/>
      <c r="H8" s="21"/>
      <c r="I8" s="7" t="s">
        <v>272</v>
      </c>
      <c r="J8" s="12">
        <v>112910</v>
      </c>
      <c r="L8" s="7"/>
      <c r="M8" s="14"/>
      <c r="N8" s="16"/>
      <c r="Q8" s="33">
        <f>SUM(Q5:Q7)</f>
        <v>0</v>
      </c>
    </row>
    <row r="9" spans="2:17" ht="15" thickBot="1" x14ac:dyDescent="0.4">
      <c r="B9" s="7"/>
      <c r="C9" s="14"/>
      <c r="E9" s="7"/>
      <c r="F9" s="14"/>
      <c r="G9" s="19"/>
      <c r="H9" s="21"/>
      <c r="I9" s="10"/>
      <c r="J9" s="20"/>
      <c r="L9" s="7"/>
      <c r="M9" s="14"/>
      <c r="N9" s="16"/>
      <c r="P9" s="50" t="s">
        <v>179</v>
      </c>
      <c r="Q9" s="21"/>
    </row>
    <row r="10" spans="2:17" ht="15" thickBot="1" x14ac:dyDescent="0.4">
      <c r="B10" s="7"/>
      <c r="C10" s="14"/>
      <c r="E10" s="7"/>
      <c r="F10" s="14"/>
      <c r="G10" s="19"/>
      <c r="H10" s="21"/>
      <c r="I10" s="8" t="s">
        <v>66</v>
      </c>
      <c r="J10" s="13">
        <f>SUM(J6:J9)-G18</f>
        <v>0</v>
      </c>
      <c r="L10" s="7"/>
      <c r="M10" s="14"/>
      <c r="N10" s="16"/>
      <c r="P10" s="30" t="s">
        <v>140</v>
      </c>
      <c r="Q10" s="63" t="s">
        <v>82</v>
      </c>
    </row>
    <row r="11" spans="2:17" x14ac:dyDescent="0.35">
      <c r="B11" s="7"/>
      <c r="C11" s="14"/>
      <c r="E11" s="7"/>
      <c r="F11" s="14"/>
      <c r="G11" s="19"/>
      <c r="H11" s="21"/>
      <c r="I11" s="2"/>
      <c r="J11" s="15"/>
      <c r="L11" s="7"/>
      <c r="M11" s="14"/>
      <c r="N11" s="16"/>
      <c r="P11" s="7"/>
      <c r="Q11" s="11"/>
    </row>
    <row r="12" spans="2:17" x14ac:dyDescent="0.35">
      <c r="B12" s="7"/>
      <c r="C12" s="14"/>
      <c r="E12" s="7"/>
      <c r="F12" s="14"/>
      <c r="G12" s="19"/>
      <c r="H12" s="21"/>
      <c r="I12" s="2"/>
      <c r="J12" s="15"/>
      <c r="L12" s="7"/>
      <c r="M12" s="14"/>
      <c r="N12" s="16"/>
      <c r="P12" s="7"/>
      <c r="Q12" s="11"/>
    </row>
    <row r="13" spans="2:17" ht="15" thickBot="1" x14ac:dyDescent="0.4">
      <c r="B13" s="7"/>
      <c r="C13" s="14"/>
      <c r="E13" s="7"/>
      <c r="F13" s="14"/>
      <c r="G13" s="19"/>
      <c r="H13" s="21"/>
      <c r="I13" s="2"/>
      <c r="J13" s="15"/>
      <c r="L13" s="7"/>
      <c r="M13" s="14"/>
      <c r="N13" s="16"/>
      <c r="P13" s="7"/>
      <c r="Q13" s="11"/>
    </row>
    <row r="14" spans="2:17" ht="15" thickBot="1" x14ac:dyDescent="0.4">
      <c r="B14" s="7"/>
      <c r="C14" s="14"/>
      <c r="E14" s="7"/>
      <c r="F14" s="14"/>
      <c r="G14" s="19"/>
      <c r="H14" s="21"/>
      <c r="I14" s="30" t="s">
        <v>116</v>
      </c>
      <c r="J14" s="31" t="s">
        <v>56</v>
      </c>
      <c r="L14" s="7"/>
      <c r="M14" s="14"/>
      <c r="N14" s="16"/>
      <c r="P14" s="7"/>
      <c r="Q14" s="11"/>
    </row>
    <row r="15" spans="2:17" x14ac:dyDescent="0.35">
      <c r="B15" s="7"/>
      <c r="C15" s="14"/>
      <c r="E15" s="7"/>
      <c r="F15" s="14"/>
      <c r="G15" s="19"/>
      <c r="H15" s="21"/>
      <c r="I15" s="7"/>
      <c r="J15" s="14"/>
      <c r="L15" s="7"/>
      <c r="M15" s="14"/>
      <c r="N15" s="16"/>
      <c r="P15" s="7"/>
      <c r="Q15" s="11"/>
    </row>
    <row r="16" spans="2:17" x14ac:dyDescent="0.35">
      <c r="B16" s="7"/>
      <c r="C16" s="14"/>
      <c r="E16" s="7"/>
      <c r="F16" s="14"/>
      <c r="G16" s="19"/>
      <c r="H16" s="21"/>
      <c r="I16" s="7"/>
      <c r="J16" s="14"/>
      <c r="L16" s="7"/>
      <c r="M16" s="14"/>
      <c r="N16" s="16"/>
      <c r="P16" s="7"/>
      <c r="Q16" s="11"/>
    </row>
    <row r="17" spans="2:17" ht="15" thickBot="1" x14ac:dyDescent="0.4">
      <c r="B17" s="10"/>
      <c r="C17" s="14"/>
      <c r="E17" s="7"/>
      <c r="F17" s="14"/>
      <c r="G17" s="19"/>
      <c r="H17" s="21"/>
      <c r="I17" s="41"/>
      <c r="J17" s="42"/>
      <c r="L17" s="7"/>
      <c r="M17" s="14"/>
      <c r="N17" s="16"/>
      <c r="P17" s="7"/>
      <c r="Q17" s="11"/>
    </row>
    <row r="18" spans="2:17" ht="15" thickBot="1" x14ac:dyDescent="0.4">
      <c r="B18" s="8" t="s">
        <v>78</v>
      </c>
      <c r="C18" s="43">
        <f>SUM(C5:C17)</f>
        <v>0</v>
      </c>
      <c r="E18" s="46" t="s">
        <v>78</v>
      </c>
      <c r="F18" s="62">
        <f>SUBTOTAL(9,F5:F17)</f>
        <v>0</v>
      </c>
      <c r="G18" s="48">
        <f>SUBTOTAL(9,G5:G17)</f>
        <v>0</v>
      </c>
      <c r="H18" s="21"/>
      <c r="I18" s="8"/>
      <c r="J18" s="43">
        <f>SUM(J15:J17)</f>
        <v>0</v>
      </c>
      <c r="L18" s="46" t="s">
        <v>78</v>
      </c>
      <c r="M18" s="62">
        <f>SUM(M5:M17)</f>
        <v>0</v>
      </c>
      <c r="N18" s="48">
        <f>SUM(N5:N17)</f>
        <v>0</v>
      </c>
      <c r="P18" s="7"/>
      <c r="Q18" s="11"/>
    </row>
    <row r="19" spans="2:17" x14ac:dyDescent="0.35">
      <c r="B19" s="2"/>
      <c r="C19" s="37"/>
      <c r="E19" s="2"/>
      <c r="F19" s="5"/>
      <c r="I19" s="2"/>
      <c r="J19" s="15"/>
      <c r="L19" s="21"/>
      <c r="P19" s="7"/>
      <c r="Q19" s="11"/>
    </row>
    <row r="20" spans="2:17" ht="15" thickBot="1" x14ac:dyDescent="0.4">
      <c r="B20" s="2"/>
      <c r="C20" s="37"/>
      <c r="E20" s="2"/>
      <c r="F20" s="5"/>
      <c r="I20" s="2"/>
      <c r="J20" s="15"/>
      <c r="L20" s="21"/>
      <c r="P20" s="7"/>
      <c r="Q20" s="11"/>
    </row>
    <row r="21" spans="2:17" ht="15" thickBot="1" x14ac:dyDescent="0.4">
      <c r="B21" s="30" t="s">
        <v>71</v>
      </c>
      <c r="C21" s="35" t="s">
        <v>56</v>
      </c>
      <c r="E21" s="30" t="s">
        <v>72</v>
      </c>
      <c r="F21" s="31" t="s">
        <v>56</v>
      </c>
      <c r="G21" s="31" t="s">
        <v>82</v>
      </c>
      <c r="I21" s="31" t="s">
        <v>81</v>
      </c>
      <c r="J21" s="15"/>
      <c r="L21" s="21"/>
      <c r="P21" s="7"/>
      <c r="Q21" s="11"/>
    </row>
    <row r="22" spans="2:17" x14ac:dyDescent="0.35">
      <c r="B22" s="7"/>
      <c r="C22" s="36"/>
      <c r="E22" s="7"/>
      <c r="F22" s="66"/>
      <c r="G22" s="11"/>
      <c r="I22" s="11"/>
      <c r="J22" s="15"/>
      <c r="L22" s="21"/>
      <c r="P22" s="7"/>
      <c r="Q22" s="11"/>
    </row>
    <row r="23" spans="2:17" x14ac:dyDescent="0.35">
      <c r="B23" s="7"/>
      <c r="C23" s="16"/>
      <c r="E23" s="7"/>
      <c r="F23" s="25"/>
      <c r="G23" s="11"/>
      <c r="I23" s="11"/>
      <c r="J23" s="15"/>
      <c r="L23" s="21"/>
      <c r="P23" s="7"/>
      <c r="Q23" s="11"/>
    </row>
    <row r="24" spans="2:17" x14ac:dyDescent="0.35">
      <c r="B24" s="7"/>
      <c r="C24" s="16"/>
      <c r="D24" s="6"/>
      <c r="E24" s="7"/>
      <c r="F24" s="25"/>
      <c r="G24" s="11"/>
      <c r="I24" s="11"/>
      <c r="J24" s="15"/>
      <c r="L24" s="21"/>
      <c r="P24" s="7"/>
      <c r="Q24" s="11"/>
    </row>
    <row r="25" spans="2:17" ht="15" thickBot="1" x14ac:dyDescent="0.4">
      <c r="B25" s="7"/>
      <c r="C25" s="16"/>
      <c r="E25" s="7"/>
      <c r="F25" s="25"/>
      <c r="G25" s="11"/>
      <c r="I25" s="11"/>
      <c r="J25" s="15"/>
      <c r="L25" s="21"/>
      <c r="P25" s="7"/>
      <c r="Q25" s="11"/>
    </row>
    <row r="26" spans="2:17" ht="15" thickBot="1" x14ac:dyDescent="0.4">
      <c r="B26" s="7"/>
      <c r="C26" s="16"/>
      <c r="D26" s="6"/>
      <c r="E26" s="7"/>
      <c r="F26" s="25"/>
      <c r="G26" s="11"/>
      <c r="I26" s="11"/>
      <c r="J26" s="15"/>
      <c r="L26" s="21"/>
      <c r="P26" s="46" t="s">
        <v>78</v>
      </c>
      <c r="Q26" s="33">
        <f>SUM(Q11:Q25)</f>
        <v>0</v>
      </c>
    </row>
    <row r="27" spans="2:17" x14ac:dyDescent="0.35">
      <c r="B27" s="7"/>
      <c r="C27" s="16"/>
      <c r="E27" s="7"/>
      <c r="F27" s="25"/>
      <c r="G27" s="11"/>
      <c r="I27" s="11"/>
      <c r="J27" s="15"/>
      <c r="L27" s="21"/>
    </row>
    <row r="28" spans="2:17" ht="15" thickBot="1" x14ac:dyDescent="0.4">
      <c r="B28" s="7"/>
      <c r="C28" s="16"/>
      <c r="E28" s="7"/>
      <c r="F28" s="25"/>
      <c r="G28" s="11"/>
      <c r="I28" s="11"/>
      <c r="J28" s="15"/>
      <c r="L28" s="21"/>
    </row>
    <row r="29" spans="2:17" ht="15" thickBot="1" x14ac:dyDescent="0.4">
      <c r="B29" s="8" t="s">
        <v>78</v>
      </c>
      <c r="C29" s="33">
        <f>SUM(C22:C28)</f>
        <v>0</v>
      </c>
      <c r="E29" s="8" t="s">
        <v>78</v>
      </c>
      <c r="F29" s="38">
        <f>SUBTOTAL(9,F22:F28)</f>
        <v>0</v>
      </c>
      <c r="G29" s="38">
        <v>0</v>
      </c>
      <c r="I29" s="39" t="s">
        <v>78</v>
      </c>
      <c r="J29" s="15"/>
      <c r="L29" s="21"/>
    </row>
    <row r="695" spans="27:27" x14ac:dyDescent="0.35">
      <c r="AA695">
        <v>-568957</v>
      </c>
    </row>
    <row r="700" spans="27:27" x14ac:dyDescent="0.35">
      <c r="AA700">
        <f>-AA696+AA697-AA698</f>
        <v>0</v>
      </c>
    </row>
  </sheetData>
  <conditionalFormatting sqref="B5">
    <cfRule type="duplicateValues" dxfId="28" priority="47"/>
    <cfRule type="duplicateValues" dxfId="27" priority="49"/>
    <cfRule type="duplicateValues" dxfId="26" priority="50"/>
  </conditionalFormatting>
  <conditionalFormatting sqref="B5:B13 E5:E16">
    <cfRule type="duplicateValues" dxfId="25" priority="17775"/>
  </conditionalFormatting>
  <conditionalFormatting sqref="B5:B17 E5:E17">
    <cfRule type="duplicateValues" dxfId="24" priority="17778"/>
  </conditionalFormatting>
  <conditionalFormatting sqref="E5:E16">
    <cfRule type="duplicateValues" dxfId="23" priority="17777"/>
  </conditionalFormatting>
  <conditionalFormatting sqref="E17">
    <cfRule type="duplicateValues" dxfId="22" priority="8"/>
  </conditionalFormatting>
  <conditionalFormatting sqref="E22:F22"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</conditionalFormatting>
  <conditionalFormatting sqref="I15:I16">
    <cfRule type="duplicateValues" dxfId="16" priority="17782"/>
    <cfRule type="duplicateValues" dxfId="15" priority="17783"/>
    <cfRule type="duplicateValues" dxfId="14" priority="17784"/>
    <cfRule type="duplicateValues" dxfId="13" priority="17785"/>
    <cfRule type="duplicateValues" dxfId="12" priority="17786"/>
  </conditionalFormatting>
  <conditionalFormatting sqref="L5">
    <cfRule type="duplicateValues" dxfId="11" priority="21"/>
    <cfRule type="duplicateValues" dxfId="10" priority="22"/>
    <cfRule type="duplicateValues" dxfId="9" priority="23"/>
  </conditionalFormatting>
  <conditionalFormatting sqref="L5:L13">
    <cfRule type="duplicateValues" dxfId="8" priority="24"/>
  </conditionalFormatting>
  <conditionalFormatting sqref="L5:L17 B5:B17 E5:E17">
    <cfRule type="duplicateValues" dxfId="7" priority="17787"/>
  </conditionalFormatting>
  <conditionalFormatting sqref="L5:L17">
    <cfRule type="duplicateValues" dxfId="6" priority="17793"/>
  </conditionalFormatting>
  <conditionalFormatting sqref="L14">
    <cfRule type="duplicateValues" dxfId="5" priority="6"/>
    <cfRule type="duplicateValues" dxfId="4" priority="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2:H13"/>
  <sheetViews>
    <sheetView showGridLines="0" showRowColHeaders="0" zoomScale="86" zoomScaleNormal="80" workbookViewId="0">
      <selection activeCell="B7" sqref="B7"/>
    </sheetView>
  </sheetViews>
  <sheetFormatPr defaultColWidth="8.90625" defaultRowHeight="14.5" x14ac:dyDescent="0.35"/>
  <cols>
    <col min="1" max="1" width="2.6328125" style="3" customWidth="1"/>
    <col min="2" max="2" width="52.6328125" style="3" bestFit="1" customWidth="1"/>
    <col min="3" max="3" width="20" style="3" bestFit="1" customWidth="1"/>
    <col min="4" max="4" width="31.36328125" style="3" customWidth="1"/>
    <col min="5" max="5" width="21" style="3" bestFit="1" customWidth="1"/>
    <col min="6" max="6" width="31.36328125" style="3" customWidth="1"/>
    <col min="7" max="7" width="8.90625" style="3"/>
    <col min="8" max="8" width="31.36328125" style="3" customWidth="1"/>
    <col min="9" max="16384" width="8.90625" style="3"/>
  </cols>
  <sheetData>
    <row r="2" spans="1:8" ht="16" thickBot="1" x14ac:dyDescent="0.4">
      <c r="A2" s="78"/>
      <c r="B2" s="78">
        <f>COUNTA(B4:B150)</f>
        <v>1</v>
      </c>
      <c r="C2" s="78"/>
      <c r="D2" s="78">
        <f>SUBTOTAL(9,D4:D9)</f>
        <v>1698285</v>
      </c>
      <c r="E2" s="68">
        <f>COUNTA(_xlfn.ANCHORARRAY(E4))-1</f>
        <v>1</v>
      </c>
    </row>
    <row r="3" spans="1:8" s="78" customFormat="1" ht="16.25" customHeight="1" thickBot="1" x14ac:dyDescent="0.4">
      <c r="A3" s="3"/>
      <c r="B3" s="77" t="s">
        <v>30</v>
      </c>
      <c r="C3" s="75" t="s">
        <v>21</v>
      </c>
      <c r="D3" s="79" t="s">
        <v>2</v>
      </c>
      <c r="E3" s="77" t="s">
        <v>175</v>
      </c>
    </row>
    <row r="4" spans="1:8" s="78" customFormat="1" ht="15.5" x14ac:dyDescent="0.35">
      <c r="A4" s="3"/>
      <c r="B4" s="66" t="str">
        <f>_xlfn.XLOOKUP(C4,Details!$G$5:$G$18,Details!$F$5:$F$18)</f>
        <v>SRI PRASANNA TRADERS</v>
      </c>
      <c r="C4" s="12" t="str" cm="1">
        <f t="array" ref="C4:C5">_xlfn.UNIQUE(_xlfn._TRO_TRAILING(Details!G5:G18))</f>
        <v>37ANHPG0363J1Z1</v>
      </c>
      <c r="D4" s="67">
        <f>SUMIFS(Details!$Q$5:$Q$18,Details!$G$5:$G$18,'Supplier Metrics'!C4)</f>
        <v>1698285</v>
      </c>
      <c r="E4" s="66" t="str" cm="1">
        <f t="array" ref="E4:E5">_xlfn.UNIQUE(MID(_xlfn._TRO_TRAILING(Details!G5:G18),3,10))</f>
        <v>ANHPG0363J</v>
      </c>
    </row>
    <row r="5" spans="1:8" ht="15.5" x14ac:dyDescent="0.35">
      <c r="B5" s="66"/>
      <c r="C5" s="12" t="str">
        <v>37AGCPV7437N2ZK</v>
      </c>
      <c r="D5" s="67"/>
      <c r="E5" s="3" t="str">
        <v>AGCPV7437N</v>
      </c>
      <c r="F5" s="78"/>
      <c r="H5" s="78"/>
    </row>
    <row r="6" spans="1:8" ht="15.5" x14ac:dyDescent="0.35">
      <c r="B6" s="66"/>
      <c r="C6" s="12"/>
      <c r="D6" s="67"/>
      <c r="F6" s="78"/>
      <c r="H6" s="78"/>
    </row>
    <row r="7" spans="1:8" x14ac:dyDescent="0.35">
      <c r="B7" s="66"/>
      <c r="C7" s="12"/>
      <c r="D7" s="67"/>
      <c r="F7" s="67"/>
      <c r="H7" s="67"/>
    </row>
    <row r="8" spans="1:8" x14ac:dyDescent="0.35">
      <c r="B8" s="66"/>
      <c r="C8" s="12"/>
      <c r="D8" s="67"/>
      <c r="F8" s="67"/>
      <c r="H8" s="67"/>
    </row>
    <row r="9" spans="1:8" x14ac:dyDescent="0.35">
      <c r="B9" s="66"/>
      <c r="C9" s="12"/>
      <c r="D9" s="67"/>
      <c r="F9" s="67"/>
      <c r="H9" s="67"/>
    </row>
    <row r="10" spans="1:8" x14ac:dyDescent="0.35">
      <c r="B10" s="66"/>
      <c r="D10" s="67"/>
    </row>
    <row r="11" spans="1:8" x14ac:dyDescent="0.35">
      <c r="B11" s="66"/>
      <c r="D11" s="67"/>
    </row>
    <row r="12" spans="1:8" x14ac:dyDescent="0.35">
      <c r="B12" s="66"/>
      <c r="D12" s="67"/>
    </row>
    <row r="13" spans="1:8" x14ac:dyDescent="0.35">
      <c r="B13" s="66"/>
      <c r="D13" s="67"/>
    </row>
  </sheetData>
  <conditionalFormatting sqref="B1:B1048576">
    <cfRule type="duplicateValues" dxfId="3" priority="19838"/>
  </conditionalFormatting>
  <conditionalFormatting sqref="C4:C9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2:M11"/>
  <sheetViews>
    <sheetView showGridLines="0" showRowColHeaders="0" zoomScale="104" zoomScaleNormal="110" workbookViewId="0">
      <selection activeCell="B7" sqref="B7"/>
    </sheetView>
  </sheetViews>
  <sheetFormatPr defaultColWidth="8.90625" defaultRowHeight="14.5" x14ac:dyDescent="0.35"/>
  <cols>
    <col min="1" max="1" width="8.90625" style="3"/>
    <col min="2" max="2" width="15" style="3" bestFit="1" customWidth="1"/>
    <col min="3" max="3" width="19" style="3" bestFit="1" customWidth="1"/>
    <col min="4" max="4" width="16.6328125" style="3" bestFit="1" customWidth="1"/>
    <col min="5" max="5" width="7.453125" style="67" bestFit="1" customWidth="1"/>
    <col min="6" max="6" width="9" style="3" bestFit="1" customWidth="1"/>
    <col min="7" max="7" width="10.7265625" style="3" bestFit="1" customWidth="1"/>
    <col min="8" max="8" width="9.7265625" style="74" bestFit="1" customWidth="1"/>
    <col min="9" max="9" width="10.36328125" style="3" bestFit="1" customWidth="1"/>
    <col min="10" max="10" width="11.6328125" style="3" bestFit="1" customWidth="1"/>
    <col min="11" max="11" width="13.1796875" style="74" bestFit="1" customWidth="1"/>
    <col min="12" max="12" width="17.26953125" style="3" bestFit="1" customWidth="1"/>
    <col min="13" max="13" width="14.26953125" style="3" bestFit="1" customWidth="1"/>
    <col min="14" max="16384" width="8.90625" style="3"/>
  </cols>
  <sheetData>
    <row r="2" spans="2:13" s="65" customFormat="1" x14ac:dyDescent="0.35">
      <c r="E2" s="80"/>
      <c r="F2" s="3">
        <f>F3-Summary!R6</f>
        <v>0</v>
      </c>
      <c r="G2" s="65">
        <f>G3-Summary!R8</f>
        <v>-13440.000000000116</v>
      </c>
      <c r="H2" s="65">
        <f>H3-Summary!R9</f>
        <v>-6.6335856070145888E-3</v>
      </c>
      <c r="I2" s="65">
        <f>I3-Details!AY19</f>
        <v>0</v>
      </c>
      <c r="J2" s="65">
        <f>J3+Details!BZ19</f>
        <v>575</v>
      </c>
      <c r="K2" s="76"/>
      <c r="L2" s="65">
        <f>L3-Summary!R19</f>
        <v>-3</v>
      </c>
    </row>
    <row r="3" spans="2:13" s="68" customFormat="1" ht="15" thickBot="1" x14ac:dyDescent="0.4">
      <c r="B3" s="68">
        <f>COUNTA(_xlfn.ANCHORARRAY(B5))</f>
        <v>2</v>
      </c>
      <c r="C3" s="68">
        <f>COUNTA(_xlfn.ANCHORARRAY(C5))</f>
        <v>3</v>
      </c>
      <c r="E3" s="81">
        <f>SUM(E$5:E10)</f>
        <v>187870</v>
      </c>
      <c r="F3" s="68">
        <f>SUM(F$5:F150)</f>
        <v>2026053.6</v>
      </c>
      <c r="G3" s="68">
        <f>SUM(G$5:G150)</f>
        <v>162583.59999999998</v>
      </c>
      <c r="H3" s="69">
        <f>G3/F3</f>
        <v>8.0246445602426303E-2</v>
      </c>
      <c r="I3" s="68">
        <f>SUM(I$5:I10)</f>
        <v>2026753.6</v>
      </c>
      <c r="J3" s="68">
        <f>SUM(J$5:J10)</f>
        <v>700</v>
      </c>
      <c r="K3" s="69">
        <f>J3/F3</f>
        <v>3.4549925036534074E-4</v>
      </c>
      <c r="L3" s="68">
        <f>SUM(L$5:L10)</f>
        <v>10</v>
      </c>
      <c r="M3" s="68">
        <f>SUBTOTAL(1,M5:M150)</f>
        <v>186268.53333333333</v>
      </c>
    </row>
    <row r="4" spans="2:13" ht="15" thickBot="1" x14ac:dyDescent="0.4">
      <c r="B4" s="72" t="s">
        <v>174</v>
      </c>
      <c r="C4" s="72" t="s">
        <v>180</v>
      </c>
      <c r="D4" s="72" t="s">
        <v>75</v>
      </c>
      <c r="E4" s="79" t="s">
        <v>82</v>
      </c>
      <c r="F4" s="75" t="s">
        <v>150</v>
      </c>
      <c r="G4" s="75" t="s">
        <v>59</v>
      </c>
      <c r="H4" s="75" t="s">
        <v>151</v>
      </c>
      <c r="I4" s="75" t="s">
        <v>153</v>
      </c>
      <c r="J4" s="75" t="s">
        <v>152</v>
      </c>
      <c r="K4" s="75" t="s">
        <v>154</v>
      </c>
      <c r="L4" s="75" t="s">
        <v>156</v>
      </c>
      <c r="M4" s="73" t="s">
        <v>157</v>
      </c>
    </row>
    <row r="5" spans="2:13" x14ac:dyDescent="0.35">
      <c r="B5" s="66" t="str" cm="1">
        <f t="array" ref="B5:B6">_xlfn.UNIQUE(MID(_xlfn._TRO_TRAILING(Details!AR5:AR18),3,10))</f>
        <v>AAACM4154G</v>
      </c>
      <c r="C5" s="66" t="str" cm="1">
        <f t="array" ref="C5:C7">_xlfn.UNIQUE(Details!AR5:AR18)</f>
        <v>36AAACM4154G1ZO</v>
      </c>
      <c r="D5" s="67" t="str">
        <f>(_xlfn.XLOOKUP(C5,Details!$AR$5:$AR$18,Details!$AQ$5:$AQ$18))</f>
        <v>MRF LIMITED (36)</v>
      </c>
      <c r="E5" s="67">
        <f>SUMIFS(Details!BB:BB,Details!AR:AR,'Buyer Metrics'!$C5)</f>
        <v>143070</v>
      </c>
      <c r="F5" s="67">
        <f>SUMIFS(Details!BO:BO,Details!AR:AR,'Buyer Metrics'!$C5)</f>
        <v>1860293.6</v>
      </c>
      <c r="G5" s="67">
        <f>SUMIFS(Details!BP:BP,Details!AR:AR,'Buyer Metrics'!$C5)</f>
        <v>162583.59999999998</v>
      </c>
      <c r="H5" s="70">
        <f>IFERROR((G5/F5),0)</f>
        <v>8.7396742105654707E-2</v>
      </c>
      <c r="I5" s="12">
        <f>SUMIFS(Details!$AY$5:$AY18,Details!$AR$5:$AR18,'Buyer Metrics'!$C5)</f>
        <v>1860993.6</v>
      </c>
      <c r="J5" s="67">
        <f>-SUMIFS(Details!$BZ$5:$BZ18,Details!$AR$5:$AR18,'Buyer Metrics'!$C5)</f>
        <v>700</v>
      </c>
      <c r="K5" s="71">
        <f>IFERROR((J5/I5),0)</f>
        <v>3.7614315277602242E-4</v>
      </c>
      <c r="L5" s="67" cm="1">
        <f t="array" ref="L5">COUNTA(_xlfn.UNIQUE(_xlfn._xlws.FILTER(Details!AO5:AO18,Details!AR5:AR18='Buyer Metrics'!$C5)))</f>
        <v>9</v>
      </c>
      <c r="M5" s="12">
        <f>I5/L5</f>
        <v>206777.06666666668</v>
      </c>
    </row>
    <row r="6" spans="2:13" x14ac:dyDescent="0.35">
      <c r="B6" s="66" t="str">
        <v>AAACL6442L</v>
      </c>
      <c r="C6" s="66" t="str">
        <v>37AAACL6442L1Z9</v>
      </c>
      <c r="D6" s="67" t="str">
        <f>(_xlfn.XLOOKUP(C6,Details!$AR$5:$AR$18,Details!$AQ$5:$AQ$18))</f>
        <v>ULTRATECH CEMENT LIMITED</v>
      </c>
      <c r="E6" s="67">
        <f>SUMIFS(Details!BB:BB,Details!AR:AR,'Buyer Metrics'!$C6)</f>
        <v>44800</v>
      </c>
      <c r="F6" s="67">
        <f>SUMIFS(Details!BO:BO,Details!AR:AR,'Buyer Metrics'!$C6)</f>
        <v>165760</v>
      </c>
      <c r="G6" s="67">
        <v>0</v>
      </c>
      <c r="H6" s="70">
        <f t="shared" ref="H6" si="0">IFERROR((G6/F6),0)</f>
        <v>0</v>
      </c>
      <c r="I6" s="12">
        <f>SUMIFS(Details!$AY$5:$AY19,Details!$AR$5:$AR19,'Buyer Metrics'!$C6)</f>
        <v>165760</v>
      </c>
      <c r="J6" s="67">
        <f>-SUMIFS(Details!$BZ$5:$BZ19,Details!$AR$5:$AR19,'Buyer Metrics'!$C6)</f>
        <v>0</v>
      </c>
      <c r="K6" s="71">
        <f t="shared" ref="K6" si="1">IFERROR((J6/I6),0)</f>
        <v>0</v>
      </c>
      <c r="L6" s="67" cm="1">
        <f t="array" ref="L6">COUNTA(_xlfn.UNIQUE(_xlfn._xlws.FILTER(Details!AO18:AO19,Details!AR18:AR19='Buyer Metrics'!$C6)))</f>
        <v>1</v>
      </c>
      <c r="M6" s="12">
        <f t="shared" ref="M6" si="2">I6/L6</f>
        <v>165760</v>
      </c>
    </row>
    <row r="7" spans="2:13" x14ac:dyDescent="0.35">
      <c r="B7" s="66"/>
      <c r="C7" s="66">
        <v>0</v>
      </c>
      <c r="D7" s="67"/>
      <c r="F7" s="67"/>
      <c r="G7" s="67"/>
      <c r="H7" s="70"/>
      <c r="I7" s="12"/>
      <c r="J7" s="67"/>
      <c r="K7" s="71"/>
      <c r="L7" s="67"/>
      <c r="M7" s="12"/>
    </row>
    <row r="8" spans="2:13" x14ac:dyDescent="0.35">
      <c r="B8" s="66"/>
      <c r="C8" s="66"/>
      <c r="D8" s="67"/>
      <c r="F8" s="67"/>
      <c r="G8" s="67"/>
      <c r="H8" s="70"/>
      <c r="I8" s="12"/>
      <c r="J8" s="67"/>
      <c r="K8" s="71"/>
      <c r="L8" s="67"/>
      <c r="M8" s="12"/>
    </row>
    <row r="9" spans="2:13" x14ac:dyDescent="0.35">
      <c r="D9" s="67"/>
      <c r="F9" s="67"/>
      <c r="G9" s="67">
        <v>0</v>
      </c>
      <c r="H9" s="70"/>
      <c r="I9" s="12"/>
      <c r="J9" s="67"/>
      <c r="K9" s="71"/>
      <c r="L9" s="67"/>
      <c r="M9" s="12"/>
    </row>
    <row r="10" spans="2:13" x14ac:dyDescent="0.35">
      <c r="D10" s="67"/>
      <c r="F10" s="67"/>
      <c r="G10" s="67"/>
      <c r="H10" s="70"/>
      <c r="I10" s="12"/>
      <c r="J10" s="67"/>
      <c r="K10" s="71"/>
      <c r="L10" s="67"/>
      <c r="M10" s="12"/>
    </row>
    <row r="11" spans="2:13" x14ac:dyDescent="0.35">
      <c r="D11" s="67"/>
      <c r="F11" s="67"/>
      <c r="G11" s="67"/>
      <c r="H11" s="70"/>
      <c r="I11" s="12"/>
      <c r="J11" s="67"/>
      <c r="K11" s="71"/>
      <c r="L11" s="67"/>
      <c r="M11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T43"/>
  <sheetViews>
    <sheetView showGridLines="0" workbookViewId="0">
      <selection activeCell="F20" sqref="F20"/>
    </sheetView>
  </sheetViews>
  <sheetFormatPr defaultRowHeight="14.5" x14ac:dyDescent="0.35"/>
  <cols>
    <col min="2" max="2" width="31.90625" bestFit="1" customWidth="1"/>
    <col min="3" max="3" width="6.54296875" bestFit="1" customWidth="1"/>
    <col min="4" max="4" width="14.453125" bestFit="1" customWidth="1"/>
    <col min="5" max="5" width="17.81640625" bestFit="1" customWidth="1"/>
    <col min="6" max="6" width="32.6328125" bestFit="1" customWidth="1"/>
    <col min="7" max="7" width="11.1796875" bestFit="1" customWidth="1"/>
    <col min="8" max="8" width="9.453125" bestFit="1" customWidth="1"/>
    <col min="9" max="9" width="32.36328125" bestFit="1" customWidth="1"/>
    <col min="10" max="10" width="6.54296875" bestFit="1" customWidth="1"/>
    <col min="11" max="11" width="15" bestFit="1" customWidth="1"/>
    <col min="12" max="12" width="17.90625" bestFit="1" customWidth="1"/>
    <col min="13" max="13" width="53.81640625" bestFit="1" customWidth="1"/>
    <col min="14" max="14" width="11.1796875" bestFit="1" customWidth="1"/>
    <col min="15" max="15" width="9.81640625" bestFit="1" customWidth="1"/>
    <col min="16" max="16" width="30.7265625" bestFit="1" customWidth="1"/>
    <col min="17" max="17" width="10.54296875" bestFit="1" customWidth="1"/>
    <col min="18" max="18" width="13.453125" bestFit="1" customWidth="1"/>
    <col min="19" max="19" width="12.36328125" bestFit="1" customWidth="1"/>
    <col min="20" max="20" width="7.6328125" bestFit="1" customWidth="1"/>
  </cols>
  <sheetData>
    <row r="1" spans="2:20" ht="15" thickBot="1" x14ac:dyDescent="0.4"/>
    <row r="2" spans="2:20" ht="15" thickBot="1" x14ac:dyDescent="0.4">
      <c r="E2" s="222" t="s">
        <v>89</v>
      </c>
      <c r="F2" s="223" t="s">
        <v>87</v>
      </c>
      <c r="G2" s="227" t="s">
        <v>56</v>
      </c>
      <c r="L2" s="222" t="s">
        <v>89</v>
      </c>
      <c r="M2" s="223" t="s">
        <v>87</v>
      </c>
      <c r="N2" s="227" t="s">
        <v>56</v>
      </c>
    </row>
    <row r="3" spans="2:20" x14ac:dyDescent="0.35">
      <c r="E3" s="224"/>
      <c r="F3" s="17" t="s">
        <v>321</v>
      </c>
      <c r="G3" s="229">
        <v>244602</v>
      </c>
      <c r="L3" s="224"/>
      <c r="M3" s="17" t="s">
        <v>305</v>
      </c>
      <c r="N3" s="229">
        <v>227297.5</v>
      </c>
    </row>
    <row r="4" spans="2:20" x14ac:dyDescent="0.35">
      <c r="E4" s="224"/>
      <c r="F4" s="17" t="s">
        <v>303</v>
      </c>
      <c r="G4" s="230">
        <f>G8</f>
        <v>295366</v>
      </c>
      <c r="L4" s="224"/>
      <c r="M4" s="17" t="s">
        <v>90</v>
      </c>
      <c r="N4" s="230">
        <v>0</v>
      </c>
    </row>
    <row r="5" spans="2:20" ht="15" thickBot="1" x14ac:dyDescent="0.4">
      <c r="E5" s="224"/>
      <c r="F5" s="17" t="s">
        <v>102</v>
      </c>
      <c r="G5" s="231"/>
      <c r="L5" s="224"/>
      <c r="M5" s="17" t="s">
        <v>306</v>
      </c>
      <c r="N5" s="231">
        <f>N8</f>
        <v>168763.5</v>
      </c>
    </row>
    <row r="6" spans="2:20" ht="15" thickBot="1" x14ac:dyDescent="0.4">
      <c r="E6" s="225"/>
      <c r="F6" s="226"/>
      <c r="G6" s="228">
        <f>G3-G4-G5</f>
        <v>-50764</v>
      </c>
      <c r="L6" s="225"/>
      <c r="M6" s="226" t="s">
        <v>91</v>
      </c>
      <c r="N6" s="228">
        <f>N3-N4-N5</f>
        <v>58534</v>
      </c>
    </row>
    <row r="7" spans="2:20" x14ac:dyDescent="0.35">
      <c r="G7" s="1"/>
    </row>
    <row r="8" spans="2:20" ht="15" thickBot="1" x14ac:dyDescent="0.4">
      <c r="B8" s="45" t="s">
        <v>301</v>
      </c>
      <c r="C8" s="45"/>
      <c r="D8" s="45"/>
      <c r="G8" s="3">
        <f>SUBTOTAL(9,G10:G82)</f>
        <v>295366</v>
      </c>
      <c r="I8" s="49" t="s">
        <v>302</v>
      </c>
      <c r="J8" s="49"/>
      <c r="K8" s="49"/>
      <c r="L8" s="49"/>
      <c r="N8" s="3">
        <f>SUBTOTAL(9,N10:N82)</f>
        <v>168763.5</v>
      </c>
      <c r="P8" s="45" t="s">
        <v>304</v>
      </c>
      <c r="Q8" s="45"/>
      <c r="R8" s="45"/>
    </row>
    <row r="9" spans="2:20" ht="15" thickBot="1" x14ac:dyDescent="0.4">
      <c r="B9" s="32" t="s">
        <v>80</v>
      </c>
      <c r="C9" s="32" t="s">
        <v>19</v>
      </c>
      <c r="D9" s="27" t="s">
        <v>84</v>
      </c>
      <c r="E9" s="28" t="s">
        <v>85</v>
      </c>
      <c r="F9" s="27" t="s">
        <v>121</v>
      </c>
      <c r="G9" s="29" t="s">
        <v>76</v>
      </c>
      <c r="I9" s="26" t="s">
        <v>80</v>
      </c>
      <c r="J9" s="32" t="s">
        <v>19</v>
      </c>
      <c r="K9" s="27" t="s">
        <v>73</v>
      </c>
      <c r="L9" s="28" t="s">
        <v>74</v>
      </c>
      <c r="M9" s="27" t="s">
        <v>75</v>
      </c>
      <c r="N9" s="29" t="s">
        <v>122</v>
      </c>
      <c r="P9" s="30" t="s">
        <v>118</v>
      </c>
      <c r="Q9" s="31" t="s">
        <v>119</v>
      </c>
      <c r="R9" s="40" t="s">
        <v>120</v>
      </c>
      <c r="S9" s="40" t="s">
        <v>121</v>
      </c>
      <c r="T9" s="40" t="s">
        <v>56</v>
      </c>
    </row>
    <row r="10" spans="2:20" x14ac:dyDescent="0.35">
      <c r="B10" s="11" t="s">
        <v>255</v>
      </c>
      <c r="C10" s="11" t="str">
        <f>TEXT(D10,"mmm-yy")</f>
        <v>Apr-26</v>
      </c>
      <c r="D10" s="47">
        <v>46113</v>
      </c>
      <c r="E10" t="s">
        <v>263</v>
      </c>
      <c r="F10" s="11" t="s">
        <v>254</v>
      </c>
      <c r="G10" s="19">
        <v>1380</v>
      </c>
      <c r="I10" s="7" t="s">
        <v>255</v>
      </c>
      <c r="J10" s="11" t="str">
        <f>TEXT(K10,"mmm-yy")</f>
        <v>Apr-26</v>
      </c>
      <c r="K10" s="47">
        <v>46113</v>
      </c>
      <c r="L10" t="s">
        <v>267</v>
      </c>
      <c r="M10" s="11" t="s">
        <v>239</v>
      </c>
      <c r="N10" s="18">
        <v>1680</v>
      </c>
      <c r="P10" s="44"/>
      <c r="Q10" s="11"/>
      <c r="R10" s="9"/>
      <c r="S10" s="9"/>
      <c r="T10" s="19"/>
    </row>
    <row r="11" spans="2:20" x14ac:dyDescent="0.35">
      <c r="B11" s="11" t="s">
        <v>256</v>
      </c>
      <c r="C11" s="11" t="str">
        <f t="shared" ref="C11:C20" si="0">TEXT(D11,"mmm-yy")</f>
        <v>Apr-26</v>
      </c>
      <c r="D11" s="47">
        <v>46114</v>
      </c>
      <c r="E11" t="s">
        <v>264</v>
      </c>
      <c r="F11" s="11" t="s">
        <v>254</v>
      </c>
      <c r="G11" s="19">
        <v>114.99999999999999</v>
      </c>
      <c r="I11" s="7" t="s">
        <v>266</v>
      </c>
      <c r="J11" s="11" t="str">
        <f>TEXT(K11,"mmm-yy")</f>
        <v>Apr-26</v>
      </c>
      <c r="K11" s="47">
        <v>46114</v>
      </c>
      <c r="L11" t="s">
        <v>269</v>
      </c>
      <c r="M11" s="11" t="s">
        <v>239</v>
      </c>
      <c r="N11" s="18">
        <v>420</v>
      </c>
      <c r="P11" s="44"/>
      <c r="Q11" s="11"/>
      <c r="R11" s="9"/>
      <c r="S11" s="9"/>
      <c r="T11" s="19"/>
    </row>
    <row r="12" spans="2:20" x14ac:dyDescent="0.35">
      <c r="B12" s="11" t="s">
        <v>266</v>
      </c>
      <c r="C12" s="11" t="str">
        <f t="shared" si="0"/>
        <v>Apr-26</v>
      </c>
      <c r="D12" s="47">
        <v>46114</v>
      </c>
      <c r="E12" t="s">
        <v>265</v>
      </c>
      <c r="F12" s="11" t="s">
        <v>254</v>
      </c>
      <c r="G12" s="19">
        <v>345</v>
      </c>
      <c r="I12" s="7" t="s">
        <v>256</v>
      </c>
      <c r="J12" s="11" t="str">
        <f t="shared" ref="J12:J20" si="1">TEXT(K12,"mmm-yy")</f>
        <v>Apr-26</v>
      </c>
      <c r="K12" s="47">
        <v>46114</v>
      </c>
      <c r="L12" t="s">
        <v>268</v>
      </c>
      <c r="M12" s="11" t="s">
        <v>239</v>
      </c>
      <c r="N12" s="18">
        <v>140</v>
      </c>
      <c r="P12" s="44"/>
      <c r="Q12" s="11"/>
      <c r="R12" s="9"/>
      <c r="S12" s="9"/>
      <c r="T12" s="19"/>
    </row>
    <row r="13" spans="2:20" x14ac:dyDescent="0.35">
      <c r="B13" s="11" t="s">
        <v>291</v>
      </c>
      <c r="C13" s="11" t="str">
        <f t="shared" si="0"/>
        <v>Apr-26</v>
      </c>
      <c r="D13" s="47">
        <v>46118</v>
      </c>
      <c r="E13" t="s">
        <v>294</v>
      </c>
      <c r="F13" s="11" t="s">
        <v>253</v>
      </c>
      <c r="G13" s="19">
        <v>637</v>
      </c>
      <c r="I13" s="7" t="s">
        <v>291</v>
      </c>
      <c r="J13" s="11" t="str">
        <f t="shared" si="1"/>
        <v>Apr-26</v>
      </c>
      <c r="K13" s="47">
        <v>46118</v>
      </c>
      <c r="L13" t="s">
        <v>297</v>
      </c>
      <c r="M13" s="11" t="s">
        <v>239</v>
      </c>
      <c r="N13" s="18">
        <v>734.5</v>
      </c>
      <c r="P13" s="44"/>
      <c r="Q13" s="11"/>
      <c r="R13" s="9"/>
      <c r="S13" s="9"/>
      <c r="T13" s="19"/>
    </row>
    <row r="14" spans="2:20" x14ac:dyDescent="0.35">
      <c r="B14" s="11" t="s">
        <v>292</v>
      </c>
      <c r="C14" s="11" t="str">
        <f t="shared" si="0"/>
        <v>Apr-26</v>
      </c>
      <c r="D14" s="47">
        <v>46118</v>
      </c>
      <c r="E14" t="s">
        <v>295</v>
      </c>
      <c r="F14" s="11" t="s">
        <v>253</v>
      </c>
      <c r="G14" s="19">
        <v>1176</v>
      </c>
      <c r="I14" s="7" t="s">
        <v>293</v>
      </c>
      <c r="J14" s="11" t="str">
        <f t="shared" si="1"/>
        <v>Apr-26</v>
      </c>
      <c r="K14" s="47">
        <v>46118</v>
      </c>
      <c r="L14" t="s">
        <v>299</v>
      </c>
      <c r="M14" s="11" t="s">
        <v>239</v>
      </c>
      <c r="N14" s="18">
        <v>1356</v>
      </c>
      <c r="P14" s="44"/>
      <c r="Q14" s="11"/>
      <c r="R14" s="9"/>
      <c r="S14" s="9"/>
      <c r="T14" s="19"/>
    </row>
    <row r="15" spans="2:20" x14ac:dyDescent="0.35">
      <c r="B15" s="11" t="s">
        <v>293</v>
      </c>
      <c r="C15" s="11" t="str">
        <f t="shared" si="0"/>
        <v>Apr-26</v>
      </c>
      <c r="D15" s="47">
        <v>46118</v>
      </c>
      <c r="E15" t="s">
        <v>296</v>
      </c>
      <c r="F15" s="11" t="s">
        <v>253</v>
      </c>
      <c r="G15" s="19">
        <v>1372</v>
      </c>
      <c r="I15" s="7" t="s">
        <v>292</v>
      </c>
      <c r="J15" s="11" t="str">
        <f t="shared" si="1"/>
        <v>Apr-26</v>
      </c>
      <c r="K15" s="47">
        <v>46118</v>
      </c>
      <c r="L15" t="s">
        <v>298</v>
      </c>
      <c r="M15" s="11" t="s">
        <v>239</v>
      </c>
      <c r="N15" s="18">
        <v>1582</v>
      </c>
      <c r="P15" s="44"/>
      <c r="Q15" s="11"/>
      <c r="R15" s="9"/>
      <c r="S15" s="9"/>
      <c r="T15" s="19"/>
    </row>
    <row r="16" spans="2:20" x14ac:dyDescent="0.35">
      <c r="B16" s="11" t="s">
        <v>307</v>
      </c>
      <c r="C16" s="11" t="str">
        <f t="shared" si="0"/>
        <v>Apr-26</v>
      </c>
      <c r="D16" s="47">
        <v>46126</v>
      </c>
      <c r="E16" t="s">
        <v>315</v>
      </c>
      <c r="F16" s="11" t="s">
        <v>253</v>
      </c>
      <c r="G16" s="19">
        <v>2750</v>
      </c>
      <c r="I16" s="7" t="s">
        <v>307</v>
      </c>
      <c r="J16" s="11" t="str">
        <f t="shared" si="1"/>
        <v>Apr-26</v>
      </c>
      <c r="K16" s="47">
        <v>46126</v>
      </c>
      <c r="L16" t="s">
        <v>308</v>
      </c>
      <c r="M16" s="11" t="s">
        <v>274</v>
      </c>
      <c r="N16" s="18">
        <v>2775</v>
      </c>
      <c r="P16" s="44"/>
      <c r="Q16" s="11"/>
      <c r="R16" s="9"/>
      <c r="S16" s="9"/>
      <c r="T16" s="19"/>
    </row>
    <row r="17" spans="2:20" x14ac:dyDescent="0.35">
      <c r="B17" s="11" t="s">
        <v>309</v>
      </c>
      <c r="C17" s="11" t="str">
        <f t="shared" si="0"/>
        <v>Apr-26</v>
      </c>
      <c r="D17" s="47">
        <v>46127</v>
      </c>
      <c r="E17" t="s">
        <v>316</v>
      </c>
      <c r="F17" s="11" t="s">
        <v>236</v>
      </c>
      <c r="G17" s="19">
        <v>80808</v>
      </c>
      <c r="I17" s="7" t="s">
        <v>309</v>
      </c>
      <c r="J17" s="11" t="str">
        <f t="shared" si="1"/>
        <v>Apr-26</v>
      </c>
      <c r="K17" s="47">
        <v>46127</v>
      </c>
      <c r="L17" t="s">
        <v>310</v>
      </c>
      <c r="M17" s="11" t="s">
        <v>239</v>
      </c>
      <c r="N17" s="18">
        <v>74592</v>
      </c>
      <c r="P17" s="44"/>
      <c r="Q17" s="11"/>
      <c r="R17" s="9"/>
      <c r="S17" s="9"/>
      <c r="T17" s="19"/>
    </row>
    <row r="18" spans="2:20" x14ac:dyDescent="0.35">
      <c r="B18" s="11" t="s">
        <v>313</v>
      </c>
      <c r="C18" s="11" t="str">
        <f t="shared" si="0"/>
        <v>Apr-26</v>
      </c>
      <c r="D18" s="47">
        <v>46127</v>
      </c>
      <c r="E18" t="s">
        <v>317</v>
      </c>
      <c r="F18" s="11" t="s">
        <v>236</v>
      </c>
      <c r="G18" s="19">
        <v>78851</v>
      </c>
      <c r="I18" s="7" t="s">
        <v>311</v>
      </c>
      <c r="J18" s="11" t="str">
        <f t="shared" si="1"/>
        <v>Apr-26</v>
      </c>
      <c r="K18" s="47">
        <v>46127</v>
      </c>
      <c r="L18" t="s">
        <v>312</v>
      </c>
      <c r="M18" s="11" t="s">
        <v>239</v>
      </c>
      <c r="N18" s="18">
        <v>71232</v>
      </c>
      <c r="P18" s="44"/>
      <c r="Q18" s="11"/>
      <c r="R18" s="9"/>
      <c r="S18" s="9"/>
      <c r="T18" s="19"/>
    </row>
    <row r="19" spans="2:20" x14ac:dyDescent="0.35">
      <c r="B19" s="11" t="s">
        <v>311</v>
      </c>
      <c r="C19" s="11" t="str">
        <f t="shared" si="0"/>
        <v>Apr-26</v>
      </c>
      <c r="D19" s="47">
        <v>46127</v>
      </c>
      <c r="E19" t="s">
        <v>318</v>
      </c>
      <c r="F19" s="11" t="s">
        <v>236</v>
      </c>
      <c r="G19" s="19">
        <v>77168</v>
      </c>
      <c r="I19" s="7" t="s">
        <v>313</v>
      </c>
      <c r="J19" s="11" t="str">
        <f t="shared" si="1"/>
        <v>Apr-26</v>
      </c>
      <c r="K19" s="47">
        <v>46127</v>
      </c>
      <c r="L19" t="s">
        <v>314</v>
      </c>
      <c r="M19" s="11" t="s">
        <v>239</v>
      </c>
      <c r="N19" s="18">
        <v>72786</v>
      </c>
      <c r="P19" s="44"/>
      <c r="Q19" s="11"/>
      <c r="R19" s="9"/>
      <c r="S19" s="9"/>
      <c r="T19" s="19"/>
    </row>
    <row r="20" spans="2:20" x14ac:dyDescent="0.35">
      <c r="B20" s="11" t="s">
        <v>292</v>
      </c>
      <c r="C20" s="11" t="str">
        <f t="shared" si="0"/>
        <v>Jun-26</v>
      </c>
      <c r="D20" s="47">
        <v>46188</v>
      </c>
      <c r="E20" t="s">
        <v>463</v>
      </c>
      <c r="F20" s="11" t="s">
        <v>253</v>
      </c>
      <c r="G20" s="19">
        <v>50764</v>
      </c>
      <c r="I20" s="7" t="s">
        <v>292</v>
      </c>
      <c r="J20" s="11" t="str">
        <f t="shared" si="1"/>
        <v>Jun-26</v>
      </c>
      <c r="K20" s="47">
        <v>46188</v>
      </c>
      <c r="L20" t="s">
        <v>464</v>
      </c>
      <c r="M20" s="11" t="s">
        <v>239</v>
      </c>
      <c r="N20" s="18">
        <v>-58534</v>
      </c>
      <c r="P20" s="44"/>
      <c r="Q20" s="11"/>
      <c r="R20" s="9"/>
      <c r="S20" s="9"/>
      <c r="T20" s="19"/>
    </row>
    <row r="21" spans="2:20" x14ac:dyDescent="0.35">
      <c r="B21" s="11"/>
      <c r="C21" s="11"/>
      <c r="D21" s="47"/>
      <c r="F21" s="11"/>
      <c r="G21" s="19"/>
      <c r="I21" s="7"/>
      <c r="J21" s="7"/>
      <c r="K21" s="47"/>
      <c r="M21" s="11"/>
      <c r="N21" s="18"/>
      <c r="P21" s="44"/>
      <c r="Q21" s="11"/>
      <c r="R21" s="9"/>
      <c r="S21" s="9"/>
      <c r="T21" s="19"/>
    </row>
    <row r="22" spans="2:20" x14ac:dyDescent="0.35">
      <c r="B22" s="11"/>
      <c r="C22" s="11"/>
      <c r="D22" s="47"/>
      <c r="F22" s="11"/>
      <c r="G22" s="19"/>
      <c r="I22" s="7"/>
      <c r="J22" s="7"/>
      <c r="K22" s="47"/>
      <c r="M22" s="11"/>
      <c r="N22" s="18"/>
      <c r="P22" s="44"/>
      <c r="Q22" s="11"/>
      <c r="R22" s="9"/>
      <c r="S22" s="9"/>
      <c r="T22" s="19"/>
    </row>
    <row r="23" spans="2:20" x14ac:dyDescent="0.35">
      <c r="B23" s="11"/>
      <c r="C23" s="11"/>
      <c r="D23" s="47"/>
      <c r="F23" s="11"/>
      <c r="G23" s="19"/>
      <c r="I23" s="7"/>
      <c r="J23" s="7"/>
      <c r="K23" s="47"/>
      <c r="M23" s="11"/>
      <c r="N23" s="18"/>
      <c r="P23" s="44"/>
      <c r="Q23" s="11"/>
      <c r="R23" s="9"/>
      <c r="S23" s="9"/>
      <c r="T23" s="19"/>
    </row>
    <row r="24" spans="2:20" x14ac:dyDescent="0.35">
      <c r="B24" s="11"/>
      <c r="C24" s="11"/>
      <c r="D24" s="47"/>
      <c r="F24" s="11"/>
      <c r="G24" s="19"/>
      <c r="I24" s="7"/>
      <c r="J24" s="7"/>
      <c r="K24" s="47"/>
      <c r="M24" s="11"/>
      <c r="N24" s="18"/>
      <c r="P24" s="44"/>
      <c r="Q24" s="11"/>
      <c r="R24" s="9"/>
      <c r="S24" s="9"/>
      <c r="T24" s="19"/>
    </row>
    <row r="25" spans="2:20" x14ac:dyDescent="0.35">
      <c r="B25" s="11"/>
      <c r="C25" s="11"/>
      <c r="D25" s="47"/>
      <c r="F25" s="11"/>
      <c r="G25" s="19"/>
      <c r="I25" s="7"/>
      <c r="J25" s="7"/>
      <c r="K25" s="47"/>
      <c r="M25" s="11"/>
      <c r="N25" s="18"/>
      <c r="P25" s="44"/>
      <c r="Q25" s="11"/>
      <c r="R25" s="9"/>
      <c r="S25" s="9"/>
      <c r="T25" s="19"/>
    </row>
    <row r="26" spans="2:20" x14ac:dyDescent="0.35">
      <c r="B26" s="11"/>
      <c r="C26" s="11"/>
      <c r="D26" s="47"/>
      <c r="F26" s="11"/>
      <c r="G26" s="19"/>
      <c r="I26" s="7"/>
      <c r="J26" s="7"/>
      <c r="K26" s="47"/>
      <c r="M26" s="11"/>
      <c r="N26" s="18"/>
      <c r="P26" s="44"/>
      <c r="Q26" s="11"/>
      <c r="R26" s="9"/>
      <c r="S26" s="9"/>
      <c r="T26" s="19"/>
    </row>
    <row r="27" spans="2:20" x14ac:dyDescent="0.35">
      <c r="B27" s="11"/>
      <c r="C27" s="11"/>
      <c r="D27" s="47"/>
      <c r="F27" s="11"/>
      <c r="G27" s="19"/>
      <c r="I27" s="7"/>
      <c r="J27" s="7"/>
      <c r="K27" s="47"/>
      <c r="M27" s="11"/>
      <c r="N27" s="18"/>
      <c r="P27" s="44"/>
      <c r="Q27" s="11"/>
      <c r="R27" s="9"/>
      <c r="S27" s="9"/>
      <c r="T27" s="19"/>
    </row>
    <row r="28" spans="2:20" x14ac:dyDescent="0.35">
      <c r="B28" s="11"/>
      <c r="C28" s="11"/>
      <c r="D28" s="47"/>
      <c r="F28" s="11"/>
      <c r="G28" s="19"/>
      <c r="I28" s="7"/>
      <c r="J28" s="7"/>
      <c r="K28" s="47"/>
      <c r="M28" s="11"/>
      <c r="N28" s="18"/>
      <c r="P28" s="44"/>
      <c r="Q28" s="11"/>
      <c r="R28" s="9"/>
      <c r="S28" s="9"/>
      <c r="T28" s="19"/>
    </row>
    <row r="29" spans="2:20" x14ac:dyDescent="0.35">
      <c r="B29" s="11"/>
      <c r="C29" s="11"/>
      <c r="D29" s="47"/>
      <c r="F29" s="11"/>
      <c r="G29" s="19"/>
      <c r="I29" s="7"/>
      <c r="J29" s="7"/>
      <c r="K29" s="47"/>
      <c r="M29" s="11"/>
      <c r="N29" s="18"/>
      <c r="P29" s="44"/>
      <c r="Q29" s="11"/>
      <c r="R29" s="9"/>
      <c r="S29" s="9"/>
      <c r="T29" s="19"/>
    </row>
    <row r="30" spans="2:20" x14ac:dyDescent="0.35">
      <c r="B30" s="11"/>
      <c r="C30" s="11"/>
      <c r="D30" s="47"/>
      <c r="F30" s="11"/>
      <c r="G30" s="19"/>
      <c r="I30" s="7"/>
      <c r="J30" s="7"/>
      <c r="K30" s="47"/>
      <c r="M30" s="11"/>
      <c r="N30" s="18"/>
      <c r="P30" s="44"/>
      <c r="Q30" s="11"/>
      <c r="R30" s="9"/>
      <c r="S30" s="9"/>
      <c r="T30" s="19"/>
    </row>
    <row r="31" spans="2:20" ht="15" thickBot="1" x14ac:dyDescent="0.4">
      <c r="B31" s="11"/>
      <c r="C31" s="11"/>
      <c r="D31" s="47"/>
      <c r="F31" s="11"/>
      <c r="G31" s="19"/>
      <c r="I31" s="7"/>
      <c r="J31" s="7"/>
      <c r="K31" s="47"/>
      <c r="M31" s="11"/>
      <c r="N31" s="18"/>
      <c r="P31" s="44"/>
      <c r="Q31" s="11"/>
      <c r="R31" s="9"/>
      <c r="S31" s="9"/>
      <c r="T31" s="19"/>
    </row>
    <row r="32" spans="2:20" ht="15" thickBot="1" x14ac:dyDescent="0.4">
      <c r="B32" s="11"/>
      <c r="C32" s="11"/>
      <c r="D32" s="47"/>
      <c r="F32" s="11"/>
      <c r="G32" s="19"/>
      <c r="I32" s="7"/>
      <c r="J32" s="7"/>
      <c r="K32" s="47"/>
      <c r="M32" s="11"/>
      <c r="N32" s="18"/>
      <c r="P32" s="357" t="s">
        <v>78</v>
      </c>
      <c r="Q32" s="358"/>
      <c r="R32" s="358"/>
      <c r="S32" s="359"/>
      <c r="T32" s="33">
        <f>SUM(T10:T31)</f>
        <v>0</v>
      </c>
    </row>
    <row r="33" spans="2:14" x14ac:dyDescent="0.35">
      <c r="B33" s="11"/>
      <c r="C33" s="11"/>
      <c r="D33" s="47"/>
      <c r="F33" s="11"/>
      <c r="G33" s="19"/>
      <c r="I33" s="7"/>
      <c r="J33" s="7"/>
      <c r="K33" s="47"/>
      <c r="M33" s="11"/>
      <c r="N33" s="18"/>
    </row>
    <row r="34" spans="2:14" x14ac:dyDescent="0.35">
      <c r="B34" s="11"/>
      <c r="C34" s="11"/>
      <c r="D34" s="47"/>
      <c r="F34" s="11"/>
      <c r="G34" s="19"/>
      <c r="I34" s="7"/>
      <c r="J34" s="7"/>
      <c r="K34" s="47"/>
      <c r="M34" s="11"/>
      <c r="N34" s="18"/>
    </row>
    <row r="35" spans="2:14" x14ac:dyDescent="0.35">
      <c r="B35" s="11"/>
      <c r="C35" s="11"/>
      <c r="D35" s="47"/>
      <c r="F35" s="11"/>
      <c r="G35" s="19"/>
      <c r="I35" s="7"/>
      <c r="J35" s="7"/>
      <c r="K35" s="47"/>
      <c r="M35" s="11"/>
      <c r="N35" s="18"/>
    </row>
    <row r="36" spans="2:14" x14ac:dyDescent="0.35">
      <c r="B36" s="11"/>
      <c r="C36" s="11"/>
      <c r="D36" s="47"/>
      <c r="F36" s="11"/>
      <c r="G36" s="19"/>
      <c r="I36" s="7"/>
      <c r="J36" s="7"/>
      <c r="K36" s="47"/>
      <c r="M36" s="11"/>
      <c r="N36" s="18"/>
    </row>
    <row r="37" spans="2:14" x14ac:dyDescent="0.35">
      <c r="B37" s="11"/>
      <c r="C37" s="11"/>
      <c r="D37" s="47"/>
      <c r="F37" s="11"/>
      <c r="G37" s="19"/>
      <c r="I37" s="7"/>
      <c r="J37" s="7"/>
      <c r="K37" s="47"/>
      <c r="M37" s="11"/>
      <c r="N37" s="18"/>
    </row>
    <row r="38" spans="2:14" x14ac:dyDescent="0.35">
      <c r="B38" s="11"/>
      <c r="C38" s="11"/>
      <c r="D38" s="47"/>
      <c r="F38" s="11"/>
      <c r="G38" s="19"/>
      <c r="I38" s="7"/>
      <c r="J38" s="7"/>
      <c r="K38" s="47"/>
      <c r="M38" s="11"/>
      <c r="N38" s="18"/>
    </row>
    <row r="39" spans="2:14" x14ac:dyDescent="0.35">
      <c r="B39" s="11"/>
      <c r="C39" s="11"/>
      <c r="D39" s="47"/>
      <c r="F39" s="11"/>
      <c r="G39" s="19"/>
      <c r="I39" s="7"/>
      <c r="J39" s="7"/>
      <c r="K39" s="47"/>
      <c r="M39" s="11"/>
      <c r="N39" s="18"/>
    </row>
    <row r="40" spans="2:14" x14ac:dyDescent="0.35">
      <c r="B40" s="11"/>
      <c r="C40" s="11"/>
      <c r="D40" s="47"/>
      <c r="F40" s="11"/>
      <c r="G40" s="19"/>
      <c r="I40" s="7"/>
      <c r="J40" s="7"/>
      <c r="K40" s="47"/>
      <c r="M40" s="11"/>
      <c r="N40" s="18"/>
    </row>
    <row r="41" spans="2:14" x14ac:dyDescent="0.35">
      <c r="B41" s="11"/>
      <c r="C41" s="11"/>
      <c r="D41" s="47"/>
      <c r="F41" s="11"/>
      <c r="G41" s="19"/>
      <c r="I41" s="7"/>
      <c r="J41" s="7"/>
      <c r="K41" s="47"/>
      <c r="M41" s="11"/>
      <c r="N41" s="18"/>
    </row>
    <row r="42" spans="2:14" x14ac:dyDescent="0.35">
      <c r="B42" s="11"/>
      <c r="C42" s="11"/>
      <c r="D42" s="47"/>
      <c r="F42" s="11"/>
      <c r="G42" s="19"/>
      <c r="I42" s="7"/>
      <c r="J42" s="7"/>
      <c r="K42" s="47"/>
      <c r="M42" s="11"/>
      <c r="N42" s="18"/>
    </row>
    <row r="43" spans="2:14" x14ac:dyDescent="0.35">
      <c r="I43" s="7"/>
      <c r="J43" s="7"/>
      <c r="K43" s="47"/>
      <c r="M43" s="11"/>
      <c r="N43" s="18"/>
    </row>
  </sheetData>
  <mergeCells count="1">
    <mergeCell ref="P32:S32"/>
  </mergeCells>
  <conditionalFormatting sqref="B10:B41">
    <cfRule type="duplicateValues" dxfId="1" priority="19807"/>
  </conditionalFormatting>
  <conditionalFormatting sqref="I21:J42 I10:I20">
    <cfRule type="duplicateValues" dxfId="0" priority="20027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workbookViewId="0">
      <selection activeCell="F23" sqref="F23"/>
    </sheetView>
  </sheetViews>
  <sheetFormatPr defaultRowHeight="14.5" x14ac:dyDescent="0.35"/>
  <cols>
    <col min="3" max="3" width="40.08984375" bestFit="1" customWidth="1"/>
    <col min="4" max="4" width="14.1796875" bestFit="1" customWidth="1"/>
    <col min="6" max="6" width="39.54296875" bestFit="1" customWidth="1"/>
    <col min="7" max="7" width="14.1796875" bestFit="1" customWidth="1"/>
    <col min="9" max="9" width="39.6328125" bestFit="1" customWidth="1"/>
    <col min="10" max="10" width="11.54296875" bestFit="1" customWidth="1"/>
  </cols>
  <sheetData>
    <row r="4" spans="3:10" s="64" customFormat="1" ht="16" thickBot="1" x14ac:dyDescent="0.4">
      <c r="C4" s="64" t="s">
        <v>92</v>
      </c>
      <c r="F4" s="64" t="s">
        <v>95</v>
      </c>
      <c r="I4" s="64" t="s">
        <v>97</v>
      </c>
    </row>
    <row r="5" spans="3:10" ht="15" thickBot="1" x14ac:dyDescent="0.4">
      <c r="C5" s="52" t="s">
        <v>87</v>
      </c>
      <c r="D5" s="53" t="s">
        <v>56</v>
      </c>
      <c r="F5" s="52" t="s">
        <v>87</v>
      </c>
      <c r="G5" s="53" t="s">
        <v>56</v>
      </c>
      <c r="I5" s="52" t="s">
        <v>87</v>
      </c>
      <c r="J5" s="53" t="s">
        <v>56</v>
      </c>
    </row>
    <row r="6" spans="3:10" x14ac:dyDescent="0.35">
      <c r="C6" s="51" t="s">
        <v>93</v>
      </c>
      <c r="D6" s="54">
        <f>Details!AT38</f>
        <v>2026053.6</v>
      </c>
      <c r="F6" s="51" t="s">
        <v>96</v>
      </c>
      <c r="G6" s="54">
        <f>Details!O38</f>
        <v>2404936</v>
      </c>
      <c r="I6" s="59" t="s">
        <v>98</v>
      </c>
      <c r="J6" s="60">
        <f>Details!AC38</f>
        <v>54711</v>
      </c>
    </row>
    <row r="7" spans="3:10" x14ac:dyDescent="0.35">
      <c r="C7" s="51" t="s">
        <v>161</v>
      </c>
      <c r="D7" s="54">
        <f>Details!AT42</f>
        <v>168763.5</v>
      </c>
      <c r="F7" s="51" t="s">
        <v>162</v>
      </c>
      <c r="G7" s="54">
        <f>-Details!O43</f>
        <v>-295366</v>
      </c>
      <c r="I7" s="51" t="s">
        <v>163</v>
      </c>
      <c r="J7" s="54">
        <f>Details!AC42</f>
        <v>0</v>
      </c>
    </row>
    <row r="8" spans="3:10" ht="15" thickBot="1" x14ac:dyDescent="0.4">
      <c r="C8" s="51" t="s">
        <v>147</v>
      </c>
      <c r="D8" s="54">
        <f>'Recon Items'!Q8</f>
        <v>0</v>
      </c>
      <c r="F8" s="51" t="s">
        <v>148</v>
      </c>
      <c r="G8" s="54">
        <f>Details!O41</f>
        <v>244602</v>
      </c>
      <c r="I8" s="51" t="s">
        <v>164</v>
      </c>
      <c r="J8" s="54">
        <f>Details!AC41</f>
        <v>0</v>
      </c>
    </row>
    <row r="9" spans="3:10" ht="15" thickBot="1" x14ac:dyDescent="0.4">
      <c r="C9" s="51" t="s">
        <v>83</v>
      </c>
      <c r="D9" s="54">
        <f>Details!AT43</f>
        <v>0</v>
      </c>
      <c r="F9" s="51" t="s">
        <v>173</v>
      </c>
      <c r="G9" s="54">
        <v>0</v>
      </c>
      <c r="I9" s="51"/>
      <c r="J9" s="61">
        <f>SUM(J6:J8)</f>
        <v>54711</v>
      </c>
    </row>
    <row r="10" spans="3:10" ht="15" thickBot="1" x14ac:dyDescent="0.4">
      <c r="C10" s="51" t="s">
        <v>149</v>
      </c>
      <c r="D10" s="54">
        <f>Details!AT41</f>
        <v>227297.5</v>
      </c>
      <c r="F10" s="51" t="s">
        <v>132</v>
      </c>
      <c r="G10" s="54">
        <f>-'Recon Items'!M18</f>
        <v>0</v>
      </c>
      <c r="I10" s="51" t="s">
        <v>99</v>
      </c>
      <c r="J10" s="54">
        <f>Details!AC39</f>
        <v>54711</v>
      </c>
    </row>
    <row r="11" spans="3:10" ht="15" thickBot="1" x14ac:dyDescent="0.4">
      <c r="C11" s="51"/>
      <c r="D11" s="61">
        <f>SUM(D6:D10)</f>
        <v>2422114.6</v>
      </c>
      <c r="F11" s="56" t="s">
        <v>100</v>
      </c>
      <c r="G11" s="54">
        <f>'Recon Items'!F18</f>
        <v>0</v>
      </c>
      <c r="I11" s="57" t="s">
        <v>100</v>
      </c>
      <c r="J11" s="55">
        <f>J9-J10</f>
        <v>0</v>
      </c>
    </row>
    <row r="12" spans="3:10" ht="15" thickBot="1" x14ac:dyDescent="0.4">
      <c r="C12" s="51" t="s">
        <v>94</v>
      </c>
      <c r="D12" s="54">
        <f>Details!AT39</f>
        <v>1967519.6</v>
      </c>
      <c r="F12" s="51"/>
      <c r="G12" s="61">
        <f>SUM(G6:G11)</f>
        <v>2354172</v>
      </c>
    </row>
    <row r="13" spans="3:10" ht="15" thickBot="1" x14ac:dyDescent="0.4">
      <c r="C13" s="57" t="s">
        <v>100</v>
      </c>
      <c r="D13" s="55">
        <f>D11-D12</f>
        <v>454595</v>
      </c>
      <c r="F13" s="51" t="s">
        <v>101</v>
      </c>
      <c r="G13" s="54">
        <f>Details!O39</f>
        <v>2354172</v>
      </c>
    </row>
    <row r="14" spans="3:10" ht="15" thickBot="1" x14ac:dyDescent="0.4">
      <c r="C14" s="22"/>
      <c r="D14" s="23"/>
      <c r="F14" s="57" t="s">
        <v>100</v>
      </c>
      <c r="G14" s="58">
        <f>G12-G13-'Recon Items'!C18</f>
        <v>0</v>
      </c>
    </row>
    <row r="24" spans="3:4" x14ac:dyDescent="0.35">
      <c r="C24" s="22"/>
      <c r="D24" s="24"/>
    </row>
    <row r="32" spans="3:4" x14ac:dyDescent="0.35">
      <c r="D32" s="3"/>
    </row>
    <row r="33" spans="4:4" x14ac:dyDescent="0.35">
      <c r="D33" s="3"/>
    </row>
    <row r="34" spans="4:4" x14ac:dyDescent="0.35">
      <c r="D34" s="3"/>
    </row>
    <row r="35" spans="4:4" x14ac:dyDescent="0.35">
      <c r="D35" s="3"/>
    </row>
    <row r="36" spans="4:4" x14ac:dyDescent="0.35">
      <c r="D36" s="3"/>
    </row>
    <row r="37" spans="4:4" x14ac:dyDescent="0.35">
      <c r="D37" s="3"/>
    </row>
    <row r="38" spans="4:4" x14ac:dyDescent="0.35">
      <c r="D38" s="3"/>
    </row>
    <row r="39" spans="4:4" x14ac:dyDescent="0.35">
      <c r="D39" s="3"/>
    </row>
    <row r="40" spans="4:4" x14ac:dyDescent="0.35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Details</vt:lpstr>
      <vt:lpstr>AP &amp; AR</vt:lpstr>
      <vt:lpstr>Recon Items</vt:lpstr>
      <vt:lpstr>Supplier Metrics</vt:lpstr>
      <vt:lpstr>Buyer Metrics</vt:lpstr>
      <vt:lpstr>Last year's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finance4</cp:lastModifiedBy>
  <cp:lastPrinted>2024-05-14T07:36:53Z</cp:lastPrinted>
  <dcterms:created xsi:type="dcterms:W3CDTF">2015-06-05T18:17:20Z</dcterms:created>
  <dcterms:modified xsi:type="dcterms:W3CDTF">2026-06-22T02:35:07Z</dcterms:modified>
</cp:coreProperties>
</file>