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C:\Users\sandeep.gundapuneni\Desktop\MIS Reports\June 2026\MIS Reports till 30th June 2026\"/>
    </mc:Choice>
  </mc:AlternateContent>
  <xr:revisionPtr revIDLastSave="0" documentId="13_ncr:1_{81E3E7E2-75D3-4BDA-8E08-63581F89C156}" xr6:coauthVersionLast="47" xr6:coauthVersionMax="47" xr10:uidLastSave="{00000000-0000-0000-0000-000000000000}"/>
  <bookViews>
    <workbookView xWindow="-108" yWindow="-108" windowWidth="23256" windowHeight="12456" tabRatio="742" xr2:uid="{00000000-000D-0000-FFFF-FFFF00000000}"/>
  </bookViews>
  <sheets>
    <sheet name="Summary" sheetId="5" r:id="rId1"/>
    <sheet name="Details" sheetId="4" r:id="rId2"/>
    <sheet name="Recon Items" sheetId="80" r:id="rId3"/>
    <sheet name="AP &amp; AR" sheetId="98" r:id="rId4"/>
    <sheet name="Supplier Metrics" sheetId="97" state="hidden" r:id="rId5"/>
    <sheet name="Buyer Metrics" sheetId="95" r:id="rId6"/>
    <sheet name="Last year's" sheetId="81" r:id="rId7"/>
    <sheet name="Revenue - Reco" sheetId="84" state="hidden" r:id="rId8"/>
  </sheets>
  <definedNames>
    <definedName name="_xlnm._FilterDatabase" localSheetId="5" hidden="1">'Buyer Metrics'!$A$4:$N$8</definedName>
    <definedName name="_xlnm._FilterDatabase" localSheetId="1" hidden="1">Details!$B$4:$CW$21</definedName>
    <definedName name="_xlnm._FilterDatabase" localSheetId="6" hidden="1">'Last year''s'!$B$9:$G$30</definedName>
    <definedName name="_xlnm._FilterDatabase" localSheetId="0" hidden="1">Summary!$C$3:$W$49</definedName>
    <definedName name="_xlnm._FilterDatabase" localSheetId="4" hidden="1">'Supplier Metrics'!$B$3:$D$9</definedName>
    <definedName name="_xlcn.WorksheetConnection_DetailsB4BN19801" hidden="1">Details!$D$4:$BT$22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-3c0ce2b5-7498-409b-938e-e65f70856903" name="Range" connection="WorksheetConnection_Details!$B$4:$BN$198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1" i="4" l="1"/>
  <c r="AZ21" i="4"/>
  <c r="BB21" i="4"/>
  <c r="BW21" i="4"/>
  <c r="BX21" i="4"/>
  <c r="BZ21" i="4"/>
  <c r="CA21" i="4"/>
  <c r="CE21" i="4"/>
  <c r="CH21" i="4"/>
  <c r="CO21" i="4"/>
  <c r="CQ21" i="4"/>
  <c r="CR21" i="4"/>
  <c r="CV21" i="4"/>
  <c r="CW21" i="4"/>
  <c r="Q21" i="4"/>
  <c r="S21" i="4"/>
  <c r="AB21" i="4"/>
  <c r="AM21" i="4"/>
  <c r="B21" i="4"/>
  <c r="C21" i="4"/>
  <c r="W6" i="5"/>
  <c r="BW18" i="4"/>
  <c r="BX18" i="4"/>
  <c r="BZ18" i="4"/>
  <c r="CA18" i="4"/>
  <c r="CE18" i="4"/>
  <c r="CH18" i="4"/>
  <c r="CR18" i="4"/>
  <c r="CV18" i="4"/>
  <c r="CW18" i="4"/>
  <c r="BW19" i="4"/>
  <c r="BX19" i="4"/>
  <c r="BZ19" i="4"/>
  <c r="CA19" i="4"/>
  <c r="CE19" i="4"/>
  <c r="CH19" i="4"/>
  <c r="CR19" i="4"/>
  <c r="CV19" i="4"/>
  <c r="CW19" i="4"/>
  <c r="BW20" i="4"/>
  <c r="BX20" i="4"/>
  <c r="BZ20" i="4"/>
  <c r="CA20" i="4"/>
  <c r="CB20" i="4"/>
  <c r="CE20" i="4"/>
  <c r="CH20" i="4"/>
  <c r="CV20" i="4"/>
  <c r="CW20" i="4"/>
  <c r="AY18" i="4"/>
  <c r="AZ18" i="4"/>
  <c r="BB18" i="4"/>
  <c r="AY19" i="4"/>
  <c r="AZ19" i="4"/>
  <c r="BB19" i="4"/>
  <c r="AY20" i="4"/>
  <c r="AZ20" i="4"/>
  <c r="BB20" i="4"/>
  <c r="BO20" i="4"/>
  <c r="Q18" i="4"/>
  <c r="S18" i="4"/>
  <c r="AB18" i="4"/>
  <c r="Q19" i="4"/>
  <c r="S19" i="4"/>
  <c r="AB19" i="4"/>
  <c r="Q20" i="4"/>
  <c r="S20" i="4"/>
  <c r="AB20" i="4"/>
  <c r="AM20" i="4"/>
  <c r="B18" i="4"/>
  <c r="C18" i="4"/>
  <c r="B19" i="4"/>
  <c r="C19" i="4"/>
  <c r="B20" i="4"/>
  <c r="C20" i="4"/>
  <c r="N8" i="81"/>
  <c r="J20" i="81"/>
  <c r="C20" i="81"/>
  <c r="BW17" i="4"/>
  <c r="BX17" i="4"/>
  <c r="BZ17" i="4"/>
  <c r="CA17" i="4"/>
  <c r="CE17" i="4"/>
  <c r="CH17" i="4"/>
  <c r="CV17" i="4"/>
  <c r="CW17" i="4"/>
  <c r="AY17" i="4"/>
  <c r="AZ17" i="4"/>
  <c r="BB17" i="4"/>
  <c r="BO17" i="4"/>
  <c r="Q17" i="4"/>
  <c r="S17" i="4"/>
  <c r="AB17" i="4"/>
  <c r="AM17" i="4"/>
  <c r="B17" i="4"/>
  <c r="C17" i="4"/>
  <c r="Z2" i="98"/>
  <c r="Y2" i="98"/>
  <c r="BW14" i="4"/>
  <c r="BX14" i="4"/>
  <c r="BZ14" i="4"/>
  <c r="CA14" i="4"/>
  <c r="CE14" i="4"/>
  <c r="CH14" i="4"/>
  <c r="CR14" i="4"/>
  <c r="CV14" i="4"/>
  <c r="CW14" i="4"/>
  <c r="BW15" i="4"/>
  <c r="BX15" i="4"/>
  <c r="BZ15" i="4"/>
  <c r="CA15" i="4"/>
  <c r="CE15" i="4"/>
  <c r="CH15" i="4"/>
  <c r="CV15" i="4"/>
  <c r="CW15" i="4"/>
  <c r="BW16" i="4"/>
  <c r="BX16" i="4"/>
  <c r="BZ16" i="4"/>
  <c r="CA16" i="4"/>
  <c r="CE16" i="4"/>
  <c r="CH16" i="4"/>
  <c r="CV16" i="4"/>
  <c r="CW16" i="4"/>
  <c r="BB14" i="4"/>
  <c r="BB15" i="4"/>
  <c r="BB16" i="4"/>
  <c r="AY14" i="4"/>
  <c r="AZ14" i="4"/>
  <c r="AY15" i="4"/>
  <c r="AZ15" i="4"/>
  <c r="AY16" i="4"/>
  <c r="AZ16" i="4"/>
  <c r="Q14" i="4"/>
  <c r="S14" i="4"/>
  <c r="AB14" i="4"/>
  <c r="Q15" i="4"/>
  <c r="S15" i="4"/>
  <c r="AB15" i="4"/>
  <c r="Q16" i="4"/>
  <c r="S16" i="4"/>
  <c r="AB16" i="4"/>
  <c r="B14" i="4"/>
  <c r="C14" i="4"/>
  <c r="B15" i="4"/>
  <c r="C15" i="4"/>
  <c r="B16" i="4"/>
  <c r="C16" i="4"/>
  <c r="R25" i="5"/>
  <c r="R23" i="5"/>
  <c r="BW9" i="4"/>
  <c r="BX9" i="4"/>
  <c r="BZ9" i="4"/>
  <c r="CA9" i="4"/>
  <c r="CE9" i="4"/>
  <c r="CH9" i="4"/>
  <c r="CV9" i="4"/>
  <c r="CW9" i="4"/>
  <c r="BW10" i="4"/>
  <c r="BX10" i="4"/>
  <c r="BZ10" i="4"/>
  <c r="CA10" i="4"/>
  <c r="CE10" i="4"/>
  <c r="CH10" i="4"/>
  <c r="CV10" i="4"/>
  <c r="CW10" i="4"/>
  <c r="BW11" i="4"/>
  <c r="BX11" i="4"/>
  <c r="BZ11" i="4"/>
  <c r="CA11" i="4"/>
  <c r="CE11" i="4"/>
  <c r="CH11" i="4"/>
  <c r="CR11" i="4"/>
  <c r="CV11" i="4"/>
  <c r="CW11" i="4"/>
  <c r="BW12" i="4"/>
  <c r="BX12" i="4"/>
  <c r="BZ12" i="4"/>
  <c r="CA12" i="4"/>
  <c r="CE12" i="4"/>
  <c r="CH12" i="4"/>
  <c r="CV12" i="4"/>
  <c r="CW12" i="4"/>
  <c r="BW13" i="4"/>
  <c r="BX13" i="4"/>
  <c r="BZ13" i="4"/>
  <c r="CA13" i="4"/>
  <c r="CE13" i="4"/>
  <c r="CH13" i="4"/>
  <c r="CR13" i="4"/>
  <c r="CV13" i="4"/>
  <c r="CW13" i="4"/>
  <c r="BB9" i="4"/>
  <c r="BB10" i="4"/>
  <c r="BB11" i="4"/>
  <c r="BB12" i="4"/>
  <c r="BB13" i="4"/>
  <c r="AY9" i="4"/>
  <c r="AZ9" i="4"/>
  <c r="AY10" i="4"/>
  <c r="AZ10" i="4"/>
  <c r="AY11" i="4"/>
  <c r="AZ11" i="4"/>
  <c r="AY12" i="4"/>
  <c r="AZ12" i="4"/>
  <c r="AY13" i="4"/>
  <c r="AZ13" i="4"/>
  <c r="Q9" i="4"/>
  <c r="S9" i="4"/>
  <c r="AB9" i="4"/>
  <c r="Q10" i="4"/>
  <c r="S10" i="4"/>
  <c r="AB10" i="4"/>
  <c r="Q11" i="4"/>
  <c r="S11" i="4"/>
  <c r="AB11" i="4"/>
  <c r="Q12" i="4"/>
  <c r="S12" i="4"/>
  <c r="AB12" i="4"/>
  <c r="Q13" i="4"/>
  <c r="S13" i="4"/>
  <c r="AB13" i="4"/>
  <c r="B9" i="4"/>
  <c r="B10" i="4"/>
  <c r="B11" i="4"/>
  <c r="B12" i="4"/>
  <c r="B13" i="4"/>
  <c r="BW8" i="4"/>
  <c r="BX8" i="4"/>
  <c r="BZ8" i="4"/>
  <c r="CQ8" i="4" s="1"/>
  <c r="CA8" i="4"/>
  <c r="CR8" i="4" s="1"/>
  <c r="CE8" i="4"/>
  <c r="CH8" i="4"/>
  <c r="CV8" i="4"/>
  <c r="CW8" i="4"/>
  <c r="AY8" i="4"/>
  <c r="AZ8" i="4"/>
  <c r="BB8" i="4"/>
  <c r="AB8" i="4"/>
  <c r="Q8" i="4"/>
  <c r="S8" i="4"/>
  <c r="B8" i="4"/>
  <c r="C8" i="4"/>
  <c r="N2" i="98"/>
  <c r="AY37" i="4"/>
  <c r="AZ37" i="4"/>
  <c r="BB37" i="4"/>
  <c r="BW37" i="4"/>
  <c r="BX37" i="4"/>
  <c r="BZ37" i="4"/>
  <c r="CA37" i="4"/>
  <c r="CE37" i="4"/>
  <c r="CH37" i="4"/>
  <c r="CV37" i="4"/>
  <c r="CW37" i="4"/>
  <c r="AB37" i="4"/>
  <c r="S37" i="4"/>
  <c r="Q37" i="4"/>
  <c r="AM37" i="4" s="1"/>
  <c r="CF37" i="4" s="1"/>
  <c r="B37" i="4"/>
  <c r="C37" i="4"/>
  <c r="I2" i="98"/>
  <c r="BB35" i="4"/>
  <c r="BW35" i="4"/>
  <c r="BX35" i="4"/>
  <c r="BZ35" i="4"/>
  <c r="CA35" i="4"/>
  <c r="CR35" i="4" s="1"/>
  <c r="CE35" i="4"/>
  <c r="CH35" i="4"/>
  <c r="CV35" i="4"/>
  <c r="CW35" i="4"/>
  <c r="BB36" i="4"/>
  <c r="BW36" i="4"/>
  <c r="BX36" i="4"/>
  <c r="BZ36" i="4"/>
  <c r="CA36" i="4"/>
  <c r="CR36" i="4" s="1"/>
  <c r="CE36" i="4"/>
  <c r="CH36" i="4"/>
  <c r="CV36" i="4"/>
  <c r="CW36" i="4"/>
  <c r="AZ35" i="4"/>
  <c r="AZ36" i="4"/>
  <c r="AY35" i="4"/>
  <c r="AY36" i="4"/>
  <c r="B36" i="4"/>
  <c r="C36" i="4"/>
  <c r="AB36" i="4"/>
  <c r="AB35" i="4"/>
  <c r="S36" i="4"/>
  <c r="Q36" i="4"/>
  <c r="CP36" i="4" s="1"/>
  <c r="Q35" i="4"/>
  <c r="CP35" i="4" s="1"/>
  <c r="S35" i="4"/>
  <c r="B35" i="4"/>
  <c r="C35" i="4"/>
  <c r="AY7" i="4"/>
  <c r="CO7" i="4" s="1"/>
  <c r="AZ7" i="4"/>
  <c r="BB7" i="4"/>
  <c r="BW7" i="4"/>
  <c r="BX7" i="4"/>
  <c r="BZ7" i="4"/>
  <c r="CA7" i="4"/>
  <c r="CR7" i="4" s="1"/>
  <c r="CE7" i="4"/>
  <c r="CH7" i="4"/>
  <c r="CV7" i="4"/>
  <c r="CW7" i="4"/>
  <c r="Q7" i="4"/>
  <c r="S7" i="4"/>
  <c r="AB7" i="4"/>
  <c r="B7" i="4"/>
  <c r="C7" i="4"/>
  <c r="AY6" i="4"/>
  <c r="AZ6" i="4"/>
  <c r="BB6" i="4"/>
  <c r="BW6" i="4"/>
  <c r="BX6" i="4"/>
  <c r="BZ6" i="4"/>
  <c r="CQ6" i="4" s="1"/>
  <c r="CA6" i="4"/>
  <c r="CR6" i="4" s="1"/>
  <c r="CE6" i="4"/>
  <c r="CH6" i="4"/>
  <c r="CV6" i="4"/>
  <c r="CW6" i="4"/>
  <c r="Q6" i="4"/>
  <c r="S6" i="4"/>
  <c r="AB6" i="4"/>
  <c r="B6" i="4"/>
  <c r="C6" i="4"/>
  <c r="CQ9" i="4" l="1"/>
  <c r="CR9" i="4"/>
  <c r="CP21" i="4"/>
  <c r="CS21" i="4" s="1"/>
  <c r="BS21" i="4"/>
  <c r="BT21" i="4" s="1"/>
  <c r="CF21" i="4"/>
  <c r="CL21" i="4"/>
  <c r="CM21" i="4" s="1"/>
  <c r="BO21" i="4"/>
  <c r="CB21" i="4"/>
  <c r="BY21" i="4"/>
  <c r="CQ11" i="4"/>
  <c r="CQ18" i="4"/>
  <c r="CB18" i="4"/>
  <c r="AM11" i="4"/>
  <c r="CQ14" i="4"/>
  <c r="CB14" i="4"/>
  <c r="BY16" i="4"/>
  <c r="BS18" i="4"/>
  <c r="CL18" i="4"/>
  <c r="CO18" i="4"/>
  <c r="CP18" i="4"/>
  <c r="CG20" i="4"/>
  <c r="CL20" i="4"/>
  <c r="CM20" i="4" s="1"/>
  <c r="CN20" i="4"/>
  <c r="CO20" i="4"/>
  <c r="CP20" i="4"/>
  <c r="CQ20" i="4"/>
  <c r="CR20" i="4"/>
  <c r="CQ17" i="4"/>
  <c r="CQ16" i="4"/>
  <c r="CR16" i="4"/>
  <c r="BS19" i="4"/>
  <c r="BT19" i="4" s="1"/>
  <c r="CL19" i="4"/>
  <c r="CO19" i="4"/>
  <c r="CP19" i="4"/>
  <c r="BS20" i="4"/>
  <c r="BT20" i="4" s="1"/>
  <c r="CF20" i="4"/>
  <c r="CQ15" i="4"/>
  <c r="CB15" i="4"/>
  <c r="CR15" i="4"/>
  <c r="CQ13" i="4"/>
  <c r="BY13" i="4"/>
  <c r="CB13" i="4"/>
  <c r="CQ12" i="4"/>
  <c r="CB12" i="4"/>
  <c r="CR12" i="4"/>
  <c r="CB19" i="4"/>
  <c r="BY19" i="4"/>
  <c r="CQ19" i="4"/>
  <c r="CR10" i="4"/>
  <c r="BY18" i="4"/>
  <c r="BT18" i="4"/>
  <c r="CM18" i="4"/>
  <c r="CM19" i="4"/>
  <c r="BY20" i="4"/>
  <c r="BP20" i="4"/>
  <c r="BO19" i="4"/>
  <c r="CG19" i="4" s="1"/>
  <c r="BO18" i="4"/>
  <c r="AM18" i="4"/>
  <c r="CF18" i="4" s="1"/>
  <c r="AM19" i="4"/>
  <c r="CB16" i="4"/>
  <c r="BY7" i="4"/>
  <c r="AM15" i="4"/>
  <c r="CR17" i="4"/>
  <c r="BY17" i="4"/>
  <c r="CB17" i="4"/>
  <c r="BY8" i="4"/>
  <c r="AM14" i="4"/>
  <c r="BS17" i="4"/>
  <c r="BT17" i="4" s="1"/>
  <c r="CF17" i="4"/>
  <c r="CG17" i="4"/>
  <c r="CL17" i="4"/>
  <c r="CM17" i="4" s="1"/>
  <c r="CN17" i="4"/>
  <c r="CO17" i="4"/>
  <c r="CP17" i="4"/>
  <c r="BP17" i="4"/>
  <c r="AM12" i="4"/>
  <c r="CB10" i="4"/>
  <c r="CQ10" i="4"/>
  <c r="CP14" i="4"/>
  <c r="BS15" i="4"/>
  <c r="CF15" i="4"/>
  <c r="CO15" i="4"/>
  <c r="CL16" i="4"/>
  <c r="CM16" i="4" s="1"/>
  <c r="CO16" i="4"/>
  <c r="CP16" i="4"/>
  <c r="BO15" i="4"/>
  <c r="BP15" i="4" s="1"/>
  <c r="BQ15" i="4" s="1"/>
  <c r="BO16" i="4"/>
  <c r="AM10" i="4"/>
  <c r="CL15" i="4"/>
  <c r="CM15" i="4" s="1"/>
  <c r="CP15" i="4"/>
  <c r="BS16" i="4"/>
  <c r="BT16" i="4" s="1"/>
  <c r="BY9" i="4"/>
  <c r="CB9" i="4"/>
  <c r="BY10" i="4"/>
  <c r="CB11" i="4"/>
  <c r="BS14" i="4"/>
  <c r="BT14" i="4" s="1"/>
  <c r="CL14" i="4"/>
  <c r="CM14" i="4" s="1"/>
  <c r="CO14" i="4"/>
  <c r="BO14" i="4"/>
  <c r="BY11" i="4"/>
  <c r="BY14" i="4"/>
  <c r="BY15" i="4"/>
  <c r="AM16" i="4"/>
  <c r="CF11" i="4"/>
  <c r="CP11" i="4"/>
  <c r="CP12" i="4"/>
  <c r="CP13" i="4"/>
  <c r="BY36" i="4"/>
  <c r="BS9" i="4"/>
  <c r="BT9" i="4" s="1"/>
  <c r="CL9" i="4"/>
  <c r="CM9" i="4" s="1"/>
  <c r="CO9" i="4"/>
  <c r="CP9" i="4"/>
  <c r="BY12" i="4"/>
  <c r="CL12" i="4"/>
  <c r="CM12" i="4" s="1"/>
  <c r="CO12" i="4"/>
  <c r="CS12" i="4" s="1"/>
  <c r="CL10" i="4"/>
  <c r="CM10" i="4" s="1"/>
  <c r="CO10" i="4"/>
  <c r="CP10" i="4"/>
  <c r="BS10" i="4"/>
  <c r="BT10" i="4" s="1"/>
  <c r="BS11" i="4"/>
  <c r="BT11" i="4" s="1"/>
  <c r="CL11" i="4"/>
  <c r="CM11" i="4" s="1"/>
  <c r="CO11" i="4"/>
  <c r="CS11" i="4" s="1"/>
  <c r="BS12" i="4"/>
  <c r="BT12" i="4" s="1"/>
  <c r="BS13" i="4"/>
  <c r="BT13" i="4" s="1"/>
  <c r="CL13" i="4"/>
  <c r="CM13" i="4" s="1"/>
  <c r="CO13" i="4"/>
  <c r="BO9" i="4"/>
  <c r="BO10" i="4"/>
  <c r="BO11" i="4"/>
  <c r="BO12" i="4"/>
  <c r="BO13" i="4"/>
  <c r="AM9" i="4"/>
  <c r="CF9" i="4" s="1"/>
  <c r="C10" i="4"/>
  <c r="C11" i="4"/>
  <c r="C12" i="4"/>
  <c r="C13" i="4"/>
  <c r="C9" i="4"/>
  <c r="AM13" i="4"/>
  <c r="CF13" i="4" s="1"/>
  <c r="CB8" i="4"/>
  <c r="BY35" i="4"/>
  <c r="CL8" i="4"/>
  <c r="BO8" i="4"/>
  <c r="CR37" i="4"/>
  <c r="AM36" i="4"/>
  <c r="CF36" i="4" s="1"/>
  <c r="BS8" i="4"/>
  <c r="BT8" i="4" s="1"/>
  <c r="CG8" i="4"/>
  <c r="CM8" i="4"/>
  <c r="CO8" i="4"/>
  <c r="CP8" i="4"/>
  <c r="AM8" i="4"/>
  <c r="BO37" i="4"/>
  <c r="BS37" i="4"/>
  <c r="BT37" i="4" s="1"/>
  <c r="CB7" i="4"/>
  <c r="CQ7" i="4"/>
  <c r="CP37" i="4"/>
  <c r="N1" i="98"/>
  <c r="BY37" i="4"/>
  <c r="AM35" i="4"/>
  <c r="CF35" i="4" s="1"/>
  <c r="CL37" i="4"/>
  <c r="CM37" i="4" s="1"/>
  <c r="CO37" i="4"/>
  <c r="CB37" i="4"/>
  <c r="CQ37" i="4"/>
  <c r="CQ35" i="4"/>
  <c r="CB35" i="4"/>
  <c r="BO6" i="4"/>
  <c r="CG6" i="4" s="1"/>
  <c r="CO6" i="4"/>
  <c r="CQ36" i="4"/>
  <c r="CB36" i="4"/>
  <c r="BO35" i="4"/>
  <c r="BS35" i="4"/>
  <c r="BT35" i="4" s="1"/>
  <c r="CL35" i="4"/>
  <c r="CM35" i="4" s="1"/>
  <c r="CO35" i="4"/>
  <c r="CS35" i="4" s="1"/>
  <c r="CL36" i="4"/>
  <c r="CM36" i="4" s="1"/>
  <c r="CO36" i="4"/>
  <c r="BO36" i="4"/>
  <c r="BS36" i="4"/>
  <c r="BT36" i="4" s="1"/>
  <c r="BS7" i="4"/>
  <c r="BT7" i="4" s="1"/>
  <c r="BO7" i="4"/>
  <c r="CL7" i="4"/>
  <c r="CM7" i="4" s="1"/>
  <c r="AM7" i="4"/>
  <c r="CF7" i="4" s="1"/>
  <c r="CP7" i="4"/>
  <c r="AM6" i="4"/>
  <c r="CF6" i="4" s="1"/>
  <c r="BS6" i="4"/>
  <c r="BT6" i="4" s="1"/>
  <c r="CP6" i="4"/>
  <c r="CL6" i="4"/>
  <c r="CM6" i="4" s="1"/>
  <c r="BY6" i="4"/>
  <c r="CB6" i="4"/>
  <c r="AN33" i="4"/>
  <c r="CE33" i="4" s="1"/>
  <c r="AY33" i="4"/>
  <c r="BO33" i="4" s="1"/>
  <c r="AZ33" i="4"/>
  <c r="BB33" i="4"/>
  <c r="BW33" i="4"/>
  <c r="BX33" i="4"/>
  <c r="BZ33" i="4"/>
  <c r="CQ33" i="4" s="1"/>
  <c r="CA33" i="4"/>
  <c r="CR33" i="4" s="1"/>
  <c r="CH33" i="4"/>
  <c r="CV33" i="4"/>
  <c r="CW33" i="4"/>
  <c r="AN34" i="4"/>
  <c r="CE34" i="4" s="1"/>
  <c r="AY34" i="4"/>
  <c r="AZ34" i="4"/>
  <c r="BB34" i="4"/>
  <c r="BW34" i="4"/>
  <c r="BX34" i="4"/>
  <c r="BZ34" i="4"/>
  <c r="CQ34" i="4" s="1"/>
  <c r="CA34" i="4"/>
  <c r="CH34" i="4"/>
  <c r="CV34" i="4"/>
  <c r="CW34" i="4"/>
  <c r="Q33" i="4"/>
  <c r="CP33" i="4" s="1"/>
  <c r="S33" i="4"/>
  <c r="AB33" i="4"/>
  <c r="Q34" i="4"/>
  <c r="CP34" i="4" s="1"/>
  <c r="S34" i="4"/>
  <c r="AB34" i="4"/>
  <c r="B33" i="4"/>
  <c r="B34" i="4"/>
  <c r="AY29" i="4"/>
  <c r="BO29" i="4" s="1"/>
  <c r="AZ29" i="4"/>
  <c r="BB29" i="4"/>
  <c r="BW29" i="4"/>
  <c r="BX29" i="4"/>
  <c r="BZ29" i="4"/>
  <c r="CA29" i="4"/>
  <c r="CR29" i="4" s="1"/>
  <c r="CH29" i="4"/>
  <c r="CV29" i="4"/>
  <c r="CW29" i="4"/>
  <c r="AY30" i="4"/>
  <c r="AZ30" i="4"/>
  <c r="BB30" i="4"/>
  <c r="BW30" i="4"/>
  <c r="BX30" i="4"/>
  <c r="BZ30" i="4"/>
  <c r="CA30" i="4"/>
  <c r="CR30" i="4" s="1"/>
  <c r="CH30" i="4"/>
  <c r="CV30" i="4"/>
  <c r="CW30" i="4"/>
  <c r="AY31" i="4"/>
  <c r="BO31" i="4" s="1"/>
  <c r="AZ31" i="4"/>
  <c r="BB31" i="4"/>
  <c r="BW31" i="4"/>
  <c r="BX31" i="4"/>
  <c r="BZ31" i="4"/>
  <c r="CA31" i="4"/>
  <c r="CR31" i="4" s="1"/>
  <c r="CH31" i="4"/>
  <c r="CV31" i="4"/>
  <c r="CW31" i="4"/>
  <c r="AY32" i="4"/>
  <c r="AZ32" i="4"/>
  <c r="BB32" i="4"/>
  <c r="BW32" i="4"/>
  <c r="BX32" i="4"/>
  <c r="BZ32" i="4"/>
  <c r="CA32" i="4"/>
  <c r="CR32" i="4" s="1"/>
  <c r="CH32" i="4"/>
  <c r="CV32" i="4"/>
  <c r="CW32" i="4"/>
  <c r="AN29" i="4"/>
  <c r="CE29" i="4" s="1"/>
  <c r="AN30" i="4"/>
  <c r="CE30" i="4" s="1"/>
  <c r="AN31" i="4"/>
  <c r="CE31" i="4" s="1"/>
  <c r="AN32" i="4"/>
  <c r="C32" i="4" s="1"/>
  <c r="AN28" i="4"/>
  <c r="CE28" i="4" s="1"/>
  <c r="S29" i="4"/>
  <c r="AB29" i="4"/>
  <c r="S30" i="4"/>
  <c r="AB30" i="4"/>
  <c r="S31" i="4"/>
  <c r="AB31" i="4"/>
  <c r="S32" i="4"/>
  <c r="AB32" i="4"/>
  <c r="Q29" i="4"/>
  <c r="CP29" i="4" s="1"/>
  <c r="Q30" i="4"/>
  <c r="CP30" i="4" s="1"/>
  <c r="Q31" i="4"/>
  <c r="CP31" i="4" s="1"/>
  <c r="Q32" i="4"/>
  <c r="CP32" i="4" s="1"/>
  <c r="B29" i="4"/>
  <c r="B30" i="4"/>
  <c r="B31" i="4"/>
  <c r="B32" i="4"/>
  <c r="CL39" i="4"/>
  <c r="BN39" i="4"/>
  <c r="BM39" i="4"/>
  <c r="BL39" i="4"/>
  <c r="BG39" i="4"/>
  <c r="BC39" i="4"/>
  <c r="BA39" i="4"/>
  <c r="AX39" i="4"/>
  <c r="AW39" i="4"/>
  <c r="AL39" i="4"/>
  <c r="AK39" i="4"/>
  <c r="AJ39" i="4"/>
  <c r="AE39" i="4"/>
  <c r="AD39" i="4"/>
  <c r="AC39" i="4"/>
  <c r="AA39" i="4"/>
  <c r="Z39" i="4"/>
  <c r="Y39" i="4"/>
  <c r="T39" i="4"/>
  <c r="O39" i="4"/>
  <c r="CW28" i="4"/>
  <c r="CV28" i="4"/>
  <c r="CH28" i="4"/>
  <c r="CA28" i="4"/>
  <c r="BZ28" i="4"/>
  <c r="CQ28" i="4" s="1"/>
  <c r="BX28" i="4"/>
  <c r="BW28" i="4"/>
  <c r="BB28" i="4"/>
  <c r="AZ28" i="4"/>
  <c r="AY28" i="4"/>
  <c r="AB28" i="4"/>
  <c r="S28" i="4"/>
  <c r="Q28" i="4"/>
  <c r="B28" i="4"/>
  <c r="O45" i="4"/>
  <c r="AT45" i="4"/>
  <c r="G8" i="81"/>
  <c r="J11" i="81"/>
  <c r="J19" i="81"/>
  <c r="J18" i="81"/>
  <c r="J17" i="81"/>
  <c r="J16" i="81"/>
  <c r="J15" i="81"/>
  <c r="J14" i="81"/>
  <c r="J13" i="81"/>
  <c r="J12" i="81"/>
  <c r="J10" i="81"/>
  <c r="C11" i="81"/>
  <c r="C12" i="81"/>
  <c r="C13" i="81"/>
  <c r="C14" i="81"/>
  <c r="C15" i="81"/>
  <c r="C16" i="81"/>
  <c r="C17" i="81"/>
  <c r="C18" i="81"/>
  <c r="C19" i="81"/>
  <c r="C10" i="81"/>
  <c r="CG21" i="4" l="1"/>
  <c r="BP21" i="4"/>
  <c r="CN21" i="4"/>
  <c r="CS18" i="4"/>
  <c r="CS20" i="4"/>
  <c r="BP18" i="4"/>
  <c r="BQ20" i="4"/>
  <c r="BU20" i="4"/>
  <c r="BV20" i="4" s="1"/>
  <c r="CG18" i="4"/>
  <c r="CN18" i="4"/>
  <c r="CS19" i="4"/>
  <c r="BP19" i="4"/>
  <c r="CF19" i="4"/>
  <c r="CN19" i="4"/>
  <c r="CF14" i="4"/>
  <c r="CS14" i="4"/>
  <c r="BU15" i="4"/>
  <c r="BV15" i="4" s="1"/>
  <c r="CG16" i="4"/>
  <c r="CG15" i="4"/>
  <c r="CN15" i="4"/>
  <c r="BT15" i="4"/>
  <c r="CF12" i="4"/>
  <c r="CF10" i="4"/>
  <c r="CS13" i="4"/>
  <c r="CS17" i="4"/>
  <c r="BQ17" i="4"/>
  <c r="BU17" i="4"/>
  <c r="BV17" i="4" s="1"/>
  <c r="N5" i="81"/>
  <c r="AT46" i="4" s="1"/>
  <c r="G4" i="81"/>
  <c r="O47" i="4" s="1"/>
  <c r="CS16" i="4"/>
  <c r="CS15" i="4"/>
  <c r="CN14" i="4"/>
  <c r="CG14" i="4"/>
  <c r="BP14" i="4"/>
  <c r="CN16" i="4"/>
  <c r="CF16" i="4"/>
  <c r="BP16" i="4"/>
  <c r="CS9" i="4"/>
  <c r="CS8" i="4"/>
  <c r="BP37" i="4"/>
  <c r="CN9" i="4"/>
  <c r="CG9" i="4"/>
  <c r="BP9" i="4"/>
  <c r="CN10" i="4"/>
  <c r="CG10" i="4"/>
  <c r="BP10" i="4"/>
  <c r="CN11" i="4"/>
  <c r="CG11" i="4"/>
  <c r="BP11" i="4"/>
  <c r="CN12" i="4"/>
  <c r="CG12" i="4"/>
  <c r="BP12" i="4"/>
  <c r="CN13" i="4"/>
  <c r="CG13" i="4"/>
  <c r="BP13" i="4"/>
  <c r="CG37" i="4"/>
  <c r="CN37" i="4"/>
  <c r="CS7" i="4"/>
  <c r="CS10" i="4"/>
  <c r="CS6" i="4"/>
  <c r="CO34" i="4"/>
  <c r="Q39" i="4"/>
  <c r="BP8" i="4"/>
  <c r="CF8" i="4"/>
  <c r="CN8" i="4"/>
  <c r="CS36" i="4"/>
  <c r="CN6" i="4"/>
  <c r="BP6" i="4"/>
  <c r="CS37" i="4"/>
  <c r="BP35" i="4"/>
  <c r="CG35" i="4"/>
  <c r="CN35" i="4"/>
  <c r="CG36" i="4"/>
  <c r="BP36" i="4"/>
  <c r="CN36" i="4"/>
  <c r="CB34" i="4"/>
  <c r="CR34" i="4"/>
  <c r="S39" i="4"/>
  <c r="CG7" i="4"/>
  <c r="BP7" i="4"/>
  <c r="CN7" i="4"/>
  <c r="BY33" i="4"/>
  <c r="AM32" i="4"/>
  <c r="CF32" i="4" s="1"/>
  <c r="CO29" i="4"/>
  <c r="CO33" i="4"/>
  <c r="CS33" i="4" s="1"/>
  <c r="AM33" i="4"/>
  <c r="BY34" i="4"/>
  <c r="C33" i="4"/>
  <c r="BB39" i="4"/>
  <c r="C28" i="4"/>
  <c r="CE32" i="4"/>
  <c r="BY29" i="4"/>
  <c r="CL33" i="4"/>
  <c r="CM33" i="4" s="1"/>
  <c r="C29" i="4"/>
  <c r="BY30" i="4"/>
  <c r="CB33" i="4"/>
  <c r="BS34" i="4"/>
  <c r="BT34" i="4" s="1"/>
  <c r="BS33" i="4"/>
  <c r="BT33" i="4" s="1"/>
  <c r="AM34" i="4"/>
  <c r="CF34" i="4" s="1"/>
  <c r="CG33" i="4"/>
  <c r="BO34" i="4"/>
  <c r="CL34" i="4"/>
  <c r="CM34" i="4" s="1"/>
  <c r="C34" i="4"/>
  <c r="CO31" i="4"/>
  <c r="CL29" i="4"/>
  <c r="CM29" i="4" s="1"/>
  <c r="CB31" i="4"/>
  <c r="CB29" i="4"/>
  <c r="CB32" i="4"/>
  <c r="CL31" i="4"/>
  <c r="CM31" i="4" s="1"/>
  <c r="BS31" i="4"/>
  <c r="BT31" i="4" s="1"/>
  <c r="CG31" i="4"/>
  <c r="CB30" i="4"/>
  <c r="C31" i="4"/>
  <c r="AM31" i="4"/>
  <c r="CF31" i="4" s="1"/>
  <c r="C30" i="4"/>
  <c r="AM30" i="4"/>
  <c r="CF30" i="4" s="1"/>
  <c r="BS32" i="4"/>
  <c r="BT32" i="4" s="1"/>
  <c r="BS30" i="4"/>
  <c r="BT30" i="4" s="1"/>
  <c r="CQ32" i="4"/>
  <c r="AM29" i="4"/>
  <c r="BY31" i="4"/>
  <c r="CQ29" i="4"/>
  <c r="CQ30" i="4"/>
  <c r="BY32" i="4"/>
  <c r="CG29" i="4"/>
  <c r="BO32" i="4"/>
  <c r="BO30" i="4"/>
  <c r="CQ31" i="4"/>
  <c r="BS29" i="4"/>
  <c r="BT29" i="4" s="1"/>
  <c r="CO30" i="4"/>
  <c r="AY39" i="4"/>
  <c r="CO32" i="4"/>
  <c r="CL32" i="4"/>
  <c r="CM32" i="4" s="1"/>
  <c r="CL30" i="4"/>
  <c r="CM30" i="4" s="1"/>
  <c r="BX39" i="4"/>
  <c r="BS28" i="4"/>
  <c r="BT28" i="4" s="1"/>
  <c r="AB39" i="4"/>
  <c r="BO28" i="4"/>
  <c r="CG28" i="4" s="1"/>
  <c r="BY28" i="4"/>
  <c r="AM28" i="4"/>
  <c r="CA39" i="4"/>
  <c r="CP28" i="4"/>
  <c r="CQ39" i="4" s="1"/>
  <c r="CR28" i="4"/>
  <c r="CB28" i="4"/>
  <c r="CL28" i="4"/>
  <c r="CO28" i="4"/>
  <c r="BW5" i="4"/>
  <c r="BX5" i="4"/>
  <c r="BZ5" i="4"/>
  <c r="CQ5" i="4" s="1"/>
  <c r="CA5" i="4"/>
  <c r="CR5" i="4" s="1"/>
  <c r="CE5" i="4"/>
  <c r="CH5" i="4"/>
  <c r="CV5" i="4"/>
  <c r="CW5" i="4"/>
  <c r="AY5" i="4"/>
  <c r="BO5" i="4" s="1"/>
  <c r="AZ5" i="4"/>
  <c r="BB5" i="4"/>
  <c r="Q5" i="4"/>
  <c r="S5" i="4"/>
  <c r="AB5" i="4"/>
  <c r="B5" i="4"/>
  <c r="C5" i="4"/>
  <c r="E11" i="5" l="1"/>
  <c r="BQ21" i="4"/>
  <c r="BU21" i="4"/>
  <c r="BV21" i="4" s="1"/>
  <c r="BU18" i="4"/>
  <c r="BV18" i="4" s="1"/>
  <c r="BQ18" i="4"/>
  <c r="BU19" i="4"/>
  <c r="BV19" i="4" s="1"/>
  <c r="BQ19" i="4"/>
  <c r="BU14" i="4"/>
  <c r="BV14" i="4" s="1"/>
  <c r="BQ14" i="4"/>
  <c r="BU16" i="4"/>
  <c r="BV16" i="4" s="1"/>
  <c r="BQ16" i="4"/>
  <c r="BU37" i="4"/>
  <c r="BV37" i="4" s="1"/>
  <c r="BQ37" i="4"/>
  <c r="BQ9" i="4"/>
  <c r="BU9" i="4"/>
  <c r="BV9" i="4" s="1"/>
  <c r="BQ10" i="4"/>
  <c r="BU10" i="4"/>
  <c r="BV10" i="4" s="1"/>
  <c r="BQ11" i="4"/>
  <c r="BU11" i="4"/>
  <c r="BV11" i="4" s="1"/>
  <c r="BQ12" i="4"/>
  <c r="BU12" i="4"/>
  <c r="BV12" i="4" s="1"/>
  <c r="BQ13" i="4"/>
  <c r="BU13" i="4"/>
  <c r="BV13" i="4" s="1"/>
  <c r="CS34" i="4"/>
  <c r="BQ6" i="4"/>
  <c r="BU6" i="4"/>
  <c r="BV6" i="4" s="1"/>
  <c r="BU8" i="4"/>
  <c r="BV8" i="4" s="1"/>
  <c r="BQ8" i="4"/>
  <c r="CS39" i="4"/>
  <c r="BU35" i="4"/>
  <c r="BV35" i="4" s="1"/>
  <c r="BQ35" i="4"/>
  <c r="BU36" i="4"/>
  <c r="BV36" i="4" s="1"/>
  <c r="BQ36" i="4"/>
  <c r="CF29" i="4"/>
  <c r="CN29" i="4"/>
  <c r="BP29" i="4"/>
  <c r="BU7" i="4"/>
  <c r="BV7" i="4" s="1"/>
  <c r="BQ7" i="4"/>
  <c r="CF33" i="4"/>
  <c r="CN33" i="4"/>
  <c r="BP33" i="4"/>
  <c r="CS32" i="4"/>
  <c r="CS29" i="4"/>
  <c r="BP28" i="4"/>
  <c r="D11" i="5"/>
  <c r="D12" i="5" s="1"/>
  <c r="D13" i="5" s="1"/>
  <c r="CN28" i="4"/>
  <c r="CS31" i="4"/>
  <c r="BP34" i="4"/>
  <c r="CN34" i="4"/>
  <c r="CG34" i="4"/>
  <c r="AM39" i="4"/>
  <c r="CS30" i="4"/>
  <c r="CN31" i="4"/>
  <c r="BP31" i="4"/>
  <c r="CR39" i="4"/>
  <c r="BZ39" i="4"/>
  <c r="CG30" i="4"/>
  <c r="CN30" i="4"/>
  <c r="BP30" i="4"/>
  <c r="BS39" i="4"/>
  <c r="CG32" i="4"/>
  <c r="CN32" i="4"/>
  <c r="BP32" i="4"/>
  <c r="BO39" i="4"/>
  <c r="CF28" i="4"/>
  <c r="CM28" i="4"/>
  <c r="CN39" i="4" s="1"/>
  <c r="CM39" i="4"/>
  <c r="CP39" i="4"/>
  <c r="CS28" i="4"/>
  <c r="J6" i="5"/>
  <c r="I7" i="5"/>
  <c r="J7" i="5"/>
  <c r="K6" i="5"/>
  <c r="L6" i="5"/>
  <c r="K7" i="5"/>
  <c r="G6" i="5"/>
  <c r="M6" i="5"/>
  <c r="L7" i="5"/>
  <c r="N7" i="5"/>
  <c r="N6" i="5"/>
  <c r="M7" i="5"/>
  <c r="O6" i="5"/>
  <c r="P6" i="5"/>
  <c r="O7" i="5"/>
  <c r="Q6" i="5"/>
  <c r="P7" i="5"/>
  <c r="Q7" i="5"/>
  <c r="H6" i="5"/>
  <c r="G7" i="5"/>
  <c r="H7" i="5"/>
  <c r="I6" i="5"/>
  <c r="BY5" i="4"/>
  <c r="AM5" i="4"/>
  <c r="CF5" i="4" s="1"/>
  <c r="CG5" i="4"/>
  <c r="CP5" i="4"/>
  <c r="CO5" i="4"/>
  <c r="BS5" i="4"/>
  <c r="BT5" i="4" s="1"/>
  <c r="CB5" i="4"/>
  <c r="CL5" i="4"/>
  <c r="CM5" i="4" s="1"/>
  <c r="M2" i="5"/>
  <c r="L2" i="5"/>
  <c r="BQ33" i="4" l="1"/>
  <c r="BU33" i="4"/>
  <c r="BV33" i="4" s="1"/>
  <c r="BQ29" i="4"/>
  <c r="BU29" i="4"/>
  <c r="BV29" i="4" s="1"/>
  <c r="BQ28" i="4"/>
  <c r="BU28" i="4"/>
  <c r="BV28" i="4" s="1"/>
  <c r="CS5" i="4"/>
  <c r="CO39" i="4"/>
  <c r="BQ34" i="4"/>
  <c r="BU34" i="4"/>
  <c r="BV34" i="4" s="1"/>
  <c r="BQ31" i="4"/>
  <c r="BU31" i="4"/>
  <c r="BV31" i="4" s="1"/>
  <c r="BU32" i="4"/>
  <c r="BV32" i="4" s="1"/>
  <c r="BQ32" i="4"/>
  <c r="BU30" i="4"/>
  <c r="BV30" i="4" s="1"/>
  <c r="BQ30" i="4"/>
  <c r="BP39" i="4"/>
  <c r="CN5" i="4"/>
  <c r="BP5" i="4"/>
  <c r="BW39" i="4" l="1"/>
  <c r="BU5" i="4"/>
  <c r="BV5" i="4" s="1"/>
  <c r="BQ5" i="4"/>
  <c r="C5" i="95" a="1"/>
  <c r="G5" i="95" s="1"/>
  <c r="G3" i="95" s="1"/>
  <c r="D6" i="95" l="1"/>
  <c r="L5" i="95" a="1"/>
  <c r="D5" i="95"/>
  <c r="L6" i="95" a="1"/>
  <c r="J2" i="98"/>
  <c r="R14" i="5"/>
  <c r="R3" i="5" l="1"/>
  <c r="D33" i="5"/>
  <c r="E33" i="5"/>
  <c r="F33" i="5"/>
  <c r="G33" i="5"/>
  <c r="H33" i="5"/>
  <c r="I33" i="5"/>
  <c r="J33" i="5"/>
  <c r="K33" i="5"/>
  <c r="N33" i="5"/>
  <c r="O33" i="5"/>
  <c r="P33" i="5"/>
  <c r="Q33" i="5"/>
  <c r="R33" i="5"/>
  <c r="D39" i="5"/>
  <c r="D44" i="5" s="1"/>
  <c r="D51" i="5" s="1"/>
  <c r="E39" i="5"/>
  <c r="E44" i="5" s="1"/>
  <c r="E51" i="5" s="1"/>
  <c r="F39" i="5"/>
  <c r="F44" i="5" s="1"/>
  <c r="F51" i="5" s="1"/>
  <c r="G39" i="5"/>
  <c r="G44" i="5" s="1"/>
  <c r="G51" i="5" s="1"/>
  <c r="H39" i="5"/>
  <c r="H44" i="5" s="1"/>
  <c r="H51" i="5" s="1"/>
  <c r="I39" i="5"/>
  <c r="I44" i="5" s="1"/>
  <c r="I51" i="5" s="1"/>
  <c r="J39" i="5"/>
  <c r="J44" i="5" s="1"/>
  <c r="J51" i="5" s="1"/>
  <c r="K39" i="5"/>
  <c r="K44" i="5" s="1"/>
  <c r="K51" i="5" s="1"/>
  <c r="N39" i="5"/>
  <c r="N44" i="5" s="1"/>
  <c r="N51" i="5" s="1"/>
  <c r="O39" i="5"/>
  <c r="O44" i="5" s="1"/>
  <c r="O51" i="5" s="1"/>
  <c r="P39" i="5"/>
  <c r="P44" i="5" s="1"/>
  <c r="P51" i="5" s="1"/>
  <c r="Q39" i="5"/>
  <c r="Q44" i="5" s="1"/>
  <c r="Q51" i="5" s="1"/>
  <c r="R39" i="5"/>
  <c r="R44" i="5" s="1"/>
  <c r="R51" i="5" s="1"/>
  <c r="R45" i="5"/>
  <c r="R46" i="5"/>
  <c r="R47" i="5"/>
  <c r="H48" i="5"/>
  <c r="R49" i="5"/>
  <c r="C64" i="5"/>
  <c r="D64" i="5" s="1"/>
  <c r="E64" i="5" l="1"/>
  <c r="C65" i="5"/>
  <c r="AC23" i="4" l="1"/>
  <c r="K53" i="5" l="1"/>
  <c r="J22" i="5" a="1"/>
  <c r="L11" i="5"/>
  <c r="J53" i="5"/>
  <c r="J59" i="5"/>
  <c r="K22" i="5" a="1"/>
  <c r="M11" i="5"/>
  <c r="J56" i="5"/>
  <c r="J60" i="5"/>
  <c r="L22" i="5" a="1"/>
  <c r="J10" i="5"/>
  <c r="J5" i="5"/>
  <c r="K10" i="5"/>
  <c r="K5" i="5"/>
  <c r="J61" i="5"/>
  <c r="M22" i="5" a="1"/>
  <c r="M28" i="5"/>
  <c r="K61" i="5"/>
  <c r="L10" i="5"/>
  <c r="L5" i="5"/>
  <c r="K11" i="5"/>
  <c r="L61" i="5"/>
  <c r="M10" i="5"/>
  <c r="M5" i="5"/>
  <c r="N5" i="5"/>
  <c r="J30" i="5"/>
  <c r="J28" i="5"/>
  <c r="L30" i="5"/>
  <c r="M30" i="5"/>
  <c r="J52" i="5"/>
  <c r="K28" i="5"/>
  <c r="K29" i="5" s="1"/>
  <c r="J11" i="5"/>
  <c r="L19" i="5" a="1"/>
  <c r="M53" i="5"/>
  <c r="M56" i="5"/>
  <c r="L21" i="5" a="1"/>
  <c r="L20" i="5" a="1"/>
  <c r="M19" i="5" a="1"/>
  <c r="L53" i="5"/>
  <c r="L59" i="5"/>
  <c r="M59" i="5"/>
  <c r="L56" i="5"/>
  <c r="M21" i="5" a="1"/>
  <c r="M60" i="5"/>
  <c r="M20" i="5" a="1"/>
  <c r="M52" i="5"/>
  <c r="K59" i="5"/>
  <c r="K30" i="5"/>
  <c r="L60" i="5"/>
  <c r="K56" i="5"/>
  <c r="L52" i="5"/>
  <c r="M61" i="5"/>
  <c r="K60" i="5"/>
  <c r="L28" i="5"/>
  <c r="L29" i="5" s="1"/>
  <c r="K52" i="5"/>
  <c r="H28" i="5"/>
  <c r="G28" i="5"/>
  <c r="Q5" i="5"/>
  <c r="F11" i="5"/>
  <c r="P22" i="5" a="1"/>
  <c r="P56" i="5"/>
  <c r="P59" i="5"/>
  <c r="Q60" i="5"/>
  <c r="F10" i="5"/>
  <c r="G11" i="5"/>
  <c r="Q22" i="5" a="1"/>
  <c r="Q56" i="5"/>
  <c r="Q59" i="5"/>
  <c r="D61" i="5"/>
  <c r="D59" i="5"/>
  <c r="P61" i="5"/>
  <c r="H10" i="5"/>
  <c r="H11" i="5"/>
  <c r="G30" i="5"/>
  <c r="D56" i="5"/>
  <c r="D60" i="5"/>
  <c r="N59" i="5"/>
  <c r="I10" i="5"/>
  <c r="I11" i="5"/>
  <c r="E22" i="5" a="1"/>
  <c r="H30" i="5"/>
  <c r="E56" i="5"/>
  <c r="G5" i="5"/>
  <c r="F22" i="5" a="1"/>
  <c r="I28" i="5"/>
  <c r="I30" i="5"/>
  <c r="F56" i="5"/>
  <c r="H61" i="5"/>
  <c r="Q61" i="5"/>
  <c r="H5" i="5"/>
  <c r="G22" i="5" a="1"/>
  <c r="G56" i="5"/>
  <c r="H60" i="5"/>
  <c r="I61" i="5"/>
  <c r="O60" i="5"/>
  <c r="I5" i="5"/>
  <c r="N10" i="5"/>
  <c r="N11" i="5"/>
  <c r="H22" i="5" a="1"/>
  <c r="H56" i="5"/>
  <c r="H59" i="5"/>
  <c r="I60" i="5"/>
  <c r="O30" i="5"/>
  <c r="O10" i="5"/>
  <c r="O11" i="5"/>
  <c r="I22" i="5" a="1"/>
  <c r="N28" i="5"/>
  <c r="N30" i="5"/>
  <c r="I56" i="5"/>
  <c r="I59" i="5"/>
  <c r="O28" i="5"/>
  <c r="P10" i="5"/>
  <c r="P11" i="5"/>
  <c r="N61" i="5"/>
  <c r="O61" i="5"/>
  <c r="Q10" i="5"/>
  <c r="Q11" i="5"/>
  <c r="P28" i="5"/>
  <c r="P30" i="5"/>
  <c r="N60" i="5"/>
  <c r="O5" i="5"/>
  <c r="N22" i="5" a="1"/>
  <c r="Q28" i="5"/>
  <c r="Q30" i="5"/>
  <c r="N56" i="5"/>
  <c r="P5" i="5"/>
  <c r="O22" i="5" a="1"/>
  <c r="O56" i="5"/>
  <c r="O59" i="5"/>
  <c r="P60" i="5"/>
  <c r="G52" i="5"/>
  <c r="N53" i="5"/>
  <c r="Q53" i="5"/>
  <c r="P53" i="5"/>
  <c r="G53" i="5"/>
  <c r="Q52" i="5"/>
  <c r="E53" i="5"/>
  <c r="I52" i="5"/>
  <c r="D52" i="5"/>
  <c r="I53" i="5"/>
  <c r="N52" i="5"/>
  <c r="D53" i="5"/>
  <c r="F52" i="5"/>
  <c r="P52" i="5"/>
  <c r="F53" i="5"/>
  <c r="H52" i="5"/>
  <c r="O52" i="5"/>
  <c r="H53" i="5"/>
  <c r="O53" i="5"/>
  <c r="G60" i="5"/>
  <c r="G10" i="5"/>
  <c r="E6" i="95"/>
  <c r="E52" i="5"/>
  <c r="J41" i="5" l="1"/>
  <c r="M15" i="5"/>
  <c r="J6" i="95"/>
  <c r="L15" i="5"/>
  <c r="I6" i="95"/>
  <c r="M6" i="95" s="1"/>
  <c r="E5" i="95"/>
  <c r="D41" i="5"/>
  <c r="M29" i="5"/>
  <c r="J40" i="5"/>
  <c r="M35" i="5"/>
  <c r="J18" i="5"/>
  <c r="J29" i="5"/>
  <c r="K35" i="5"/>
  <c r="R28" i="5"/>
  <c r="K31" i="5"/>
  <c r="L42" i="5"/>
  <c r="L48" i="5"/>
  <c r="J35" i="5"/>
  <c r="J26" i="5"/>
  <c r="J17" i="5"/>
  <c r="J12" i="5"/>
  <c r="J13" i="5" s="1"/>
  <c r="J24" i="5"/>
  <c r="J8" i="5"/>
  <c r="J9" i="5" s="1"/>
  <c r="J16" i="5"/>
  <c r="J34" i="5"/>
  <c r="L18" i="5"/>
  <c r="L41" i="5"/>
  <c r="J31" i="5"/>
  <c r="M40" i="5"/>
  <c r="M24" i="5"/>
  <c r="M12" i="5"/>
  <c r="M13" i="5" s="1"/>
  <c r="M34" i="5"/>
  <c r="M8" i="5"/>
  <c r="M9" i="5" s="1"/>
  <c r="M16" i="5"/>
  <c r="K40" i="5"/>
  <c r="K12" i="5"/>
  <c r="K13" i="5" s="1"/>
  <c r="K24" i="5"/>
  <c r="K16" i="5"/>
  <c r="K34" i="5"/>
  <c r="K8" i="5"/>
  <c r="K9" i="5" s="1"/>
  <c r="K26" i="5"/>
  <c r="K17" i="5"/>
  <c r="M31" i="5"/>
  <c r="M17" i="5"/>
  <c r="M26" i="5"/>
  <c r="L17" i="5"/>
  <c r="L35" i="5"/>
  <c r="L26" i="5"/>
  <c r="M18" i="5"/>
  <c r="M41" i="5"/>
  <c r="M48" i="5"/>
  <c r="M42" i="5"/>
  <c r="K18" i="5"/>
  <c r="K41" i="5"/>
  <c r="L16" i="5"/>
  <c r="L8" i="5"/>
  <c r="L9" i="5" s="1"/>
  <c r="L34" i="5"/>
  <c r="L24" i="5"/>
  <c r="L40" i="5"/>
  <c r="L12" i="5"/>
  <c r="L13" i="5" s="1"/>
  <c r="K15" i="5"/>
  <c r="L31" i="5"/>
  <c r="J15" i="5"/>
  <c r="P8" i="5"/>
  <c r="P9" i="5" s="1"/>
  <c r="Q8" i="5"/>
  <c r="Q9" i="5" s="1"/>
  <c r="O8" i="5"/>
  <c r="O9" i="5" s="1"/>
  <c r="N8" i="5"/>
  <c r="N9" i="5" s="1"/>
  <c r="I5" i="95"/>
  <c r="M5" i="95" s="1"/>
  <c r="J5" i="95"/>
  <c r="F41" i="5"/>
  <c r="I41" i="5"/>
  <c r="F60" i="5"/>
  <c r="H34" i="5"/>
  <c r="N35" i="5"/>
  <c r="I29" i="5"/>
  <c r="O35" i="5"/>
  <c r="P31" i="5"/>
  <c r="Q31" i="5"/>
  <c r="Q35" i="5"/>
  <c r="G41" i="5"/>
  <c r="P34" i="5"/>
  <c r="P29" i="5"/>
  <c r="H31" i="5"/>
  <c r="R53" i="5"/>
  <c r="P41" i="5"/>
  <c r="R11" i="5"/>
  <c r="Q34" i="5"/>
  <c r="N29" i="5"/>
  <c r="R56" i="5"/>
  <c r="Q24" i="5"/>
  <c r="Q40" i="5"/>
  <c r="Q12" i="5"/>
  <c r="Q13" i="5" s="1"/>
  <c r="Q16" i="5"/>
  <c r="P15" i="5"/>
  <c r="P18" i="5"/>
  <c r="O26" i="5"/>
  <c r="O17" i="5"/>
  <c r="G59" i="5"/>
  <c r="N16" i="5"/>
  <c r="N24" i="5"/>
  <c r="N40" i="5"/>
  <c r="N12" i="5"/>
  <c r="N13" i="5" s="1"/>
  <c r="N34" i="5"/>
  <c r="O15" i="5"/>
  <c r="O18" i="5"/>
  <c r="F59" i="5"/>
  <c r="H18" i="5"/>
  <c r="H15" i="5"/>
  <c r="E10" i="5"/>
  <c r="Q18" i="5"/>
  <c r="Q15" i="5"/>
  <c r="N26" i="5"/>
  <c r="N17" i="5"/>
  <c r="F18" i="5"/>
  <c r="R52" i="5"/>
  <c r="Q29" i="5"/>
  <c r="P26" i="5"/>
  <c r="P17" i="5"/>
  <c r="I31" i="5"/>
  <c r="I18" i="5"/>
  <c r="I15" i="5"/>
  <c r="Q41" i="5"/>
  <c r="O12" i="5"/>
  <c r="O13" i="5" s="1"/>
  <c r="O24" i="5"/>
  <c r="O16" i="5"/>
  <c r="O34" i="5"/>
  <c r="O40" i="5"/>
  <c r="H26" i="5"/>
  <c r="H17" i="5"/>
  <c r="H35" i="5"/>
  <c r="N41" i="5"/>
  <c r="O29" i="5"/>
  <c r="N18" i="5"/>
  <c r="N15" i="5"/>
  <c r="Q17" i="5"/>
  <c r="Q26" i="5"/>
  <c r="P24" i="5"/>
  <c r="P12" i="5"/>
  <c r="P13" i="5" s="1"/>
  <c r="P16" i="5"/>
  <c r="P40" i="5"/>
  <c r="O31" i="5"/>
  <c r="G61" i="5"/>
  <c r="O41" i="5"/>
  <c r="I24" i="5"/>
  <c r="I40" i="5"/>
  <c r="I16" i="5"/>
  <c r="I8" i="5"/>
  <c r="I9" i="5" s="1"/>
  <c r="I12" i="5"/>
  <c r="I13" i="5" s="1"/>
  <c r="I34" i="5"/>
  <c r="I26" i="5"/>
  <c r="I35" i="5"/>
  <c r="I17" i="5"/>
  <c r="G16" i="5"/>
  <c r="G24" i="5"/>
  <c r="G34" i="5"/>
  <c r="G29" i="5"/>
  <c r="P35" i="5"/>
  <c r="N31" i="5"/>
  <c r="H41" i="5"/>
  <c r="H16" i="5"/>
  <c r="H12" i="5"/>
  <c r="H13" i="5" s="1"/>
  <c r="H8" i="5"/>
  <c r="H9" i="5" s="1"/>
  <c r="H24" i="5"/>
  <c r="H40" i="5"/>
  <c r="H29" i="5"/>
  <c r="G18" i="5"/>
  <c r="G15" i="5"/>
  <c r="G26" i="5"/>
  <c r="G31" i="5"/>
  <c r="G17" i="5"/>
  <c r="G8" i="5"/>
  <c r="G35" i="5"/>
  <c r="G12" i="5"/>
  <c r="B5" i="95" a="1"/>
  <c r="E4" i="97" a="1"/>
  <c r="B3" i="95" l="1"/>
  <c r="R21" i="5" s="1"/>
  <c r="R10" i="5"/>
  <c r="E12" i="5"/>
  <c r="K36" i="5"/>
  <c r="K37" i="5" s="1"/>
  <c r="K6" i="95"/>
  <c r="F6" i="95"/>
  <c r="D18" i="5"/>
  <c r="M36" i="5"/>
  <c r="M37" i="5" s="1"/>
  <c r="L27" i="5"/>
  <c r="L36" i="5"/>
  <c r="L37" i="5" s="1"/>
  <c r="K27" i="5"/>
  <c r="J36" i="5"/>
  <c r="J37" i="5" s="1"/>
  <c r="E65" i="5"/>
  <c r="D65" i="5"/>
  <c r="J27" i="5"/>
  <c r="M27" i="5"/>
  <c r="K5" i="95"/>
  <c r="BO23" i="4"/>
  <c r="F5" i="95"/>
  <c r="R5" i="5"/>
  <c r="E41" i="5"/>
  <c r="O27" i="5"/>
  <c r="I27" i="5"/>
  <c r="H27" i="5"/>
  <c r="G27" i="5"/>
  <c r="N27" i="5"/>
  <c r="Q27" i="5"/>
  <c r="P27" i="5"/>
  <c r="N36" i="5"/>
  <c r="N37" i="5" s="1"/>
  <c r="O36" i="5"/>
  <c r="O37" i="5" s="1"/>
  <c r="H36" i="5"/>
  <c r="H37" i="5" s="1"/>
  <c r="F61" i="5"/>
  <c r="P36" i="5"/>
  <c r="P37" i="5" s="1"/>
  <c r="Q36" i="5"/>
  <c r="Q37" i="5" s="1"/>
  <c r="I36" i="5"/>
  <c r="I37" i="5" s="1"/>
  <c r="F26" i="5"/>
  <c r="F17" i="5"/>
  <c r="F35" i="5"/>
  <c r="E60" i="5"/>
  <c r="R60" i="5" s="1"/>
  <c r="E59" i="5"/>
  <c r="R59" i="5" s="1"/>
  <c r="E15" i="5"/>
  <c r="E18" i="5"/>
  <c r="F29" i="5"/>
  <c r="F24" i="5"/>
  <c r="F8" i="5"/>
  <c r="F9" i="5" s="1"/>
  <c r="F34" i="5"/>
  <c r="F16" i="5"/>
  <c r="F12" i="5"/>
  <c r="F13" i="5" s="1"/>
  <c r="F31" i="5"/>
  <c r="F15" i="5"/>
  <c r="G40" i="5"/>
  <c r="G13" i="5"/>
  <c r="G9" i="5"/>
  <c r="G36" i="5"/>
  <c r="G37" i="5" s="1"/>
  <c r="E61" i="5"/>
  <c r="C4" i="97" a="1"/>
  <c r="R18" i="5" l="1"/>
  <c r="F3" i="95"/>
  <c r="H6" i="95"/>
  <c r="D40" i="5"/>
  <c r="D34" i="5"/>
  <c r="D24" i="5"/>
  <c r="D8" i="5"/>
  <c r="D9" i="5" s="1"/>
  <c r="D29" i="5"/>
  <c r="D16" i="5"/>
  <c r="D31" i="5"/>
  <c r="D35" i="5"/>
  <c r="D17" i="5"/>
  <c r="D26" i="5"/>
  <c r="D15" i="5"/>
  <c r="BP23" i="4"/>
  <c r="H5" i="95"/>
  <c r="F27" i="5"/>
  <c r="R61" i="5"/>
  <c r="E26" i="5"/>
  <c r="E17" i="5"/>
  <c r="E35" i="5"/>
  <c r="R7" i="5"/>
  <c r="E31" i="5"/>
  <c r="R30" i="5"/>
  <c r="E16" i="5"/>
  <c r="E24" i="5"/>
  <c r="E8" i="5"/>
  <c r="E40" i="5"/>
  <c r="E29" i="5"/>
  <c r="E34" i="5"/>
  <c r="R6" i="5"/>
  <c r="F40" i="5"/>
  <c r="F36" i="5"/>
  <c r="F37" i="5" s="1"/>
  <c r="B4" i="97" s="1"/>
  <c r="B2" i="97" s="1"/>
  <c r="R20" i="5" s="1"/>
  <c r="T32" i="81"/>
  <c r="N6" i="81"/>
  <c r="AD23" i="4"/>
  <c r="AE23" i="4"/>
  <c r="AJ23" i="4"/>
  <c r="R35" i="5" l="1"/>
  <c r="D27" i="5"/>
  <c r="D36" i="5"/>
  <c r="D37" i="5" s="1"/>
  <c r="R24" i="5"/>
  <c r="F2" i="95"/>
  <c r="E27" i="5"/>
  <c r="R31" i="5"/>
  <c r="E13" i="5"/>
  <c r="R12" i="5"/>
  <c r="R13" i="5" s="1"/>
  <c r="E9" i="5"/>
  <c r="R8" i="5"/>
  <c r="R17" i="5"/>
  <c r="R26" i="5"/>
  <c r="R16" i="5"/>
  <c r="R29" i="5"/>
  <c r="R15" i="5"/>
  <c r="E36" i="5"/>
  <c r="E37" i="5" s="1"/>
  <c r="R34" i="5"/>
  <c r="C3" i="95"/>
  <c r="R9" i="5" l="1"/>
  <c r="G2" i="95"/>
  <c r="R36" i="5"/>
  <c r="R37" i="5" s="1"/>
  <c r="R27" i="5"/>
  <c r="D66" i="5"/>
  <c r="AC46" i="4"/>
  <c r="D7" i="84"/>
  <c r="G6" i="81"/>
  <c r="G7" i="84" l="1"/>
  <c r="CQ23" i="4" l="1"/>
  <c r="CP23" i="4"/>
  <c r="CR23" i="4"/>
  <c r="E3" i="95" l="1"/>
  <c r="L3" i="95"/>
  <c r="CS23" i="4"/>
  <c r="M3" i="95" l="1"/>
  <c r="CO23" i="4"/>
  <c r="CM23" i="4"/>
  <c r="CL23" i="4"/>
  <c r="CG23" i="4" l="1"/>
  <c r="CN23" i="4" l="1"/>
  <c r="BL23" i="4" l="1"/>
  <c r="E2" i="97" l="1"/>
  <c r="Q26" i="80"/>
  <c r="O49" i="4"/>
  <c r="Q8" i="80"/>
  <c r="D8" i="84" s="1"/>
  <c r="G13" i="84"/>
  <c r="D12" i="84"/>
  <c r="J10" i="84"/>
  <c r="D10" i="84"/>
  <c r="J8" i="84"/>
  <c r="G8" i="84"/>
  <c r="AA700" i="80"/>
  <c r="F29" i="80"/>
  <c r="C29" i="80"/>
  <c r="N18" i="80"/>
  <c r="M18" i="80"/>
  <c r="J18" i="80"/>
  <c r="G18" i="80"/>
  <c r="F18" i="80"/>
  <c r="C18" i="80"/>
  <c r="AK69" i="4"/>
  <c r="BJ62" i="4"/>
  <c r="BJ63" i="4" s="1"/>
  <c r="AT48" i="4"/>
  <c r="AU43" i="4"/>
  <c r="AD43" i="4"/>
  <c r="J4" i="80" s="1"/>
  <c r="BG23" i="4"/>
  <c r="BC23" i="4"/>
  <c r="BA23" i="4"/>
  <c r="AA23" i="4"/>
  <c r="T23" i="4"/>
  <c r="Q2" i="5"/>
  <c r="P2" i="5"/>
  <c r="O2" i="5"/>
  <c r="N2" i="5"/>
  <c r="K2" i="5"/>
  <c r="J2" i="5"/>
  <c r="I2" i="5"/>
  <c r="H2" i="5"/>
  <c r="G2" i="5"/>
  <c r="F2" i="5"/>
  <c r="E2" i="5"/>
  <c r="D2" i="5"/>
  <c r="G10" i="84"/>
  <c r="J21" i="5" l="1" a="1"/>
  <c r="J20" i="5" a="1"/>
  <c r="J19" i="5" a="1"/>
  <c r="K21" i="5" a="1"/>
  <c r="K19" i="5" a="1"/>
  <c r="K20" i="5" a="1"/>
  <c r="O21" i="5" a="1"/>
  <c r="O20" i="5" a="1"/>
  <c r="O19" i="5" a="1"/>
  <c r="E20" i="5" a="1"/>
  <c r="E21" i="5" a="1"/>
  <c r="E19" i="5" a="1"/>
  <c r="F19" i="5" a="1"/>
  <c r="F21" i="5" a="1"/>
  <c r="F20" i="5" a="1"/>
  <c r="Q19" i="5" a="1"/>
  <c r="Q20" i="5" a="1"/>
  <c r="Q21" i="5" a="1"/>
  <c r="D19" i="5" a="1"/>
  <c r="D20" i="5" a="1"/>
  <c r="D22" i="5" a="1"/>
  <c r="R22" i="5" s="1"/>
  <c r="D21" i="5" a="1"/>
  <c r="I19" i="5" a="1"/>
  <c r="I21" i="5" a="1"/>
  <c r="I20" i="5" a="1"/>
  <c r="N19" i="5" a="1"/>
  <c r="N20" i="5" a="1"/>
  <c r="N21" i="5" a="1"/>
  <c r="P21" i="5" a="1"/>
  <c r="P19" i="5" a="1"/>
  <c r="P20" i="5" a="1"/>
  <c r="G20" i="5" a="1"/>
  <c r="G19" i="5" a="1"/>
  <c r="G21" i="5" a="1"/>
  <c r="H21" i="5" a="1"/>
  <c r="H19" i="5" a="1"/>
  <c r="H20" i="5" a="1"/>
  <c r="G11" i="84"/>
  <c r="O48" i="4"/>
  <c r="J7" i="84"/>
  <c r="AT47" i="4"/>
  <c r="D9" i="84" s="1"/>
  <c r="AK23" i="4"/>
  <c r="BM23" i="4"/>
  <c r="O23" i="4"/>
  <c r="Z23" i="4"/>
  <c r="AX23" i="4"/>
  <c r="AW23" i="4"/>
  <c r="J6" i="80" s="1"/>
  <c r="J10" i="80" s="1"/>
  <c r="Y23" i="4"/>
  <c r="D4" i="97"/>
  <c r="AB23" i="4"/>
  <c r="S10" i="5" s="1"/>
  <c r="AC42" i="4" l="1"/>
  <c r="K48" i="5"/>
  <c r="K42" i="5"/>
  <c r="J42" i="5"/>
  <c r="J48" i="5"/>
  <c r="Q42" i="5"/>
  <c r="Q48" i="5"/>
  <c r="F48" i="5"/>
  <c r="F42" i="5"/>
  <c r="G48" i="5"/>
  <c r="G42" i="5"/>
  <c r="H42" i="5"/>
  <c r="E42" i="5"/>
  <c r="E48" i="5"/>
  <c r="P42" i="5"/>
  <c r="P48" i="5"/>
  <c r="O42" i="5"/>
  <c r="O48" i="5"/>
  <c r="N42" i="5"/>
  <c r="N48" i="5"/>
  <c r="I48" i="5"/>
  <c r="I42" i="5"/>
  <c r="R19" i="5"/>
  <c r="R48" i="5" s="1"/>
  <c r="D42" i="5"/>
  <c r="D48" i="5"/>
  <c r="N24" i="4"/>
  <c r="S23" i="4"/>
  <c r="AY23" i="4"/>
  <c r="AT42" i="4" s="1"/>
  <c r="AT44" i="4" s="1"/>
  <c r="Q23" i="4"/>
  <c r="O42" i="4" s="1"/>
  <c r="BB23" i="4"/>
  <c r="S5" i="5" s="1"/>
  <c r="T5" i="5" s="1"/>
  <c r="U5" i="5" s="1"/>
  <c r="BZ23" i="4"/>
  <c r="CA23" i="4"/>
  <c r="D6" i="84" l="1"/>
  <c r="AT49" i="4"/>
  <c r="AC44" i="4"/>
  <c r="AC49" i="4" s="1"/>
  <c r="J6" i="84"/>
  <c r="J9" i="84" s="1"/>
  <c r="J11" i="84" s="1"/>
  <c r="L2" i="95"/>
  <c r="CA24" i="4"/>
  <c r="CB39" i="4" s="1"/>
  <c r="O44" i="4"/>
  <c r="O50" i="4" s="1"/>
  <c r="AA24" i="4"/>
  <c r="I3" i="95"/>
  <c r="I2" i="95" s="1"/>
  <c r="J3" i="95"/>
  <c r="J2" i="95" s="1"/>
  <c r="CB23" i="4"/>
  <c r="BN23" i="4"/>
  <c r="S28" i="5" s="1"/>
  <c r="T28" i="5" s="1"/>
  <c r="BS23" i="4"/>
  <c r="BR24" i="4" s="1"/>
  <c r="AL23" i="4"/>
  <c r="S30" i="5" s="1"/>
  <c r="T30" i="5" s="1"/>
  <c r="BK24" i="4"/>
  <c r="AC25" i="4" l="1"/>
  <c r="P24" i="4"/>
  <c r="S7" i="5" s="1"/>
  <c r="T7" i="5" s="1"/>
  <c r="U7" i="5" s="1"/>
  <c r="S6" i="5"/>
  <c r="T6" i="5" s="1"/>
  <c r="U6" i="5" s="1"/>
  <c r="S53" i="5"/>
  <c r="T53" i="5" s="1"/>
  <c r="G6" i="84"/>
  <c r="G12" i="84" s="1"/>
  <c r="G14" i="84" s="1"/>
  <c r="BW23" i="4"/>
  <c r="D11" i="84"/>
  <c r="D13" i="84" s="1"/>
  <c r="T10" i="5"/>
  <c r="U10" i="5" s="1"/>
  <c r="AM23" i="4" l="1"/>
  <c r="E66" i="5" s="1"/>
  <c r="S52" i="5"/>
  <c r="CF24" i="4"/>
  <c r="CG39" i="4" s="1"/>
  <c r="BX23" i="4"/>
  <c r="BX24" i="4" s="1"/>
  <c r="BY39" i="4" s="1"/>
  <c r="BY23" i="4"/>
  <c r="T52" i="5" l="1"/>
  <c r="BN24" i="4"/>
  <c r="CF23" i="4"/>
  <c r="CE24" i="4" s="1"/>
  <c r="CF39" i="4" s="1"/>
  <c r="K3" i="95"/>
  <c r="S51" i="5" l="1"/>
  <c r="H3" i="95" l="1"/>
  <c r="H2" i="95" s="1"/>
  <c r="D2" i="9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A79057-B4CB-4FCE-A3E4-3F56BE73166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Details!$B$4:$BN$1980" type="102" refreshedVersion="8" minRefreshableVersion="5">
    <extLst>
      <ext xmlns:x15="http://schemas.microsoft.com/office/spreadsheetml/2010/11/main" uri="{DE250136-89BD-433C-8126-D09CA5730AF9}">
        <x15:connection id="Range-3c0ce2b5-7498-409b-938e-e65f70856903">
          <x15:rangePr sourceName="_xlcn.WorksheetConnection_DetailsB4BN1980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<sst xmlns="http://schemas.openxmlformats.org/spreadsheetml/2006/main" count="1345" uniqueCount="514">
  <si>
    <t>Quantity (MT)</t>
  </si>
  <si>
    <t>Sales</t>
  </si>
  <si>
    <t>Purchases</t>
  </si>
  <si>
    <t>Transportation Charges</t>
  </si>
  <si>
    <t>Transport Charges (%)</t>
  </si>
  <si>
    <t>Contribution (%)</t>
  </si>
  <si>
    <t>Receivable</t>
  </si>
  <si>
    <t>DSO (Days)</t>
  </si>
  <si>
    <t>Revenue Per Kg</t>
  </si>
  <si>
    <t>Purchase Cost Per Kg</t>
  </si>
  <si>
    <t>Transportation Charges Per Kg</t>
  </si>
  <si>
    <t>No. of Transactions</t>
  </si>
  <si>
    <t>No. of Sellers (Aggregators)</t>
  </si>
  <si>
    <t>No. of Buyers (Recyclers)</t>
  </si>
  <si>
    <t>Credit Notes (Value - Incl. Prov)</t>
  </si>
  <si>
    <t>Credit Notes (% to Revenue)</t>
  </si>
  <si>
    <t>Debit Notes (Value - Incl. Prov)</t>
  </si>
  <si>
    <t>Debit Notes (% to Purchase)</t>
  </si>
  <si>
    <t>Date</t>
  </si>
  <si>
    <t>Month</t>
  </si>
  <si>
    <t>Quarter</t>
  </si>
  <si>
    <t>GST Reg No.</t>
  </si>
  <si>
    <t>P V No.</t>
  </si>
  <si>
    <t>P V Date</t>
  </si>
  <si>
    <t>Vendor Invoice No.</t>
  </si>
  <si>
    <t>Vendor Invoice Date</t>
  </si>
  <si>
    <t>Debit Note No.</t>
  </si>
  <si>
    <t>Debit Note Date.</t>
  </si>
  <si>
    <t>Debit Note No. 2</t>
  </si>
  <si>
    <t>Debit Note Date. 2</t>
  </si>
  <si>
    <t>Supplier Name</t>
  </si>
  <si>
    <t>Location (Origin)</t>
  </si>
  <si>
    <t>State (Origin)</t>
  </si>
  <si>
    <t>Transporter Name</t>
  </si>
  <si>
    <t>Vehicle No.</t>
  </si>
  <si>
    <t>LR NO/BILL NO</t>
  </si>
  <si>
    <t>J V No.</t>
  </si>
  <si>
    <t>JV Date</t>
  </si>
  <si>
    <t>Material</t>
  </si>
  <si>
    <t>Material-Short Form</t>
  </si>
  <si>
    <t>Qty (Kg)</t>
  </si>
  <si>
    <t>Price/Kg</t>
  </si>
  <si>
    <t>Purchase Price</t>
  </si>
  <si>
    <t>Logistics cost</t>
  </si>
  <si>
    <t>Logistics Provision</t>
  </si>
  <si>
    <t>Total Logistics Cost</t>
  </si>
  <si>
    <t>Cost/Kg.</t>
  </si>
  <si>
    <t>Full Debit Note</t>
  </si>
  <si>
    <t>Total Cost</t>
  </si>
  <si>
    <t>Inv. No.</t>
  </si>
  <si>
    <t>Inv. Date</t>
  </si>
  <si>
    <t>Buyer Name</t>
  </si>
  <si>
    <t>Location (Destination)</t>
  </si>
  <si>
    <t>State (Destination)</t>
  </si>
  <si>
    <t>Qty(Kg)</t>
  </si>
  <si>
    <t>Rate/Kg</t>
  </si>
  <si>
    <t>Amount</t>
  </si>
  <si>
    <t>Qty Check</t>
  </si>
  <si>
    <t>Net Revenue</t>
  </si>
  <si>
    <t>Margin</t>
  </si>
  <si>
    <t>Check</t>
  </si>
  <si>
    <t>Remarks</t>
  </si>
  <si>
    <t>Total</t>
  </si>
  <si>
    <t>Net Sales As per report</t>
  </si>
  <si>
    <t>Net Purchase as per report</t>
  </si>
  <si>
    <t>As per ZOHO</t>
  </si>
  <si>
    <t>Variance</t>
  </si>
  <si>
    <t>Debit note on logistic cost</t>
  </si>
  <si>
    <t>Reamrks - Margin</t>
  </si>
  <si>
    <t>Bills in report not in P&amp;L</t>
  </si>
  <si>
    <t>Bills in P&amp;L not in report</t>
  </si>
  <si>
    <t>Sales  in report not in P&amp;L</t>
  </si>
  <si>
    <t>Sales  in P&amp;L not in report</t>
  </si>
  <si>
    <t>Credit Note Date</t>
  </si>
  <si>
    <t>Credit Note Number</t>
  </si>
  <si>
    <t>Customer Name</t>
  </si>
  <si>
    <t>SubTotal</t>
  </si>
  <si>
    <t>Final Variance</t>
  </si>
  <si>
    <t>G.Total</t>
  </si>
  <si>
    <t>As Per Report</t>
  </si>
  <si>
    <t>SO Number</t>
  </si>
  <si>
    <t>Bils in Report &amp; P&amp;L , Sale yet to be done</t>
  </si>
  <si>
    <t>Qty</t>
  </si>
  <si>
    <t>Reconciliation</t>
  </si>
  <si>
    <t>Debit Note Date</t>
  </si>
  <si>
    <t>Debit  Note Number</t>
  </si>
  <si>
    <t>Net Logistic Cost as per report</t>
  </si>
  <si>
    <t>Particulars</t>
  </si>
  <si>
    <t xml:space="preserve">As per ZOHO </t>
  </si>
  <si>
    <t>JV Number</t>
  </si>
  <si>
    <t>Opening Provision</t>
  </si>
  <si>
    <t>Closing Provision</t>
  </si>
  <si>
    <t>Sales - Reconciliation</t>
  </si>
  <si>
    <t>Net Revenue as per MIS Report</t>
  </si>
  <si>
    <t>Revenue as per P&amp;L Report (Zoho Books)</t>
  </si>
  <si>
    <t>Purchases - Reconciliation</t>
  </si>
  <si>
    <t>Net Purchases as per MIS Report</t>
  </si>
  <si>
    <t>Logistic Cost- Reconciliation</t>
  </si>
  <si>
    <t>Net Logistic as per MIS Report</t>
  </si>
  <si>
    <t>Logistic Cost as per P&amp;L Report (Zoho Books)</t>
  </si>
  <si>
    <t>Final - Variance</t>
  </si>
  <si>
    <t>Cost  as per P&amp;L Report (Zoho Books)</t>
  </si>
  <si>
    <t>NO DN value</t>
  </si>
  <si>
    <t>Margin (%)</t>
  </si>
  <si>
    <t>Margin Bucket</t>
  </si>
  <si>
    <t>Basic Customs Duty</t>
  </si>
  <si>
    <t>DN Provision</t>
  </si>
  <si>
    <t>CN Provision</t>
  </si>
  <si>
    <t>Sales without Provision</t>
  </si>
  <si>
    <t>Purchases without Provision</t>
  </si>
  <si>
    <t>Contribution without Provision</t>
  </si>
  <si>
    <t>Return Qty</t>
  </si>
  <si>
    <t>Net Qty</t>
  </si>
  <si>
    <t>Divertion/Internal</t>
  </si>
  <si>
    <t>Return Type</t>
  </si>
  <si>
    <t>Regular</t>
  </si>
  <si>
    <t>BCD not in Report</t>
  </si>
  <si>
    <t xml:space="preserve"> </t>
  </si>
  <si>
    <t>Bill Date</t>
  </si>
  <si>
    <t>Bill Number</t>
  </si>
  <si>
    <t>PurchaseOrder</t>
  </si>
  <si>
    <t>Vendor Name</t>
  </si>
  <si>
    <t>CN Amount</t>
  </si>
  <si>
    <t>CN &amp; DN Checks</t>
  </si>
  <si>
    <t>Actaul CN</t>
  </si>
  <si>
    <t>Actual DN</t>
  </si>
  <si>
    <t>Credit Note No:1</t>
  </si>
  <si>
    <t>CN Date. No:1</t>
  </si>
  <si>
    <t>Credit Note No:2</t>
  </si>
  <si>
    <t>CN Date. No:2</t>
  </si>
  <si>
    <t>Remarks @ Inception</t>
  </si>
  <si>
    <t>Full Credit Notes</t>
  </si>
  <si>
    <t>Last year bills considered this year</t>
  </si>
  <si>
    <t>Qty Reco</t>
  </si>
  <si>
    <t>CN &amp; DN Provisions</t>
  </si>
  <si>
    <t>Date : DN to Buyer</t>
  </si>
  <si>
    <t>DN to Buyer</t>
  </si>
  <si>
    <t>KPI's without Provisions</t>
  </si>
  <si>
    <t>Business Trends</t>
  </si>
  <si>
    <t>Loss Making Transactions</t>
  </si>
  <si>
    <t>DN to Customer</t>
  </si>
  <si>
    <t>Credit Notes from Customers</t>
  </si>
  <si>
    <t>Sales Details</t>
  </si>
  <si>
    <t>Debit Notes to Suppliers</t>
  </si>
  <si>
    <t>Logistic Details of the transaction</t>
  </si>
  <si>
    <t>Purchase Details</t>
  </si>
  <si>
    <t xml:space="preserve">Buyer GST Number </t>
  </si>
  <si>
    <t>Fy 2023-24 DN to Customers</t>
  </si>
  <si>
    <t>DN Provision in Zoho FY 23-24</t>
  </si>
  <si>
    <t>CN Provision in Zoho FY 23-24</t>
  </si>
  <si>
    <t>Revenue</t>
  </si>
  <si>
    <t>Margin(%</t>
  </si>
  <si>
    <t>Debit Notes</t>
  </si>
  <si>
    <t>Sale Value</t>
  </si>
  <si>
    <t>DN to Sale(%)</t>
  </si>
  <si>
    <t>Institutional Business</t>
  </si>
  <si>
    <t>No of transactions</t>
  </si>
  <si>
    <t>Avg Tran Value</t>
  </si>
  <si>
    <t>Category (Material)</t>
  </si>
  <si>
    <t>Supplier Type</t>
  </si>
  <si>
    <t>FY 2023-24 Logistics</t>
  </si>
  <si>
    <t>Credit Notes issued in FY-25 pertaining to FY-24</t>
  </si>
  <si>
    <t>Debit Notes issued in FY-25 pertaining to FY-24</t>
  </si>
  <si>
    <t>Logistic Bills issued in FY-25 pertaining to FY-24</t>
  </si>
  <si>
    <t>Logistic Provision in Zoho FY 23-24</t>
  </si>
  <si>
    <t>Cost</t>
  </si>
  <si>
    <t>Without Provisions</t>
  </si>
  <si>
    <t>With GST</t>
  </si>
  <si>
    <t>Vendor PAN No</t>
  </si>
  <si>
    <t>Customer PAN No</t>
  </si>
  <si>
    <t>Qty Returned</t>
  </si>
  <si>
    <t>Shipment ID</t>
  </si>
  <si>
    <t>JV for last year Bills</t>
  </si>
  <si>
    <t>JV for Last year Bills</t>
  </si>
  <si>
    <t>Count Recyclers</t>
  </si>
  <si>
    <t>Count Supplier Name</t>
  </si>
  <si>
    <t>Week No:</t>
  </si>
  <si>
    <t>Broad Category</t>
  </si>
  <si>
    <t>POC Name</t>
  </si>
  <si>
    <t>FY 2025-26</t>
  </si>
  <si>
    <t>Customer ID</t>
  </si>
  <si>
    <t xml:space="preserve">FY 2024-25 Credit notes </t>
  </si>
  <si>
    <t>CN Provision in Zoho FY 24-25</t>
  </si>
  <si>
    <t>Fy 2024-25 Logistic Provision Reversal</t>
  </si>
  <si>
    <t>Total CN(Inc.Provisions)</t>
  </si>
  <si>
    <t>Total DN(Inc.Provisions)</t>
  </si>
  <si>
    <t>LMI @ Inception</t>
  </si>
  <si>
    <t>Gross Margin</t>
  </si>
  <si>
    <t>Recykal Margin</t>
  </si>
  <si>
    <t>Net Margin</t>
  </si>
  <si>
    <t>Margin Buckets</t>
  </si>
  <si>
    <t>Actual Credit Note</t>
  </si>
  <si>
    <t>Actual Debit Note</t>
  </si>
  <si>
    <t>Provision for CN</t>
  </si>
  <si>
    <t>Provision for DN</t>
  </si>
  <si>
    <t xml:space="preserve">Sales </t>
  </si>
  <si>
    <t>Credit Note</t>
  </si>
  <si>
    <t>Debit Note</t>
  </si>
  <si>
    <t>Financials with GST</t>
  </si>
  <si>
    <t>Margins</t>
  </si>
  <si>
    <t>Financial with GST</t>
  </si>
  <si>
    <t>Fy 2025-26</t>
  </si>
  <si>
    <t>Full Rejection</t>
  </si>
  <si>
    <t>Sales-Revenue (MoM)</t>
  </si>
  <si>
    <t>Sales-Volume (MoM)</t>
  </si>
  <si>
    <t>Sales-Transactions (MoM)</t>
  </si>
  <si>
    <t>No of LMT @ Inception</t>
  </si>
  <si>
    <t>Value of LMT @ Inception</t>
  </si>
  <si>
    <t>No of LMT</t>
  </si>
  <si>
    <t>% of LMT</t>
  </si>
  <si>
    <t>Value of LMT</t>
  </si>
  <si>
    <t>Marketplace (AFR)</t>
  </si>
  <si>
    <t>Bill Branch</t>
  </si>
  <si>
    <t>Inv Branch</t>
  </si>
  <si>
    <t>Telangana - HO</t>
  </si>
  <si>
    <t>Raw Data -AFR</t>
  </si>
  <si>
    <t>Net Margin (%)</t>
  </si>
  <si>
    <t>Gross Margin (%)</t>
  </si>
  <si>
    <t>Opeartional Cost</t>
  </si>
  <si>
    <t>Payable</t>
  </si>
  <si>
    <t>DPO (Days)</t>
  </si>
  <si>
    <t>36AAACM4154G1ZO</t>
  </si>
  <si>
    <t>Marketplace Purchases (AFR)</t>
  </si>
  <si>
    <t>AFR</t>
  </si>
  <si>
    <t>date</t>
  </si>
  <si>
    <t>status</t>
  </si>
  <si>
    <t>entity</t>
  </si>
  <si>
    <t>age</t>
  </si>
  <si>
    <t>due_date</t>
  </si>
  <si>
    <t>transaction_number</t>
  </si>
  <si>
    <t>customer_name</t>
  </si>
  <si>
    <t>balance</t>
  </si>
  <si>
    <t>amount</t>
  </si>
  <si>
    <t>overdue</t>
  </si>
  <si>
    <t>Other Income</t>
  </si>
  <si>
    <t>invoice</t>
  </si>
  <si>
    <t>HARI HARA TRADERS</t>
  </si>
  <si>
    <t>123</t>
  </si>
  <si>
    <t>2</t>
  </si>
  <si>
    <t>MRF LIMITED (36)</t>
  </si>
  <si>
    <t/>
  </si>
  <si>
    <t>125</t>
  </si>
  <si>
    <t>126</t>
  </si>
  <si>
    <t>vendor_name</t>
  </si>
  <si>
    <t>bill</t>
  </si>
  <si>
    <t>Working Capital Days</t>
  </si>
  <si>
    <t>payment_terms</t>
  </si>
  <si>
    <t>gst_no</t>
  </si>
  <si>
    <t>credit_limit</t>
  </si>
  <si>
    <t>contact.CF.Vertical Name</t>
  </si>
  <si>
    <t xml:space="preserve">Advance Payment </t>
  </si>
  <si>
    <t>6</t>
  </si>
  <si>
    <t>2026-03-13</t>
  </si>
  <si>
    <t>SRI RAGHAVENDRA CORPORATION</t>
  </si>
  <si>
    <t>SRI PRASANNA TRADERS</t>
  </si>
  <si>
    <t>SH03260604</t>
  </si>
  <si>
    <t>SH03260909</t>
  </si>
  <si>
    <t>7</t>
  </si>
  <si>
    <t>2026-03-25</t>
  </si>
  <si>
    <t>124</t>
  </si>
  <si>
    <t>2026-03-09</t>
  </si>
  <si>
    <t>DN Provision in Zoho FY 25-26</t>
  </si>
  <si>
    <t>Debit note FY 25-26</t>
  </si>
  <si>
    <t>36/AFR/27VC00001</t>
  </si>
  <si>
    <t>36/AFR/27VC00002</t>
  </si>
  <si>
    <t>36/AFR/27VC00003</t>
  </si>
  <si>
    <t>SH03261601</t>
  </si>
  <si>
    <t>36/AFR/27CN00001</t>
  </si>
  <si>
    <t>36/AFR/27CN00002</t>
  </si>
  <si>
    <t>36/AFR/27CN00003</t>
  </si>
  <si>
    <t xml:space="preserve">
</t>
  </si>
  <si>
    <t xml:space="preserve">
</t>
  </si>
  <si>
    <t>As per Zoho Current Month</t>
  </si>
  <si>
    <t>FY 2025-26 bills considered ths year</t>
  </si>
  <si>
    <t>ATTAQUANT CATKEM TRADE LLP</t>
  </si>
  <si>
    <t>Net 3 (days)</t>
  </si>
  <si>
    <t>27ACAFA4787C1ZI</t>
  </si>
  <si>
    <t>26/MPAFR/INV0085</t>
  </si>
  <si>
    <t>SH04260801</t>
  </si>
  <si>
    <t>37ANHPG0363J1Z1</t>
  </si>
  <si>
    <t>26-27/PUR/000242</t>
  </si>
  <si>
    <t>AD</t>
  </si>
  <si>
    <t>AP39WE3236</t>
  </si>
  <si>
    <t>Pyrolysis Char - Briquettes</t>
  </si>
  <si>
    <t>36/AFR/27IN00001</t>
  </si>
  <si>
    <t>832139000056764186</t>
  </si>
  <si>
    <t>Tadpatri,Andhra Pradesh,515455</t>
  </si>
  <si>
    <t>Sadashivpet</t>
  </si>
  <si>
    <t>Telangana</t>
  </si>
  <si>
    <t>No Provision</t>
  </si>
  <si>
    <t>E-way Bill No</t>
  </si>
  <si>
    <t>SH022627033</t>
  </si>
  <si>
    <t>SH022627034</t>
  </si>
  <si>
    <t>SH032601012</t>
  </si>
  <si>
    <t>36/AFR/27VC00004</t>
  </si>
  <si>
    <t>36/AFR/27VC00007</t>
  </si>
  <si>
    <t>36/AFR/27VC00005</t>
  </si>
  <si>
    <t>36/AFR/27CN00004</t>
  </si>
  <si>
    <t>36/AFR/27CN00007</t>
  </si>
  <si>
    <t>36/AFR/27CN00005</t>
  </si>
  <si>
    <t>FY 2026-27</t>
  </si>
  <si>
    <t>Debit note Pertaining to FY 2025-26</t>
  </si>
  <si>
    <t>Credit note Pertaining to FY 2025-26</t>
  </si>
  <si>
    <t>Accounted in FY 2026-27</t>
  </si>
  <si>
    <t>FY 2025-26 Logistic Bills accounted</t>
  </si>
  <si>
    <t>Provision for Debit Notes from Customers as on 31st Mar-2026</t>
  </si>
  <si>
    <t>Accounted in FY 26-27</t>
  </si>
  <si>
    <t>SH03262203</t>
  </si>
  <si>
    <t>36/AFR/27CN00008</t>
  </si>
  <si>
    <t>SH012616025</t>
  </si>
  <si>
    <t>36/AFR/27CN00010</t>
  </si>
  <si>
    <t>SH122523036</t>
  </si>
  <si>
    <t>36/AFR/27CN00011</t>
  </si>
  <si>
    <t>SH012620031</t>
  </si>
  <si>
    <t>36/AFR/27CN00009</t>
  </si>
  <si>
    <t>36/AFR/27VC00008</t>
  </si>
  <si>
    <t>36/AFR/27VC00010</t>
  </si>
  <si>
    <t>36/AFR/27VC00009</t>
  </si>
  <si>
    <t>36/AFR/27VC00011</t>
  </si>
  <si>
    <t>36/AFR/27VC00012</t>
  </si>
  <si>
    <t>36/AFR/27CN00012</t>
  </si>
  <si>
    <t xml:space="preserve"> Provision for DN as on 31st Mar-2026</t>
  </si>
  <si>
    <t>TIMES MARINE SERVICES PRIVATE LIMITED</t>
  </si>
  <si>
    <t>33AAICT1418L1ZB</t>
  </si>
  <si>
    <t>TMSPL/047</t>
  </si>
  <si>
    <t>26-27/PUR/001067</t>
  </si>
  <si>
    <t>TN</t>
  </si>
  <si>
    <t>Technical Testing and Analysis Services</t>
  </si>
  <si>
    <t>143</t>
  </si>
  <si>
    <t>26-27/PUR/001059</t>
  </si>
  <si>
    <t>Electrical Installation Service</t>
  </si>
  <si>
    <t>144</t>
  </si>
  <si>
    <t>26-27/PUR/001060</t>
  </si>
  <si>
    <t>Manpower Services</t>
  </si>
  <si>
    <t>26-27/PUR/001354</t>
  </si>
  <si>
    <t>Bentonite Powder</t>
  </si>
  <si>
    <t>26-27/PUR/001360</t>
  </si>
  <si>
    <t>Starch</t>
  </si>
  <si>
    <t>145</t>
  </si>
  <si>
    <t>26-27/PUR/001061</t>
  </si>
  <si>
    <t>Transport Charges</t>
  </si>
  <si>
    <t>8</t>
  </si>
  <si>
    <t>26-27/PUR/001364</t>
  </si>
  <si>
    <t>Operational Expenses</t>
  </si>
  <si>
    <t>unused_credits_receivable_amount</t>
  </si>
  <si>
    <t>Marketplace Sales (AFR)</t>
  </si>
  <si>
    <t>vendor.CF.Vertical Name</t>
  </si>
  <si>
    <t>vendor.CF.MSME Category</t>
  </si>
  <si>
    <t>37AGCPV7437N2ZK</t>
  </si>
  <si>
    <t>MICRO</t>
  </si>
  <si>
    <t>SMALL</t>
  </si>
  <si>
    <t>SH05260901</t>
  </si>
  <si>
    <t>11</t>
  </si>
  <si>
    <t>26-27/PUR/001929</t>
  </si>
  <si>
    <t>TG29T7657</t>
  </si>
  <si>
    <t>36/AFR/27IN00002</t>
  </si>
  <si>
    <t>Proddatur Andhra Pradesh 516360</t>
  </si>
  <si>
    <t>2026-05-13</t>
  </si>
  <si>
    <t>SH05261303</t>
  </si>
  <si>
    <t>13</t>
  </si>
  <si>
    <t>26-27/PUR/002090</t>
  </si>
  <si>
    <t>AP39WL0468</t>
  </si>
  <si>
    <t>36/AFR/27IN00003</t>
  </si>
  <si>
    <t>Tadipatri,Andhra Pradesh,515413</t>
  </si>
  <si>
    <t>2026-05-06</t>
  </si>
  <si>
    <t>TMSPL/097</t>
  </si>
  <si>
    <t>26-27/PUR/002132</t>
  </si>
  <si>
    <t>sent</t>
  </si>
  <si>
    <t>2026-05-23</t>
  </si>
  <si>
    <t>2026-05-27</t>
  </si>
  <si>
    <t>2026-05-09</t>
  </si>
  <si>
    <t>2026-05-17</t>
  </si>
  <si>
    <t>15</t>
  </si>
  <si>
    <t>26-27/PUR/001193</t>
  </si>
  <si>
    <t>2026-05-16</t>
  </si>
  <si>
    <t>2026-05-18</t>
  </si>
  <si>
    <t>SH05262501</t>
  </si>
  <si>
    <t>19</t>
  </si>
  <si>
    <t>26-27/PUR/002617</t>
  </si>
  <si>
    <t>AP39WR1641</t>
  </si>
  <si>
    <t>36/AFR/27IN00004</t>
  </si>
  <si>
    <t>36/AFR/27VC00013</t>
  </si>
  <si>
    <t>36/AFR/27CN00013</t>
  </si>
  <si>
    <t>DN &amp; CN Issued</t>
  </si>
  <si>
    <t>2026-06-09</t>
  </si>
  <si>
    <t>2026-05-26</t>
  </si>
  <si>
    <t>2026-05-30</t>
  </si>
  <si>
    <t>SH05262704</t>
  </si>
  <si>
    <t>INV-26-800</t>
  </si>
  <si>
    <t>26-27/PUR/003034</t>
  </si>
  <si>
    <t>AP27Y5049</t>
  </si>
  <si>
    <t>Chilli Husk</t>
  </si>
  <si>
    <t>SH06260301</t>
  </si>
  <si>
    <t>INV-26-802</t>
  </si>
  <si>
    <t>26-27/PUR/003224</t>
  </si>
  <si>
    <t>TS12UD3174</t>
  </si>
  <si>
    <t>SH06260302</t>
  </si>
  <si>
    <t>INV-26-801</t>
  </si>
  <si>
    <t>26-27/PUR/003226</t>
  </si>
  <si>
    <t>TG05U6911</t>
  </si>
  <si>
    <t>SH06260402</t>
  </si>
  <si>
    <t>25</t>
  </si>
  <si>
    <t>26-27/PUR/003277</t>
  </si>
  <si>
    <t>AP02TH1557</t>
  </si>
  <si>
    <t>SH06260602</t>
  </si>
  <si>
    <t>26</t>
  </si>
  <si>
    <t>26-27/PUR/003302</t>
  </si>
  <si>
    <t>AP39UL9769</t>
  </si>
  <si>
    <t>36/AFR/27IN00005</t>
  </si>
  <si>
    <t>832139000078794413</t>
  </si>
  <si>
    <t>ULTRATECH CEMENT LIMITED</t>
  </si>
  <si>
    <t>37AAACL6442L1Z9</t>
  </si>
  <si>
    <t>Guntur,Andhra Pradesh,522005</t>
  </si>
  <si>
    <t>Vijayawada</t>
  </si>
  <si>
    <t>Andhra Pradesh</t>
  </si>
  <si>
    <t>36/AFR/27IN00008</t>
  </si>
  <si>
    <t>36/AFR/27IN00007</t>
  </si>
  <si>
    <t>36/AFR/27IN00009</t>
  </si>
  <si>
    <t>36/AFR/27IN00006</t>
  </si>
  <si>
    <t>Guntur Andhra Pradesh 522005</t>
  </si>
  <si>
    <t>As per Zoho(till May)</t>
  </si>
  <si>
    <t>SH06260701</t>
  </si>
  <si>
    <t>INV-26-803</t>
  </si>
  <si>
    <t>26-27/PUR/003308</t>
  </si>
  <si>
    <t>TG04T7342</t>
  </si>
  <si>
    <t>SH06260802</t>
  </si>
  <si>
    <t>27</t>
  </si>
  <si>
    <t>26-27/PUR/003337</t>
  </si>
  <si>
    <t>AP39UV4495</t>
  </si>
  <si>
    <t>SH06261301</t>
  </si>
  <si>
    <t>32</t>
  </si>
  <si>
    <t>26-27/PUR/003646</t>
  </si>
  <si>
    <t>AP39UN1375</t>
  </si>
  <si>
    <t>36/AFR/27IN00010</t>
  </si>
  <si>
    <t>36/AFR/27IN00011</t>
  </si>
  <si>
    <t>36/AFR/27IN00012</t>
  </si>
  <si>
    <t>Proddatur,Andhra Pradesh,516360</t>
  </si>
  <si>
    <t>2026-06-08</t>
  </si>
  <si>
    <t>Net 15 (Days)</t>
  </si>
  <si>
    <t>2026-06-18</t>
  </si>
  <si>
    <t>2026-06-22</t>
  </si>
  <si>
    <t>2026-06-27</t>
  </si>
  <si>
    <t>2026-06-07</t>
  </si>
  <si>
    <t>2026-06-04</t>
  </si>
  <si>
    <t>2026-06-11</t>
  </si>
  <si>
    <t>2026-06-12</t>
  </si>
  <si>
    <t>2026-06-13</t>
  </si>
  <si>
    <t>2026-06-17</t>
  </si>
  <si>
    <t>No DN</t>
  </si>
  <si>
    <t>SH06261606</t>
  </si>
  <si>
    <t>36</t>
  </si>
  <si>
    <t>26-27/PUR/003921</t>
  </si>
  <si>
    <t>AP39WH8039</t>
  </si>
  <si>
    <t>36/AFR/27IN00013</t>
  </si>
  <si>
    <t>36/AFR/27VC00015</t>
  </si>
  <si>
    <t>36/AFR/27CN00014</t>
  </si>
  <si>
    <t>2026-07-02</t>
  </si>
  <si>
    <t>SH06262202</t>
  </si>
  <si>
    <t>37</t>
  </si>
  <si>
    <t>26-27/PUR/004049</t>
  </si>
  <si>
    <t>MP/AFR/OFF/0001</t>
  </si>
  <si>
    <t>INV-26-804</t>
  </si>
  <si>
    <t>26-27/PUR/004131</t>
  </si>
  <si>
    <t>CHILLY WASTE</t>
  </si>
  <si>
    <t>SH06262404</t>
  </si>
  <si>
    <t>42</t>
  </si>
  <si>
    <t>26-27/PUR/004168</t>
  </si>
  <si>
    <t>AP39VD4242</t>
  </si>
  <si>
    <t>36/AFR/27IN00014</t>
  </si>
  <si>
    <t>36/AFR/27IN00015</t>
  </si>
  <si>
    <t>Krishna</t>
  </si>
  <si>
    <t>36/AFR/27IN00016</t>
  </si>
  <si>
    <t>36/AFR/27VC00016</t>
  </si>
  <si>
    <t>36/AFR/27CN00017</t>
  </si>
  <si>
    <t>36/AFR/27VC00017</t>
  </si>
  <si>
    <t>36/AFR/27CN00018</t>
  </si>
  <si>
    <t>36/AFR/27VC00018</t>
  </si>
  <si>
    <t>36/AFR/27CN00019</t>
  </si>
  <si>
    <t>36/AFR/27VC00019</t>
  </si>
  <si>
    <t>36/AFR/27CN00016</t>
  </si>
  <si>
    <t>36/AFR/27VC00020</t>
  </si>
  <si>
    <t>36/AFR/27CN00020</t>
  </si>
  <si>
    <t>36/AFR/27VC00021</t>
  </si>
  <si>
    <t>36/AFR/27CN00023</t>
  </si>
  <si>
    <t>36/AFR/27VC00022</t>
  </si>
  <si>
    <t>36/AFR/27CN00021</t>
  </si>
  <si>
    <t>36/AFR/27VC00023</t>
  </si>
  <si>
    <t>36/AFR/27CN00022</t>
  </si>
  <si>
    <t>2026-07-07</t>
  </si>
  <si>
    <t>partially_paid</t>
  </si>
  <si>
    <t>2026-07-01</t>
  </si>
  <si>
    <t>2026-07-08</t>
  </si>
  <si>
    <t>2026-06-26</t>
  </si>
  <si>
    <t>2026-06-24</t>
  </si>
  <si>
    <t>2026-06-28</t>
  </si>
  <si>
    <t>SH06262708</t>
  </si>
  <si>
    <t>2026-07-11</t>
  </si>
  <si>
    <t>36/AFR/27IN00017</t>
  </si>
  <si>
    <t>43</t>
  </si>
  <si>
    <t>26-27/PUR/004328</t>
  </si>
  <si>
    <t>AP39UN4897</t>
  </si>
  <si>
    <t>97</t>
  </si>
  <si>
    <t>38</t>
  </si>
  <si>
    <t>34</t>
  </si>
  <si>
    <t>21</t>
  </si>
  <si>
    <t>3</t>
  </si>
  <si>
    <t>113</t>
  </si>
  <si>
    <t>109</t>
  </si>
  <si>
    <t>48</t>
  </si>
  <si>
    <t>44</t>
  </si>
  <si>
    <t>31</t>
  </si>
  <si>
    <t>22</t>
  </si>
  <si>
    <t>18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</si>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</sst>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u/>
      <sz val="11"/>
      <color theme="1" tint="0.34998626667073579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mbria"/>
      <family val="1"/>
    </font>
    <font>
      <sz val="11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b/>
      <u val="singleAccounting"/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212529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FF"/>
      <name val="Calibri"/>
      <family val="2"/>
      <scheme val="minor"/>
    </font>
    <font>
      <i/>
      <sz val="12"/>
      <color rgb="FF0000FF"/>
      <name val="Calibri"/>
      <family val="2"/>
      <scheme val="minor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000000"/>
        <bgColor indexed="64"/>
      </patternFill>
    </fill>
  </fills>
  <borders count="3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/>
      <bottom/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 style="medium">
        <color theme="0"/>
      </left>
      <right style="medium">
        <color theme="1"/>
      </right>
      <top style="medium">
        <color theme="1"/>
      </top>
      <bottom/>
      <diagonal/>
    </border>
    <border>
      <left style="medium">
        <color theme="0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</borders>
  <cellStyleXfs count="14">
    <xf numFmtId="0" fontId="0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  <xf numFmtId="9" fontId="1" fillId="0" borderId="0" applyFont="0" applyFill="0" applyBorder="0" applyAlignment="0" applyProtection="0"/>
    <xf numFmtId="0" fontId="18" fillId="0" borderId="0"/>
  </cellStyleXfs>
  <cellXfs count="360">
    <xf numFmtId="0" fontId="0" fillId="0" borderId="0" xfId="0"/>
    <xf numFmtId="165" fontId="0" fillId="0" borderId="0" xfId="0" applyNumberFormat="1"/>
    <xf numFmtId="0" fontId="4" fillId="0" borderId="0" xfId="0" applyFont="1"/>
    <xf numFmtId="165" fontId="0" fillId="0" borderId="0" xfId="7" applyNumberFormat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0" fillId="0" borderId="2" xfId="0" applyBorder="1"/>
    <xf numFmtId="0" fontId="4" fillId="0" borderId="5" xfId="0" applyFont="1" applyBorder="1"/>
    <xf numFmtId="0" fontId="0" fillId="0" borderId="3" xfId="0" applyBorder="1"/>
    <xf numFmtId="0" fontId="0" fillId="0" borderId="4" xfId="0" applyBorder="1"/>
    <xf numFmtId="0" fontId="0" fillId="0" borderId="9" xfId="0" applyBorder="1"/>
    <xf numFmtId="165" fontId="0" fillId="0" borderId="9" xfId="7" applyNumberFormat="1" applyFont="1" applyBorder="1"/>
    <xf numFmtId="1" fontId="4" fillId="0" borderId="8" xfId="7" applyNumberFormat="1" applyFont="1" applyBorder="1"/>
    <xf numFmtId="3" fontId="0" fillId="0" borderId="9" xfId="0" applyNumberFormat="1" applyBorder="1" applyAlignment="1">
      <alignment horizontal="right"/>
    </xf>
    <xf numFmtId="1" fontId="4" fillId="0" borderId="0" xfId="7" applyNumberFormat="1" applyFont="1" applyBorder="1"/>
    <xf numFmtId="3" fontId="0" fillId="0" borderId="9" xfId="0" applyNumberFormat="1" applyBorder="1"/>
    <xf numFmtId="4" fontId="0" fillId="0" borderId="2" xfId="0" applyNumberFormat="1" applyBorder="1"/>
    <xf numFmtId="165" fontId="0" fillId="0" borderId="3" xfId="7" applyNumberFormat="1" applyFont="1" applyBorder="1"/>
    <xf numFmtId="3" fontId="0" fillId="0" borderId="3" xfId="0" applyNumberFormat="1" applyBorder="1"/>
    <xf numFmtId="3" fontId="0" fillId="0" borderId="10" xfId="0" applyNumberFormat="1" applyBorder="1"/>
    <xf numFmtId="3" fontId="0" fillId="0" borderId="0" xfId="0" applyNumberFormat="1"/>
    <xf numFmtId="0" fontId="4" fillId="3" borderId="0" xfId="0" applyFont="1" applyFill="1"/>
    <xf numFmtId="165" fontId="4" fillId="3" borderId="0" xfId="7" applyNumberFormat="1" applyFont="1" applyFill="1"/>
    <xf numFmtId="165" fontId="4" fillId="3" borderId="0" xfId="7" applyNumberFormat="1" applyFont="1" applyFill="1" applyBorder="1"/>
    <xf numFmtId="0" fontId="0" fillId="0" borderId="9" xfId="0" applyBorder="1" applyAlignment="1">
      <alignment horizontal="center"/>
    </xf>
    <xf numFmtId="0" fontId="7" fillId="4" borderId="5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4" borderId="14" xfId="0" applyFont="1" applyFill="1" applyBorder="1" applyAlignment="1">
      <alignment horizontal="center" vertical="center"/>
    </xf>
    <xf numFmtId="3" fontId="4" fillId="0" borderId="8" xfId="0" applyNumberFormat="1" applyFont="1" applyBorder="1"/>
    <xf numFmtId="14" fontId="7" fillId="4" borderId="5" xfId="0" applyNumberFormat="1" applyFont="1" applyFill="1" applyBorder="1" applyAlignment="1">
      <alignment horizontal="center"/>
    </xf>
    <xf numFmtId="3" fontId="7" fillId="4" borderId="8" xfId="0" applyNumberFormat="1" applyFont="1" applyFill="1" applyBorder="1"/>
    <xf numFmtId="3" fontId="6" fillId="0" borderId="9" xfId="0" applyNumberFormat="1" applyFont="1" applyBorder="1"/>
    <xf numFmtId="3" fontId="4" fillId="0" borderId="0" xfId="7" applyNumberFormat="1" applyFont="1" applyBorder="1" applyAlignment="1">
      <alignment vertical="center"/>
    </xf>
    <xf numFmtId="3" fontId="4" fillId="0" borderId="8" xfId="0" applyNumberFormat="1" applyFont="1" applyBorder="1" applyAlignment="1">
      <alignment horizontal="center"/>
    </xf>
    <xf numFmtId="0" fontId="4" fillId="0" borderId="8" xfId="0" applyFont="1" applyBorder="1"/>
    <xf numFmtId="0" fontId="7" fillId="4" borderId="6" xfId="0" applyFont="1" applyFill="1" applyBorder="1" applyAlignment="1">
      <alignment horizontal="center"/>
    </xf>
    <xf numFmtId="0" fontId="4" fillId="0" borderId="2" xfId="0" applyFont="1" applyBorder="1"/>
    <xf numFmtId="1" fontId="4" fillId="0" borderId="9" xfId="7" applyNumberFormat="1" applyFont="1" applyBorder="1"/>
    <xf numFmtId="3" fontId="4" fillId="0" borderId="6" xfId="7" applyNumberFormat="1" applyFont="1" applyBorder="1"/>
    <xf numFmtId="14" fontId="0" fillId="0" borderId="2" xfId="0" applyNumberFormat="1" applyBorder="1"/>
    <xf numFmtId="0" fontId="9" fillId="0" borderId="13" xfId="0" applyFont="1" applyBorder="1"/>
    <xf numFmtId="0" fontId="4" fillId="0" borderId="5" xfId="0" applyFont="1" applyBorder="1" applyAlignment="1">
      <alignment horizontal="center"/>
    </xf>
    <xf numFmtId="14" fontId="0" fillId="0" borderId="9" xfId="0" applyNumberFormat="1" applyBorder="1"/>
    <xf numFmtId="3" fontId="4" fillId="0" borderId="6" xfId="0" applyNumberFormat="1" applyFont="1" applyBorder="1"/>
    <xf numFmtId="0" fontId="8" fillId="0" borderId="13" xfId="0" applyFont="1" applyBorder="1"/>
    <xf numFmtId="0" fontId="15" fillId="0" borderId="0" xfId="0" applyFont="1"/>
    <xf numFmtId="0" fontId="0" fillId="3" borderId="2" xfId="0" applyFill="1" applyBorder="1"/>
    <xf numFmtId="0" fontId="7" fillId="4" borderId="23" xfId="0" applyFont="1" applyFill="1" applyBorder="1" applyAlignment="1">
      <alignment horizontal="center"/>
    </xf>
    <xf numFmtId="165" fontId="7" fillId="4" borderId="14" xfId="7" applyNumberFormat="1" applyFont="1" applyFill="1" applyBorder="1" applyAlignment="1">
      <alignment horizontal="center"/>
    </xf>
    <xf numFmtId="165" fontId="0" fillId="3" borderId="9" xfId="7" applyNumberFormat="1" applyFont="1" applyFill="1" applyBorder="1"/>
    <xf numFmtId="165" fontId="4" fillId="3" borderId="6" xfId="7" applyNumberFormat="1" applyFont="1" applyFill="1" applyBorder="1"/>
    <xf numFmtId="0" fontId="4" fillId="3" borderId="2" xfId="0" applyFont="1" applyFill="1" applyBorder="1"/>
    <xf numFmtId="0" fontId="4" fillId="3" borderId="5" xfId="0" applyFont="1" applyFill="1" applyBorder="1" applyAlignment="1">
      <alignment horizontal="center"/>
    </xf>
    <xf numFmtId="165" fontId="4" fillId="3" borderId="6" xfId="7" applyNumberFormat="1" applyFont="1" applyFill="1" applyBorder="1" applyAlignment="1">
      <alignment horizontal="center"/>
    </xf>
    <xf numFmtId="0" fontId="0" fillId="3" borderId="23" xfId="0" applyFill="1" applyBorder="1"/>
    <xf numFmtId="165" fontId="0" fillId="3" borderId="14" xfId="7" applyNumberFormat="1" applyFont="1" applyFill="1" applyBorder="1"/>
    <xf numFmtId="165" fontId="3" fillId="3" borderId="8" xfId="7" applyNumberFormat="1" applyFont="1" applyFill="1" applyBorder="1"/>
    <xf numFmtId="3" fontId="4" fillId="0" borderId="7" xfId="0" applyNumberFormat="1" applyFont="1" applyBorder="1"/>
    <xf numFmtId="0" fontId="7" fillId="4" borderId="14" xfId="0" applyFont="1" applyFill="1" applyBorder="1" applyAlignment="1">
      <alignment horizontal="center"/>
    </xf>
    <xf numFmtId="0" fontId="13" fillId="0" borderId="0" xfId="0" applyFont="1"/>
    <xf numFmtId="4" fontId="0" fillId="0" borderId="0" xfId="7" applyNumberFormat="1" applyFont="1"/>
    <xf numFmtId="165" fontId="0" fillId="0" borderId="2" xfId="7" applyNumberFormat="1" applyFont="1" applyBorder="1"/>
    <xf numFmtId="165" fontId="0" fillId="0" borderId="0" xfId="7" applyNumberFormat="1" applyFont="1" applyBorder="1"/>
    <xf numFmtId="165" fontId="3" fillId="0" borderId="0" xfId="7" applyNumberFormat="1" applyFont="1"/>
    <xf numFmtId="10" fontId="3" fillId="0" borderId="0" xfId="12" applyNumberFormat="1" applyFont="1"/>
    <xf numFmtId="10" fontId="16" fillId="0" borderId="0" xfId="12" applyNumberFormat="1" applyFont="1" applyBorder="1"/>
    <xf numFmtId="10" fontId="16" fillId="0" borderId="9" xfId="12" applyNumberFormat="1" applyFont="1" applyBorder="1"/>
    <xf numFmtId="165" fontId="7" fillId="6" borderId="5" xfId="7" applyNumberFormat="1" applyFont="1" applyFill="1" applyBorder="1" applyAlignment="1">
      <alignment horizontal="center"/>
    </xf>
    <xf numFmtId="165" fontId="7" fillId="6" borderId="8" xfId="7" applyNumberFormat="1" applyFont="1" applyFill="1" applyBorder="1" applyAlignment="1">
      <alignment horizontal="center"/>
    </xf>
    <xf numFmtId="165" fontId="16" fillId="0" borderId="0" xfId="7" applyNumberFormat="1" applyFont="1"/>
    <xf numFmtId="165" fontId="7" fillId="6" borderId="7" xfId="7" applyNumberFormat="1" applyFont="1" applyFill="1" applyBorder="1" applyAlignment="1">
      <alignment horizontal="center"/>
    </xf>
    <xf numFmtId="4" fontId="16" fillId="0" borderId="0" xfId="7" applyNumberFormat="1" applyFont="1"/>
    <xf numFmtId="165" fontId="7" fillId="6" borderId="23" xfId="7" applyNumberFormat="1" applyFont="1" applyFill="1" applyBorder="1" applyAlignment="1">
      <alignment horizontal="center"/>
    </xf>
    <xf numFmtId="165" fontId="17" fillId="0" borderId="0" xfId="7" applyNumberFormat="1" applyFont="1" applyAlignment="1">
      <alignment horizontal="center"/>
    </xf>
    <xf numFmtId="165" fontId="7" fillId="6" borderId="0" xfId="7" applyNumberFormat="1" applyFont="1" applyFill="1" applyBorder="1" applyAlignment="1">
      <alignment horizontal="center"/>
    </xf>
    <xf numFmtId="4" fontId="0" fillId="0" borderId="0" xfId="7" applyNumberFormat="1" applyFont="1" applyBorder="1"/>
    <xf numFmtId="165" fontId="3" fillId="0" borderId="0" xfId="7" applyNumberFormat="1" applyFont="1" applyBorder="1"/>
    <xf numFmtId="165" fontId="19" fillId="0" borderId="0" xfId="7" applyNumberFormat="1" applyFont="1" applyAlignment="1"/>
    <xf numFmtId="165" fontId="20" fillId="0" borderId="0" xfId="7" applyNumberFormat="1" applyFont="1" applyAlignment="1">
      <alignment vertical="center"/>
    </xf>
    <xf numFmtId="165" fontId="19" fillId="0" borderId="0" xfId="7" applyNumberFormat="1" applyFont="1" applyAlignment="1">
      <alignment horizontal="left"/>
    </xf>
    <xf numFmtId="14" fontId="19" fillId="0" borderId="0" xfId="7" applyNumberFormat="1" applyFont="1" applyAlignment="1">
      <alignment horizontal="left"/>
    </xf>
    <xf numFmtId="165" fontId="19" fillId="4" borderId="0" xfId="7" applyNumberFormat="1" applyFont="1" applyFill="1" applyBorder="1" applyAlignment="1">
      <alignment horizontal="center"/>
    </xf>
    <xf numFmtId="165" fontId="19" fillId="0" borderId="0" xfId="7" applyNumberFormat="1" applyFont="1" applyFill="1" applyBorder="1" applyAlignment="1">
      <alignment horizontal="right"/>
    </xf>
    <xf numFmtId="165" fontId="19" fillId="0" borderId="0" xfId="7" applyNumberFormat="1" applyFont="1" applyAlignment="1">
      <alignment horizontal="center" vertical="center"/>
    </xf>
    <xf numFmtId="165" fontId="19" fillId="4" borderId="0" xfId="7" applyNumberFormat="1" applyFont="1" applyFill="1" applyAlignment="1">
      <alignment vertical="center"/>
    </xf>
    <xf numFmtId="165" fontId="19" fillId="0" borderId="0" xfId="7" applyNumberFormat="1" applyFont="1" applyFill="1" applyBorder="1" applyAlignment="1"/>
    <xf numFmtId="165" fontId="19" fillId="5" borderId="0" xfId="7" applyNumberFormat="1" applyFont="1" applyFill="1" applyBorder="1" applyAlignment="1">
      <alignment horizontal="center"/>
    </xf>
    <xf numFmtId="165" fontId="19" fillId="0" borderId="0" xfId="7" applyNumberFormat="1" applyFont="1" applyAlignment="1">
      <alignment horizontal="left" vertical="top"/>
    </xf>
    <xf numFmtId="165" fontId="22" fillId="0" borderId="13" xfId="7" applyNumberFormat="1" applyFont="1" applyBorder="1" applyAlignment="1"/>
    <xf numFmtId="14" fontId="22" fillId="0" borderId="13" xfId="7" applyNumberFormat="1" applyFont="1" applyBorder="1" applyAlignment="1"/>
    <xf numFmtId="165" fontId="20" fillId="0" borderId="0" xfId="7" applyNumberFormat="1" applyFont="1" applyFill="1" applyBorder="1" applyAlignment="1">
      <alignment horizontal="right"/>
    </xf>
    <xf numFmtId="165" fontId="22" fillId="0" borderId="13" xfId="7" applyNumberFormat="1" applyFont="1" applyBorder="1" applyAlignment="1">
      <alignment vertical="center"/>
    </xf>
    <xf numFmtId="165" fontId="19" fillId="0" borderId="0" xfId="7" applyNumberFormat="1" applyFont="1" applyAlignment="1">
      <alignment horizontal="right"/>
    </xf>
    <xf numFmtId="165" fontId="23" fillId="0" borderId="13" xfId="7" applyNumberFormat="1" applyFont="1" applyFill="1" applyBorder="1" applyAlignment="1"/>
    <xf numFmtId="10" fontId="19" fillId="0" borderId="0" xfId="12" applyNumberFormat="1" applyFont="1" applyFill="1" applyBorder="1" applyAlignment="1">
      <alignment horizontal="right"/>
    </xf>
    <xf numFmtId="165" fontId="23" fillId="0" borderId="0" xfId="7" applyNumberFormat="1" applyFont="1" applyBorder="1" applyAlignment="1">
      <alignment horizontal="center" vertical="center"/>
    </xf>
    <xf numFmtId="165" fontId="20" fillId="0" borderId="0" xfId="7" applyNumberFormat="1" applyFont="1" applyBorder="1" applyAlignment="1">
      <alignment horizontal="center"/>
    </xf>
    <xf numFmtId="165" fontId="19" fillId="0" borderId="0" xfId="7" applyNumberFormat="1" applyFont="1" applyAlignment="1">
      <alignment horizontal="left" vertical="center"/>
    </xf>
    <xf numFmtId="165" fontId="19" fillId="0" borderId="0" xfId="7" applyNumberFormat="1" applyFont="1" applyBorder="1" applyAlignment="1">
      <alignment horizontal="right"/>
    </xf>
    <xf numFmtId="165" fontId="19" fillId="0" borderId="0" xfId="7" applyNumberFormat="1" applyFont="1" applyBorder="1" applyAlignment="1"/>
    <xf numFmtId="165" fontId="19" fillId="0" borderId="0" xfId="7" applyNumberFormat="1" applyFont="1" applyAlignment="1">
      <alignment horizontal="center"/>
    </xf>
    <xf numFmtId="165" fontId="20" fillId="0" borderId="0" xfId="7" applyNumberFormat="1" applyFont="1" applyAlignment="1">
      <alignment horizontal="right"/>
    </xf>
    <xf numFmtId="165" fontId="20" fillId="0" borderId="0" xfId="7" applyNumberFormat="1" applyFont="1" applyAlignment="1"/>
    <xf numFmtId="165" fontId="19" fillId="0" borderId="0" xfId="7" applyNumberFormat="1" applyFont="1" applyAlignment="1">
      <alignment horizontal="right" vertical="center"/>
    </xf>
    <xf numFmtId="165" fontId="24" fillId="0" borderId="0" xfId="7" applyNumberFormat="1" applyFont="1" applyBorder="1" applyAlignment="1">
      <alignment horizontal="right"/>
    </xf>
    <xf numFmtId="165" fontId="19" fillId="0" borderId="1" xfId="7" applyNumberFormat="1" applyFont="1" applyBorder="1" applyAlignment="1"/>
    <xf numFmtId="165" fontId="19" fillId="0" borderId="0" xfId="7" applyNumberFormat="1" applyFont="1" applyBorder="1" applyAlignment="1">
      <alignment horizontal="center" vertical="center"/>
    </xf>
    <xf numFmtId="165" fontId="1" fillId="0" borderId="0" xfId="7" applyNumberFormat="1" applyFont="1" applyAlignment="1"/>
    <xf numFmtId="165" fontId="1" fillId="0" borderId="0" xfId="7" applyNumberFormat="1" applyFont="1" applyAlignment="1">
      <alignment horizontal="right"/>
    </xf>
    <xf numFmtId="165" fontId="3" fillId="0" borderId="0" xfId="7" applyNumberFormat="1" applyFont="1" applyBorder="1" applyAlignment="1"/>
    <xf numFmtId="165" fontId="25" fillId="6" borderId="5" xfId="7" applyNumberFormat="1" applyFont="1" applyFill="1" applyBorder="1" applyAlignment="1">
      <alignment horizontal="center" vertical="center"/>
    </xf>
    <xf numFmtId="165" fontId="25" fillId="6" borderId="8" xfId="7" applyNumberFormat="1" applyFont="1" applyFill="1" applyBorder="1" applyAlignment="1">
      <alignment horizontal="center" vertical="center"/>
    </xf>
    <xf numFmtId="165" fontId="25" fillId="6" borderId="7" xfId="7" applyNumberFormat="1" applyFont="1" applyFill="1" applyBorder="1" applyAlignment="1">
      <alignment horizontal="center" vertical="center"/>
    </xf>
    <xf numFmtId="14" fontId="25" fillId="6" borderId="8" xfId="7" applyNumberFormat="1" applyFont="1" applyFill="1" applyBorder="1" applyAlignment="1">
      <alignment horizontal="center" vertical="center"/>
    </xf>
    <xf numFmtId="165" fontId="25" fillId="6" borderId="6" xfId="7" applyNumberFormat="1" applyFont="1" applyFill="1" applyBorder="1" applyAlignment="1">
      <alignment horizontal="center" vertical="center"/>
    </xf>
    <xf numFmtId="165" fontId="25" fillId="6" borderId="0" xfId="7" applyNumberFormat="1" applyFont="1" applyFill="1" applyBorder="1" applyAlignment="1">
      <alignment horizontal="center" vertical="center"/>
    </xf>
    <xf numFmtId="165" fontId="25" fillId="6" borderId="19" xfId="7" applyNumberFormat="1" applyFont="1" applyFill="1" applyBorder="1" applyAlignment="1">
      <alignment horizontal="center" vertical="center"/>
    </xf>
    <xf numFmtId="165" fontId="20" fillId="0" borderId="0" xfId="7" applyNumberFormat="1" applyFont="1" applyAlignment="1">
      <alignment horizontal="center" vertical="center"/>
    </xf>
    <xf numFmtId="165" fontId="11" fillId="0" borderId="20" xfId="7" applyNumberFormat="1" applyFont="1" applyBorder="1" applyAlignment="1">
      <alignment horizontal="center"/>
    </xf>
    <xf numFmtId="17" fontId="11" fillId="0" borderId="21" xfId="7" applyNumberFormat="1" applyFont="1" applyBorder="1" applyAlignment="1">
      <alignment horizontal="center"/>
    </xf>
    <xf numFmtId="14" fontId="11" fillId="0" borderId="20" xfId="7" applyNumberFormat="1" applyFont="1" applyBorder="1" applyAlignment="1">
      <alignment horizontal="left"/>
    </xf>
    <xf numFmtId="165" fontId="11" fillId="0" borderId="21" xfId="7" applyNumberFormat="1" applyFont="1" applyBorder="1" applyAlignment="1">
      <alignment horizontal="left"/>
    </xf>
    <xf numFmtId="165" fontId="11" fillId="0" borderId="22" xfId="7" applyNumberFormat="1" applyFont="1" applyBorder="1" applyAlignment="1">
      <alignment horizontal="left"/>
    </xf>
    <xf numFmtId="165" fontId="11" fillId="0" borderId="18" xfId="7" applyNumberFormat="1" applyFont="1" applyFill="1" applyBorder="1" applyAlignment="1"/>
    <xf numFmtId="165" fontId="11" fillId="0" borderId="19" xfId="7" applyNumberFormat="1" applyFont="1" applyFill="1" applyBorder="1" applyAlignment="1"/>
    <xf numFmtId="165" fontId="11" fillId="0" borderId="16" xfId="7" applyNumberFormat="1" applyFont="1" applyFill="1" applyBorder="1" applyAlignment="1"/>
    <xf numFmtId="165" fontId="11" fillId="0" borderId="15" xfId="7" applyNumberFormat="1" applyFont="1" applyFill="1" applyBorder="1" applyAlignment="1"/>
    <xf numFmtId="165" fontId="11" fillId="0" borderId="19" xfId="5" applyNumberFormat="1" applyFont="1" applyFill="1" applyBorder="1" applyAlignment="1"/>
    <xf numFmtId="165" fontId="11" fillId="0" borderId="18" xfId="5" applyNumberFormat="1" applyFont="1" applyFill="1" applyBorder="1" applyAlignment="1"/>
    <xf numFmtId="165" fontId="11" fillId="0" borderId="18" xfId="7" applyNumberFormat="1" applyFont="1" applyFill="1" applyBorder="1" applyAlignment="1">
      <alignment horizontal="right"/>
    </xf>
    <xf numFmtId="14" fontId="11" fillId="0" borderId="22" xfId="7" applyNumberFormat="1" applyFont="1" applyBorder="1" applyAlignment="1"/>
    <xf numFmtId="165" fontId="11" fillId="0" borderId="21" xfId="7" applyNumberFormat="1" applyFont="1" applyFill="1" applyBorder="1" applyAlignment="1">
      <alignment horizontal="left"/>
    </xf>
    <xf numFmtId="165" fontId="11" fillId="0" borderId="22" xfId="7" applyNumberFormat="1" applyFont="1" applyFill="1" applyBorder="1" applyAlignment="1">
      <alignment horizontal="left"/>
    </xf>
    <xf numFmtId="165" fontId="11" fillId="0" borderId="21" xfId="7" applyNumberFormat="1" applyFont="1" applyFill="1" applyBorder="1" applyAlignment="1"/>
    <xf numFmtId="165" fontId="11" fillId="0" borderId="21" xfId="7" applyNumberFormat="1" applyFont="1" applyBorder="1" applyAlignment="1"/>
    <xf numFmtId="165" fontId="11" fillId="0" borderId="22" xfId="7" applyNumberFormat="1" applyFont="1" applyFill="1" applyBorder="1" applyAlignment="1"/>
    <xf numFmtId="165" fontId="11" fillId="0" borderId="22" xfId="7" applyNumberFormat="1" applyFont="1" applyBorder="1" applyAlignment="1"/>
    <xf numFmtId="165" fontId="11" fillId="0" borderId="19" xfId="7" applyNumberFormat="1" applyFont="1" applyBorder="1" applyAlignment="1"/>
    <xf numFmtId="165" fontId="11" fillId="0" borderId="18" xfId="7" applyNumberFormat="1" applyFont="1" applyBorder="1" applyAlignment="1"/>
    <xf numFmtId="165" fontId="11" fillId="0" borderId="16" xfId="7" applyNumberFormat="1" applyFont="1" applyFill="1" applyBorder="1" applyAlignment="1">
      <alignment horizontal="center"/>
    </xf>
    <xf numFmtId="165" fontId="11" fillId="0" borderId="15" xfId="7" applyNumberFormat="1" applyFont="1" applyBorder="1" applyAlignment="1"/>
    <xf numFmtId="165" fontId="11" fillId="0" borderId="17" xfId="7" applyNumberFormat="1" applyFont="1" applyFill="1" applyBorder="1" applyAlignment="1"/>
    <xf numFmtId="10" fontId="11" fillId="0" borderId="17" xfId="12" applyNumberFormat="1" applyFont="1" applyFill="1" applyBorder="1" applyAlignment="1"/>
    <xf numFmtId="165" fontId="11" fillId="0" borderId="16" xfId="7" applyNumberFormat="1" applyFont="1" applyBorder="1" applyAlignment="1"/>
    <xf numFmtId="165" fontId="11" fillId="0" borderId="21" xfId="5" applyNumberFormat="1" applyFont="1" applyFill="1" applyBorder="1" applyAlignment="1"/>
    <xf numFmtId="165" fontId="11" fillId="0" borderId="0" xfId="7" applyNumberFormat="1" applyFont="1" applyAlignment="1">
      <alignment horizontal="center" vertical="center"/>
    </xf>
    <xf numFmtId="165" fontId="11" fillId="0" borderId="0" xfId="7" applyNumberFormat="1" applyFont="1" applyAlignment="1"/>
    <xf numFmtId="14" fontId="11" fillId="0" borderId="21" xfId="7" applyNumberFormat="1" applyFont="1" applyBorder="1" applyAlignment="1">
      <alignment horizontal="left"/>
    </xf>
    <xf numFmtId="165" fontId="11" fillId="0" borderId="25" xfId="7" applyNumberFormat="1" applyFont="1" applyBorder="1" applyAlignment="1">
      <alignment horizontal="left"/>
    </xf>
    <xf numFmtId="165" fontId="11" fillId="0" borderId="25" xfId="7" applyNumberFormat="1" applyFont="1" applyFill="1" applyBorder="1" applyAlignment="1"/>
    <xf numFmtId="165" fontId="11" fillId="0" borderId="21" xfId="7" applyNumberFormat="1" applyFont="1" applyFill="1" applyBorder="1" applyAlignment="1">
      <alignment horizontal="center"/>
    </xf>
    <xf numFmtId="165" fontId="26" fillId="0" borderId="5" xfId="7" applyNumberFormat="1" applyFont="1" applyFill="1" applyBorder="1" applyAlignment="1"/>
    <xf numFmtId="165" fontId="26" fillId="0" borderId="7" xfId="7" applyNumberFormat="1" applyFont="1" applyFill="1" applyBorder="1" applyAlignment="1"/>
    <xf numFmtId="165" fontId="26" fillId="0" borderId="7" xfId="7" applyNumberFormat="1" applyFont="1" applyBorder="1" applyAlignment="1">
      <alignment horizontal="left"/>
    </xf>
    <xf numFmtId="14" fontId="26" fillId="0" borderId="7" xfId="7" applyNumberFormat="1" applyFont="1" applyFill="1" applyBorder="1" applyAlignment="1"/>
    <xf numFmtId="165" fontId="11" fillId="0" borderId="8" xfId="7" applyNumberFormat="1" applyFont="1" applyBorder="1" applyAlignment="1">
      <alignment horizontal="left"/>
    </xf>
    <xf numFmtId="165" fontId="26" fillId="0" borderId="7" xfId="7" applyNumberFormat="1" applyFont="1" applyBorder="1" applyAlignment="1">
      <alignment horizontal="left" vertical="top"/>
    </xf>
    <xf numFmtId="165" fontId="26" fillId="0" borderId="7" xfId="7" applyNumberFormat="1" applyFont="1" applyFill="1" applyBorder="1" applyAlignment="1">
      <alignment horizontal="right"/>
    </xf>
    <xf numFmtId="165" fontId="26" fillId="0" borderId="7" xfId="7" applyNumberFormat="1" applyFont="1" applyBorder="1" applyAlignment="1">
      <alignment horizontal="right"/>
    </xf>
    <xf numFmtId="165" fontId="26" fillId="0" borderId="7" xfId="7" applyNumberFormat="1" applyFont="1" applyBorder="1" applyAlignment="1">
      <alignment horizontal="left" vertical="center"/>
    </xf>
    <xf numFmtId="165" fontId="26" fillId="0" borderId="7" xfId="7" applyNumberFormat="1" applyFont="1" applyBorder="1" applyAlignment="1">
      <alignment horizontal="center" vertical="center"/>
    </xf>
    <xf numFmtId="165" fontId="26" fillId="0" borderId="7" xfId="7" applyNumberFormat="1" applyFont="1" applyBorder="1" applyAlignment="1">
      <alignment horizontal="center"/>
    </xf>
    <xf numFmtId="165" fontId="26" fillId="0" borderId="6" xfId="7" applyNumberFormat="1" applyFont="1" applyFill="1" applyBorder="1" applyAlignment="1">
      <alignment horizontal="right"/>
    </xf>
    <xf numFmtId="165" fontId="26" fillId="0" borderId="7" xfId="7" applyNumberFormat="1" applyFont="1" applyBorder="1" applyAlignment="1">
      <alignment horizontal="right" vertical="center"/>
    </xf>
    <xf numFmtId="165" fontId="26" fillId="0" borderId="0" xfId="7" applyNumberFormat="1" applyFont="1" applyFill="1" applyBorder="1" applyAlignment="1"/>
    <xf numFmtId="165" fontId="11" fillId="0" borderId="0" xfId="7" applyNumberFormat="1" applyFont="1" applyFill="1" applyBorder="1" applyAlignment="1"/>
    <xf numFmtId="165" fontId="11" fillId="0" borderId="0" xfId="7" applyNumberFormat="1" applyFont="1" applyAlignment="1">
      <alignment horizontal="left" vertical="top"/>
    </xf>
    <xf numFmtId="165" fontId="11" fillId="0" borderId="0" xfId="7" applyNumberFormat="1" applyFont="1" applyAlignment="1">
      <alignment horizontal="left"/>
    </xf>
    <xf numFmtId="14" fontId="11" fillId="0" borderId="0" xfId="7" applyNumberFormat="1" applyFont="1" applyAlignment="1">
      <alignment horizontal="left" vertical="top"/>
    </xf>
    <xf numFmtId="165" fontId="11" fillId="0" borderId="0" xfId="7" applyNumberFormat="1" applyFont="1" applyAlignment="1">
      <alignment horizontal="left" vertical="center"/>
    </xf>
    <xf numFmtId="165" fontId="11" fillId="7" borderId="0" xfId="7" applyNumberFormat="1" applyFont="1" applyFill="1" applyBorder="1" applyAlignment="1">
      <alignment horizontal="center"/>
    </xf>
    <xf numFmtId="165" fontId="11" fillId="0" borderId="0" xfId="7" applyNumberFormat="1" applyFont="1" applyBorder="1" applyAlignment="1">
      <alignment horizontal="center"/>
    </xf>
    <xf numFmtId="165" fontId="11" fillId="0" borderId="0" xfId="7" applyNumberFormat="1" applyFont="1" applyBorder="1" applyAlignment="1">
      <alignment horizontal="right"/>
    </xf>
    <xf numFmtId="165" fontId="11" fillId="0" borderId="0" xfId="7" applyNumberFormat="1" applyFont="1" applyBorder="1" applyAlignment="1"/>
    <xf numFmtId="165" fontId="11" fillId="0" borderId="0" xfId="7" applyNumberFormat="1" applyFont="1" applyAlignment="1">
      <alignment horizontal="right"/>
    </xf>
    <xf numFmtId="165" fontId="11" fillId="0" borderId="0" xfId="7" applyNumberFormat="1" applyFont="1" applyAlignment="1">
      <alignment horizontal="center"/>
    </xf>
    <xf numFmtId="165" fontId="26" fillId="0" borderId="13" xfId="7" applyNumberFormat="1" applyFont="1" applyBorder="1" applyAlignment="1">
      <alignment horizontal="left"/>
    </xf>
    <xf numFmtId="10" fontId="11" fillId="0" borderId="0" xfId="12" applyNumberFormat="1" applyFont="1" applyAlignment="1"/>
    <xf numFmtId="10" fontId="11" fillId="0" borderId="0" xfId="12" applyNumberFormat="1" applyFont="1" applyBorder="1" applyAlignment="1"/>
    <xf numFmtId="10" fontId="11" fillId="0" borderId="1" xfId="12" applyNumberFormat="1" applyFont="1" applyBorder="1" applyAlignment="1"/>
    <xf numFmtId="165" fontId="12" fillId="0" borderId="0" xfId="7" applyNumberFormat="1" applyFont="1" applyAlignment="1">
      <alignment horizontal="right"/>
    </xf>
    <xf numFmtId="165" fontId="12" fillId="0" borderId="0" xfId="7" applyNumberFormat="1" applyFont="1" applyAlignment="1"/>
    <xf numFmtId="165" fontId="11" fillId="2" borderId="0" xfId="7" applyNumberFormat="1" applyFont="1" applyFill="1" applyAlignment="1"/>
    <xf numFmtId="165" fontId="12" fillId="0" borderId="0" xfId="7" applyNumberFormat="1" applyFont="1" applyBorder="1" applyAlignment="1">
      <alignment horizontal="right"/>
    </xf>
    <xf numFmtId="165" fontId="11" fillId="0" borderId="0" xfId="7" applyNumberFormat="1" applyFont="1" applyAlignment="1">
      <alignment horizontal="right" vertical="center"/>
    </xf>
    <xf numFmtId="165" fontId="26" fillId="0" borderId="0" xfId="7" applyNumberFormat="1" applyFont="1" applyBorder="1" applyAlignment="1"/>
    <xf numFmtId="165" fontId="26" fillId="0" borderId="0" xfId="7" applyNumberFormat="1" applyFont="1" applyBorder="1" applyAlignment="1">
      <alignment horizontal="right"/>
    </xf>
    <xf numFmtId="165" fontId="11" fillId="0" borderId="1" xfId="7" applyNumberFormat="1" applyFont="1" applyBorder="1" applyAlignment="1"/>
    <xf numFmtId="14" fontId="11" fillId="0" borderId="0" xfId="7" applyNumberFormat="1" applyFont="1" applyAlignment="1">
      <alignment horizontal="left"/>
    </xf>
    <xf numFmtId="165" fontId="12" fillId="0" borderId="5" xfId="7" applyNumberFormat="1" applyFont="1" applyBorder="1" applyAlignment="1">
      <alignment horizontal="center" vertical="center"/>
    </xf>
    <xf numFmtId="165" fontId="12" fillId="0" borderId="8" xfId="7" applyNumberFormat="1" applyFont="1" applyBorder="1" applyAlignment="1">
      <alignment horizontal="center" vertical="center"/>
    </xf>
    <xf numFmtId="165" fontId="27" fillId="0" borderId="0" xfId="7" applyNumberFormat="1" applyFont="1" applyAlignment="1"/>
    <xf numFmtId="165" fontId="12" fillId="0" borderId="6" xfId="7" applyNumberFormat="1" applyFont="1" applyBorder="1" applyAlignment="1">
      <alignment horizontal="center" vertical="center"/>
    </xf>
    <xf numFmtId="165" fontId="12" fillId="0" borderId="8" xfId="7" applyNumberFormat="1" applyFont="1" applyBorder="1" applyAlignment="1">
      <alignment horizontal="center"/>
    </xf>
    <xf numFmtId="165" fontId="12" fillId="0" borderId="0" xfId="7" applyNumberFormat="1" applyFont="1" applyBorder="1" applyAlignment="1">
      <alignment horizontal="center"/>
    </xf>
    <xf numFmtId="165" fontId="11" fillId="0" borderId="2" xfId="7" applyNumberFormat="1" applyFont="1" applyBorder="1" applyAlignment="1">
      <alignment horizontal="center"/>
    </xf>
    <xf numFmtId="165" fontId="12" fillId="0" borderId="9" xfId="7" applyNumberFormat="1" applyFont="1" applyBorder="1" applyAlignment="1">
      <alignment horizontal="center"/>
    </xf>
    <xf numFmtId="165" fontId="12" fillId="0" borderId="11" xfId="7" applyNumberFormat="1" applyFont="1" applyFill="1" applyBorder="1" applyAlignment="1"/>
    <xf numFmtId="165" fontId="12" fillId="0" borderId="9" xfId="7" applyNumberFormat="1" applyFont="1" applyBorder="1" applyAlignment="1"/>
    <xf numFmtId="165" fontId="12" fillId="0" borderId="0" xfId="7" applyNumberFormat="1" applyFont="1" applyBorder="1" applyAlignment="1"/>
    <xf numFmtId="14" fontId="12" fillId="0" borderId="0" xfId="7" applyNumberFormat="1" applyFont="1" applyAlignment="1">
      <alignment horizontal="left"/>
    </xf>
    <xf numFmtId="165" fontId="12" fillId="2" borderId="3" xfId="7" applyNumberFormat="1" applyFont="1" applyFill="1" applyBorder="1" applyAlignment="1"/>
    <xf numFmtId="165" fontId="12" fillId="0" borderId="9" xfId="7" applyNumberFormat="1" applyFont="1" applyBorder="1" applyAlignment="1">
      <alignment horizontal="right"/>
    </xf>
    <xf numFmtId="165" fontId="26" fillId="0" borderId="9" xfId="7" applyNumberFormat="1" applyFont="1" applyBorder="1" applyAlignment="1"/>
    <xf numFmtId="165" fontId="26" fillId="0" borderId="3" xfId="7" applyNumberFormat="1" applyFont="1" applyBorder="1" applyAlignment="1"/>
    <xf numFmtId="165" fontId="12" fillId="0" borderId="3" xfId="7" applyNumberFormat="1" applyFont="1" applyFill="1" applyBorder="1" applyAlignment="1"/>
    <xf numFmtId="165" fontId="11" fillId="0" borderId="0" xfId="7" applyNumberFormat="1" applyFont="1" applyFill="1" applyAlignment="1"/>
    <xf numFmtId="165" fontId="11" fillId="0" borderId="0" xfId="7" applyNumberFormat="1" applyFont="1" applyFill="1" applyBorder="1" applyAlignment="1">
      <alignment horizontal="right"/>
    </xf>
    <xf numFmtId="165" fontId="12" fillId="0" borderId="3" xfId="7" applyNumberFormat="1" applyFont="1" applyBorder="1" applyAlignment="1"/>
    <xf numFmtId="165" fontId="12" fillId="0" borderId="10" xfId="7" applyNumberFormat="1" applyFont="1" applyBorder="1" applyAlignment="1"/>
    <xf numFmtId="165" fontId="26" fillId="0" borderId="5" xfId="7" applyNumberFormat="1" applyFont="1" applyBorder="1" applyAlignment="1">
      <alignment horizontal="center"/>
    </xf>
    <xf numFmtId="165" fontId="26" fillId="0" borderId="6" xfId="7" applyNumberFormat="1" applyFont="1" applyBorder="1" applyAlignment="1"/>
    <xf numFmtId="165" fontId="26" fillId="0" borderId="8" xfId="7" applyNumberFormat="1" applyFont="1" applyBorder="1" applyAlignment="1"/>
    <xf numFmtId="10" fontId="12" fillId="0" borderId="0" xfId="12" applyNumberFormat="1" applyFont="1" applyAlignment="1">
      <alignment horizontal="right"/>
    </xf>
    <xf numFmtId="10" fontId="12" fillId="0" borderId="0" xfId="12" applyNumberFormat="1" applyFont="1" applyAlignment="1"/>
    <xf numFmtId="165" fontId="12" fillId="0" borderId="0" xfId="7" applyNumberFormat="1" applyFont="1" applyFill="1" applyBorder="1" applyAlignment="1"/>
    <xf numFmtId="165" fontId="12" fillId="0" borderId="2" xfId="7" applyNumberFormat="1" applyFont="1" applyBorder="1" applyAlignment="1"/>
    <xf numFmtId="0" fontId="7" fillId="4" borderId="27" xfId="0" applyFont="1" applyFill="1" applyBorder="1" applyAlignment="1">
      <alignment horizontal="center" vertical="center"/>
    </xf>
    <xf numFmtId="0" fontId="7" fillId="4" borderId="28" xfId="0" applyFont="1" applyFill="1" applyBorder="1" applyAlignment="1">
      <alignment horizontal="center" vertical="center"/>
    </xf>
    <xf numFmtId="4" fontId="0" fillId="0" borderId="29" xfId="0" applyNumberFormat="1" applyBorder="1"/>
    <xf numFmtId="0" fontId="0" fillId="0" borderId="30" xfId="0" applyBorder="1"/>
    <xf numFmtId="0" fontId="0" fillId="0" borderId="31" xfId="0" applyBorder="1"/>
    <xf numFmtId="0" fontId="7" fillId="4" borderId="32" xfId="0" applyFont="1" applyFill="1" applyBorder="1" applyAlignment="1">
      <alignment horizontal="center" vertical="center"/>
    </xf>
    <xf numFmtId="165" fontId="0" fillId="0" borderId="33" xfId="0" applyNumberFormat="1" applyBorder="1"/>
    <xf numFmtId="165" fontId="0" fillId="0" borderId="34" xfId="7" applyNumberFormat="1" applyFont="1" applyBorder="1"/>
    <xf numFmtId="165" fontId="0" fillId="0" borderId="35" xfId="7" applyNumberFormat="1" applyFont="1" applyBorder="1"/>
    <xf numFmtId="165" fontId="0" fillId="0" borderId="36" xfId="7" applyNumberFormat="1" applyFont="1" applyBorder="1"/>
    <xf numFmtId="0" fontId="28" fillId="0" borderId="0" xfId="1" applyFont="1" applyAlignment="1">
      <alignment horizontal="left" indent="1"/>
    </xf>
    <xf numFmtId="0" fontId="28" fillId="0" borderId="0" xfId="1" applyFont="1"/>
    <xf numFmtId="43" fontId="28" fillId="0" borderId="0" xfId="7" applyFont="1"/>
    <xf numFmtId="17" fontId="29" fillId="0" borderId="0" xfId="1" applyNumberFormat="1" applyFont="1" applyAlignment="1">
      <alignment horizontal="center"/>
    </xf>
    <xf numFmtId="0" fontId="30" fillId="6" borderId="23" xfId="1" applyFont="1" applyFill="1" applyBorder="1" applyAlignment="1">
      <alignment horizontal="center"/>
    </xf>
    <xf numFmtId="17" fontId="30" fillId="6" borderId="14" xfId="1" applyNumberFormat="1" applyFont="1" applyFill="1" applyBorder="1" applyAlignment="1">
      <alignment horizontal="center" vertical="center"/>
    </xf>
    <xf numFmtId="17" fontId="30" fillId="6" borderId="12" xfId="1" applyNumberFormat="1" applyFont="1" applyFill="1" applyBorder="1" applyAlignment="1">
      <alignment horizontal="center" vertical="center"/>
    </xf>
    <xf numFmtId="0" fontId="30" fillId="6" borderId="14" xfId="1" applyFont="1" applyFill="1" applyBorder="1" applyAlignment="1">
      <alignment horizontal="center" vertical="center"/>
    </xf>
    <xf numFmtId="0" fontId="28" fillId="0" borderId="2" xfId="1" applyFont="1" applyBorder="1" applyAlignment="1">
      <alignment horizontal="left" indent="1"/>
    </xf>
    <xf numFmtId="164" fontId="28" fillId="0" borderId="9" xfId="2" applyNumberFormat="1" applyFont="1" applyBorder="1" applyAlignment="1"/>
    <xf numFmtId="164" fontId="28" fillId="0" borderId="0" xfId="1" applyNumberFormat="1" applyFont="1"/>
    <xf numFmtId="165" fontId="28" fillId="0" borderId="9" xfId="7" applyNumberFormat="1" applyFont="1" applyBorder="1" applyAlignment="1"/>
    <xf numFmtId="165" fontId="28" fillId="0" borderId="0" xfId="7" applyNumberFormat="1" applyFont="1" applyBorder="1"/>
    <xf numFmtId="43" fontId="28" fillId="0" borderId="0" xfId="7" applyFont="1" applyBorder="1"/>
    <xf numFmtId="164" fontId="28" fillId="0" borderId="0" xfId="2" applyNumberFormat="1" applyFont="1" applyBorder="1"/>
    <xf numFmtId="0" fontId="31" fillId="0" borderId="2" xfId="1" applyFont="1" applyBorder="1" applyAlignment="1">
      <alignment horizontal="left" indent="1"/>
    </xf>
    <xf numFmtId="43" fontId="28" fillId="0" borderId="0" xfId="1" applyNumberFormat="1" applyFont="1"/>
    <xf numFmtId="0" fontId="32" fillId="0" borderId="2" xfId="1" applyFont="1" applyBorder="1" applyAlignment="1">
      <alignment horizontal="left" indent="1"/>
    </xf>
    <xf numFmtId="10" fontId="32" fillId="0" borderId="9" xfId="3" applyNumberFormat="1" applyFont="1" applyBorder="1" applyAlignment="1"/>
    <xf numFmtId="165" fontId="28" fillId="0" borderId="0" xfId="1" applyNumberFormat="1" applyFont="1"/>
    <xf numFmtId="165" fontId="28" fillId="0" borderId="9" xfId="2" applyNumberFormat="1" applyFont="1" applyBorder="1" applyAlignment="1"/>
    <xf numFmtId="165" fontId="28" fillId="0" borderId="0" xfId="2" applyNumberFormat="1" applyFont="1" applyBorder="1" applyAlignment="1"/>
    <xf numFmtId="165" fontId="28" fillId="0" borderId="2" xfId="2" applyNumberFormat="1" applyFont="1" applyBorder="1" applyAlignment="1"/>
    <xf numFmtId="0" fontId="30" fillId="6" borderId="23" xfId="1" applyFont="1" applyFill="1" applyBorder="1" applyAlignment="1">
      <alignment horizontal="center" vertical="center"/>
    </xf>
    <xf numFmtId="0" fontId="28" fillId="0" borderId="2" xfId="0" applyFont="1" applyBorder="1" applyAlignment="1">
      <alignment horizontal="left" indent="1"/>
    </xf>
    <xf numFmtId="3" fontId="28" fillId="0" borderId="9" xfId="12" applyNumberFormat="1" applyFont="1" applyBorder="1" applyAlignment="1">
      <alignment horizontal="center"/>
    </xf>
    <xf numFmtId="3" fontId="31" fillId="0" borderId="9" xfId="12" applyNumberFormat="1" applyFont="1" applyBorder="1" applyAlignment="1">
      <alignment horizontal="center"/>
    </xf>
    <xf numFmtId="3" fontId="31" fillId="0" borderId="0" xfId="12" applyNumberFormat="1" applyFont="1" applyBorder="1" applyAlignment="1">
      <alignment horizontal="center"/>
    </xf>
    <xf numFmtId="0" fontId="28" fillId="0" borderId="4" xfId="0" applyFont="1" applyBorder="1" applyAlignment="1">
      <alignment horizontal="left" indent="1"/>
    </xf>
    <xf numFmtId="10" fontId="31" fillId="0" borderId="10" xfId="12" applyNumberFormat="1" applyFont="1" applyBorder="1" applyAlignment="1">
      <alignment horizontal="center"/>
    </xf>
    <xf numFmtId="10" fontId="31" fillId="0" borderId="13" xfId="12" applyNumberFormat="1" applyFont="1" applyBorder="1" applyAlignment="1">
      <alignment horizontal="center"/>
    </xf>
    <xf numFmtId="9" fontId="31" fillId="0" borderId="9" xfId="3" applyFont="1" applyBorder="1" applyAlignment="1"/>
    <xf numFmtId="9" fontId="31" fillId="0" borderId="0" xfId="3" applyFont="1" applyBorder="1" applyAlignment="1"/>
    <xf numFmtId="0" fontId="28" fillId="0" borderId="4" xfId="1" applyFont="1" applyBorder="1" applyAlignment="1">
      <alignment horizontal="left" indent="1"/>
    </xf>
    <xf numFmtId="9" fontId="31" fillId="0" borderId="10" xfId="3" applyFont="1" applyBorder="1" applyAlignment="1"/>
    <xf numFmtId="9" fontId="31" fillId="0" borderId="13" xfId="3" applyFont="1" applyBorder="1" applyAlignment="1"/>
    <xf numFmtId="165" fontId="28" fillId="0" borderId="10" xfId="2" applyNumberFormat="1" applyFont="1" applyBorder="1" applyAlignment="1"/>
    <xf numFmtId="164" fontId="28" fillId="0" borderId="9" xfId="2" applyNumberFormat="1" applyFont="1" applyBorder="1"/>
    <xf numFmtId="10" fontId="31" fillId="0" borderId="9" xfId="12" applyNumberFormat="1" applyFont="1" applyBorder="1" applyAlignment="1"/>
    <xf numFmtId="10" fontId="31" fillId="0" borderId="0" xfId="12" applyNumberFormat="1" applyFont="1" applyBorder="1" applyAlignment="1"/>
    <xf numFmtId="165" fontId="28" fillId="0" borderId="13" xfId="2" applyNumberFormat="1" applyFont="1" applyBorder="1" applyAlignment="1"/>
    <xf numFmtId="165" fontId="28" fillId="0" borderId="0" xfId="7" applyNumberFormat="1" applyFont="1"/>
    <xf numFmtId="165" fontId="28" fillId="0" borderId="9" xfId="7" applyNumberFormat="1" applyFont="1" applyBorder="1" applyAlignment="1">
      <alignment horizontal="center"/>
    </xf>
    <xf numFmtId="3" fontId="28" fillId="0" borderId="3" xfId="12" applyNumberFormat="1" applyFont="1" applyBorder="1" applyAlignment="1">
      <alignment horizontal="center"/>
    </xf>
    <xf numFmtId="3" fontId="28" fillId="0" borderId="0" xfId="1" applyNumberFormat="1" applyFont="1"/>
    <xf numFmtId="165" fontId="28" fillId="0" borderId="10" xfId="7" applyNumberFormat="1" applyFont="1" applyBorder="1" applyAlignment="1">
      <alignment horizontal="center"/>
    </xf>
    <xf numFmtId="3" fontId="28" fillId="0" borderId="24" xfId="12" applyNumberFormat="1" applyFont="1" applyBorder="1" applyAlignment="1">
      <alignment horizontal="center"/>
    </xf>
    <xf numFmtId="165" fontId="28" fillId="0" borderId="9" xfId="7" applyNumberFormat="1" applyFont="1" applyBorder="1"/>
    <xf numFmtId="43" fontId="11" fillId="0" borderId="22" xfId="7" applyFont="1" applyBorder="1" applyAlignment="1">
      <alignment horizontal="left"/>
    </xf>
    <xf numFmtId="164" fontId="28" fillId="0" borderId="10" xfId="2" applyNumberFormat="1" applyFont="1" applyBorder="1" applyAlignment="1"/>
    <xf numFmtId="0" fontId="33" fillId="8" borderId="14" xfId="1" applyFont="1" applyFill="1" applyBorder="1" applyAlignment="1">
      <alignment horizontal="center" vertical="center"/>
    </xf>
    <xf numFmtId="17" fontId="33" fillId="8" borderId="12" xfId="1" applyNumberFormat="1" applyFont="1" applyFill="1" applyBorder="1" applyAlignment="1">
      <alignment horizontal="center" vertical="center"/>
    </xf>
    <xf numFmtId="17" fontId="33" fillId="8" borderId="11" xfId="1" applyNumberFormat="1" applyFont="1" applyFill="1" applyBorder="1" applyAlignment="1">
      <alignment horizontal="center" vertical="center"/>
    </xf>
    <xf numFmtId="0" fontId="34" fillId="0" borderId="10" xfId="1" applyFont="1" applyBorder="1" applyAlignment="1">
      <alignment horizontal="left" indent="1"/>
    </xf>
    <xf numFmtId="164" fontId="34" fillId="0" borderId="10" xfId="2" applyNumberFormat="1" applyFont="1" applyFill="1" applyBorder="1" applyAlignment="1"/>
    <xf numFmtId="0" fontId="34" fillId="0" borderId="0" xfId="1" applyFont="1" applyAlignment="1">
      <alignment horizontal="left" indent="1"/>
    </xf>
    <xf numFmtId="165" fontId="34" fillId="0" borderId="0" xfId="7" applyNumberFormat="1" applyFont="1" applyFill="1" applyBorder="1"/>
    <xf numFmtId="0" fontId="34" fillId="0" borderId="0" xfId="1" applyFont="1"/>
    <xf numFmtId="17" fontId="33" fillId="8" borderId="14" xfId="1" applyNumberFormat="1" applyFont="1" applyFill="1" applyBorder="1" applyAlignment="1">
      <alignment horizontal="center" vertical="center"/>
    </xf>
    <xf numFmtId="165" fontId="34" fillId="0" borderId="23" xfId="7" applyNumberFormat="1" applyFont="1" applyFill="1" applyBorder="1"/>
    <xf numFmtId="164" fontId="34" fillId="0" borderId="14" xfId="2" applyNumberFormat="1" applyFont="1" applyFill="1" applyBorder="1" applyAlignment="1"/>
    <xf numFmtId="165" fontId="34" fillId="0" borderId="2" xfId="7" applyNumberFormat="1" applyFont="1" applyFill="1" applyBorder="1"/>
    <xf numFmtId="164" fontId="34" fillId="0" borderId="9" xfId="2" applyNumberFormat="1" applyFont="1" applyFill="1" applyBorder="1" applyAlignment="1"/>
    <xf numFmtId="165" fontId="34" fillId="0" borderId="4" xfId="7" applyNumberFormat="1" applyFont="1" applyFill="1" applyBorder="1"/>
    <xf numFmtId="43" fontId="34" fillId="0" borderId="0" xfId="7" applyFont="1" applyFill="1" applyBorder="1"/>
    <xf numFmtId="165" fontId="33" fillId="8" borderId="23" xfId="7" applyNumberFormat="1" applyFont="1" applyFill="1" applyBorder="1" applyAlignment="1">
      <alignment horizontal="center" vertical="center"/>
    </xf>
    <xf numFmtId="165" fontId="33" fillId="8" borderId="12" xfId="7" applyNumberFormat="1" applyFont="1" applyFill="1" applyBorder="1" applyAlignment="1">
      <alignment horizontal="center" vertical="center"/>
    </xf>
    <xf numFmtId="165" fontId="33" fillId="8" borderId="11" xfId="7" applyNumberFormat="1" applyFont="1" applyFill="1" applyBorder="1" applyAlignment="1">
      <alignment horizontal="center" vertical="center"/>
    </xf>
    <xf numFmtId="165" fontId="34" fillId="0" borderId="2" xfId="7" applyNumberFormat="1" applyFont="1" applyBorder="1" applyAlignment="1">
      <alignment horizontal="left" indent="1"/>
    </xf>
    <xf numFmtId="165" fontId="34" fillId="0" borderId="4" xfId="7" applyNumberFormat="1" applyFont="1" applyBorder="1" applyAlignment="1">
      <alignment horizontal="left" indent="1"/>
    </xf>
    <xf numFmtId="14" fontId="34" fillId="0" borderId="2" xfId="7" applyNumberFormat="1" applyFont="1" applyBorder="1" applyAlignment="1">
      <alignment horizontal="left" indent="1"/>
    </xf>
    <xf numFmtId="165" fontId="34" fillId="0" borderId="9" xfId="7" applyNumberFormat="1" applyFont="1" applyBorder="1" applyAlignment="1">
      <alignment horizontal="left" indent="1"/>
    </xf>
    <xf numFmtId="165" fontId="34" fillId="0" borderId="10" xfId="7" applyNumberFormat="1" applyFont="1" applyBorder="1" applyAlignment="1">
      <alignment horizontal="left" indent="1"/>
    </xf>
    <xf numFmtId="43" fontId="28" fillId="0" borderId="9" xfId="7" applyFont="1" applyBorder="1" applyAlignment="1"/>
    <xf numFmtId="43" fontId="28" fillId="0" borderId="9" xfId="2" applyFont="1" applyBorder="1" applyAlignment="1"/>
    <xf numFmtId="165" fontId="31" fillId="0" borderId="2" xfId="7" applyNumberFormat="1" applyFont="1" applyBorder="1" applyAlignment="1">
      <alignment horizontal="left" indent="1"/>
    </xf>
    <xf numFmtId="165" fontId="31" fillId="0" borderId="9" xfId="7" applyNumberFormat="1" applyFont="1" applyBorder="1" applyAlignment="1"/>
    <xf numFmtId="165" fontId="31" fillId="0" borderId="9" xfId="7" applyNumberFormat="1" applyFont="1" applyFill="1" applyBorder="1" applyAlignment="1"/>
    <xf numFmtId="10" fontId="28" fillId="0" borderId="9" xfId="3" applyNumberFormat="1" applyFont="1" applyBorder="1" applyAlignment="1"/>
    <xf numFmtId="10" fontId="28" fillId="0" borderId="9" xfId="3" applyNumberFormat="1" applyFont="1" applyFill="1" applyBorder="1" applyAlignment="1"/>
    <xf numFmtId="10" fontId="28" fillId="0" borderId="10" xfId="3" applyNumberFormat="1" applyFont="1" applyBorder="1" applyAlignment="1"/>
    <xf numFmtId="10" fontId="28" fillId="0" borderId="10" xfId="3" applyNumberFormat="1" applyFont="1" applyFill="1" applyBorder="1" applyAlignment="1"/>
    <xf numFmtId="14" fontId="11" fillId="0" borderId="18" xfId="7" applyNumberFormat="1" applyFont="1" applyFill="1" applyBorder="1" applyAlignment="1"/>
    <xf numFmtId="14" fontId="0" fillId="0" borderId="0" xfId="0" applyNumberFormat="1"/>
    <xf numFmtId="0" fontId="7" fillId="6" borderId="0" xfId="0" applyFont="1" applyFill="1" applyAlignment="1">
      <alignment horizontal="center"/>
    </xf>
    <xf numFmtId="14" fontId="7" fillId="6" borderId="0" xfId="0" applyNumberFormat="1" applyFont="1" applyFill="1" applyAlignment="1">
      <alignment horizontal="center"/>
    </xf>
    <xf numFmtId="165" fontId="7" fillId="6" borderId="0" xfId="7" applyNumberFormat="1" applyFont="1" applyFill="1" applyAlignment="1">
      <alignment horizontal="center"/>
    </xf>
    <xf numFmtId="0" fontId="35" fillId="0" borderId="0" xfId="1" applyFont="1"/>
    <xf numFmtId="14" fontId="35" fillId="0" borderId="0" xfId="1" applyNumberFormat="1" applyFont="1"/>
    <xf numFmtId="165" fontId="35" fillId="0" borderId="0" xfId="7" applyNumberFormat="1" applyFont="1"/>
    <xf numFmtId="165" fontId="31" fillId="0" borderId="4" xfId="7" applyNumberFormat="1" applyFont="1" applyBorder="1" applyAlignment="1">
      <alignment horizontal="left" indent="1"/>
    </xf>
    <xf numFmtId="165" fontId="31" fillId="0" borderId="10" xfId="7" applyNumberFormat="1" applyFont="1" applyBorder="1" applyAlignment="1"/>
    <xf numFmtId="165" fontId="11" fillId="0" borderId="0" xfId="7" applyNumberFormat="1" applyFont="1" applyFill="1" applyBorder="1" applyAlignment="1">
      <alignment wrapText="1"/>
    </xf>
    <xf numFmtId="14" fontId="11" fillId="0" borderId="15" xfId="7" applyNumberFormat="1" applyFont="1" applyFill="1" applyBorder="1" applyAlignment="1"/>
    <xf numFmtId="43" fontId="11" fillId="0" borderId="22" xfId="7" applyFont="1" applyFill="1" applyBorder="1" applyAlignment="1"/>
    <xf numFmtId="165" fontId="26" fillId="0" borderId="0" xfId="7" applyNumberFormat="1" applyFont="1" applyBorder="1" applyAlignment="1">
      <alignment horizontal="left"/>
    </xf>
    <xf numFmtId="14" fontId="26" fillId="0" borderId="0" xfId="7" applyNumberFormat="1" applyFont="1" applyFill="1" applyBorder="1" applyAlignment="1"/>
    <xf numFmtId="165" fontId="11" fillId="0" borderId="0" xfId="7" applyNumberFormat="1" applyFont="1" applyBorder="1" applyAlignment="1">
      <alignment horizontal="left"/>
    </xf>
    <xf numFmtId="165" fontId="26" fillId="0" borderId="0" xfId="7" applyNumberFormat="1" applyFont="1" applyFill="1" applyBorder="1" applyAlignment="1">
      <alignment horizontal="right"/>
    </xf>
    <xf numFmtId="165" fontId="26" fillId="0" borderId="0" xfId="7" applyNumberFormat="1" applyFont="1" applyBorder="1" applyAlignment="1">
      <alignment horizontal="left" vertical="center"/>
    </xf>
    <xf numFmtId="165" fontId="26" fillId="0" borderId="0" xfId="7" applyNumberFormat="1" applyFont="1" applyBorder="1" applyAlignment="1">
      <alignment horizontal="center" vertical="center"/>
    </xf>
    <xf numFmtId="165" fontId="26" fillId="0" borderId="0" xfId="7" applyNumberFormat="1" applyFont="1" applyBorder="1" applyAlignment="1">
      <alignment horizontal="center"/>
    </xf>
    <xf numFmtId="165" fontId="11" fillId="0" borderId="6" xfId="7" applyNumberFormat="1" applyFont="1" applyBorder="1" applyAlignment="1">
      <alignment horizontal="left"/>
    </xf>
    <xf numFmtId="165" fontId="26" fillId="0" borderId="0" xfId="7" applyNumberFormat="1" applyFont="1" applyBorder="1" applyAlignment="1">
      <alignment horizontal="right" vertical="center"/>
    </xf>
    <xf numFmtId="43" fontId="11" fillId="0" borderId="15" xfId="7" applyFont="1" applyFill="1" applyBorder="1" applyAlignment="1"/>
    <xf numFmtId="43" fontId="11" fillId="0" borderId="18" xfId="7" applyFont="1" applyFill="1" applyBorder="1" applyAlignment="1"/>
    <xf numFmtId="165" fontId="3" fillId="0" borderId="0" xfId="0" applyNumberFormat="1" applyFont="1"/>
    <xf numFmtId="0" fontId="7" fillId="9" borderId="0" xfId="0" applyFont="1" applyFill="1"/>
    <xf numFmtId="14" fontId="7" fillId="9" borderId="0" xfId="0" applyNumberFormat="1" applyFont="1" applyFill="1"/>
    <xf numFmtId="165" fontId="21" fillId="0" borderId="13" xfId="7" applyNumberFormat="1" applyFont="1" applyBorder="1" applyAlignment="1">
      <alignment horizontal="center"/>
    </xf>
    <xf numFmtId="165" fontId="23" fillId="0" borderId="13" xfId="7" applyNumberFormat="1" applyFont="1" applyBorder="1" applyAlignment="1">
      <alignment horizontal="center" vertical="center"/>
    </xf>
    <xf numFmtId="165" fontId="19" fillId="5" borderId="0" xfId="7" applyNumberFormat="1" applyFont="1" applyFill="1" applyBorder="1" applyAlignment="1">
      <alignment horizontal="center"/>
    </xf>
    <xf numFmtId="165" fontId="26" fillId="0" borderId="5" xfId="7" applyNumberFormat="1" applyFont="1" applyBorder="1" applyAlignment="1">
      <alignment horizontal="center"/>
    </xf>
    <xf numFmtId="165" fontId="26" fillId="0" borderId="6" xfId="7" applyNumberFormat="1" applyFont="1" applyBorder="1" applyAlignment="1">
      <alignment horizontal="center"/>
    </xf>
    <xf numFmtId="165" fontId="12" fillId="0" borderId="5" xfId="7" applyNumberFormat="1" applyFont="1" applyBorder="1" applyAlignment="1">
      <alignment horizontal="center"/>
    </xf>
    <xf numFmtId="165" fontId="12" fillId="0" borderId="6" xfId="7" applyNumberFormat="1" applyFont="1" applyBorder="1" applyAlignment="1">
      <alignment horizontal="center"/>
    </xf>
    <xf numFmtId="165" fontId="25" fillId="6" borderId="26" xfId="7" applyNumberFormat="1" applyFont="1" applyFill="1" applyBorder="1" applyAlignment="1">
      <alignment horizontal="center"/>
    </xf>
    <xf numFmtId="165" fontId="12" fillId="0" borderId="2" xfId="7" applyNumberFormat="1" applyFont="1" applyBorder="1" applyAlignment="1">
      <alignment horizontal="center"/>
    </xf>
    <xf numFmtId="165" fontId="12" fillId="0" borderId="3" xfId="7" applyNumberFormat="1" applyFont="1" applyBorder="1" applyAlignment="1">
      <alignment horizontal="center"/>
    </xf>
    <xf numFmtId="165" fontId="12" fillId="0" borderId="5" xfId="7" applyNumberFormat="1" applyFont="1" applyBorder="1" applyAlignment="1">
      <alignment horizontal="center" vertical="center"/>
    </xf>
    <xf numFmtId="165" fontId="12" fillId="0" borderId="6" xfId="7" applyNumberFormat="1" applyFont="1" applyBorder="1" applyAlignment="1">
      <alignment horizontal="center" vertical="center"/>
    </xf>
    <xf numFmtId="165" fontId="12" fillId="0" borderId="2" xfId="7" applyNumberFormat="1" applyFont="1" applyBorder="1" applyAlignment="1">
      <alignment horizontal="center" vertical="center"/>
    </xf>
    <xf numFmtId="165" fontId="12" fillId="0" borderId="3" xfId="7" applyNumberFormat="1" applyFont="1" applyBorder="1" applyAlignment="1">
      <alignment horizontal="center" vertical="center"/>
    </xf>
    <xf numFmtId="165" fontId="20" fillId="0" borderId="5" xfId="7" applyNumberFormat="1" applyFont="1" applyBorder="1" applyAlignment="1">
      <alignment horizontal="center"/>
    </xf>
    <xf numFmtId="165" fontId="20" fillId="0" borderId="6" xfId="7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</cellXfs>
  <cellStyles count="14">
    <cellStyle name="Comma" xfId="7" builtinId="3"/>
    <cellStyle name="Comma 2" xfId="2" xr:uid="{00000000-0005-0000-0000-000001000000}"/>
    <cellStyle name="Comma 2 2" xfId="5" xr:uid="{00000000-0005-0000-0000-000002000000}"/>
    <cellStyle name="Comma 2 2 2" xfId="9" xr:uid="{00000000-0005-0000-0000-000003000000}"/>
    <cellStyle name="Comma 2 3" xfId="8" xr:uid="{00000000-0005-0000-0000-000004000000}"/>
    <cellStyle name="Comma 3" xfId="10" xr:uid="{00000000-0005-0000-0000-000005000000}"/>
    <cellStyle name="Normal" xfId="0" builtinId="0"/>
    <cellStyle name="Normal 2" xfId="1" xr:uid="{00000000-0005-0000-0000-000007000000}"/>
    <cellStyle name="Normal 2 2" xfId="4" xr:uid="{00000000-0005-0000-0000-000008000000}"/>
    <cellStyle name="Normal 3" xfId="11" xr:uid="{00000000-0005-0000-0000-000009000000}"/>
    <cellStyle name="Normal 4" xfId="13" xr:uid="{8FAAE49C-C846-45DC-B10A-C9258538E53C}"/>
    <cellStyle name="Percent" xfId="12" builtinId="5"/>
    <cellStyle name="Percent 2" xfId="3" xr:uid="{00000000-0005-0000-0000-00000B000000}"/>
    <cellStyle name="Percent 2 2" xfId="6" xr:uid="{00000000-0005-0000-0000-00000C000000}"/>
  </cellStyles>
  <dxfs count="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00"/>
      <color rgb="FF0000FF"/>
      <color rgb="FF007A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FCACCA-A769-4885-B6B2-93AB53DF1231}">
  <we:reference id="wa200005702" version="1.0.0.5" store="en-IN" storeType="OMEX"/>
  <we:alternateReferences>
    <we:reference id="wa200005702" version="1.0.0.5" store="WA200005702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2:W71"/>
  <sheetViews>
    <sheetView showGridLines="0" tabSelected="1" topLeftCell="A3" zoomScale="82" zoomScaleNormal="60" workbookViewId="0">
      <selection activeCell="W18" sqref="W18"/>
    </sheetView>
  </sheetViews>
  <sheetFormatPr defaultColWidth="8.6640625" defaultRowHeight="15.6" x14ac:dyDescent="0.3"/>
  <cols>
    <col min="1" max="1" width="8.6640625" style="233"/>
    <col min="2" max="2" width="2.77734375" style="233" customWidth="1"/>
    <col min="3" max="3" width="31.77734375" style="232" bestFit="1" customWidth="1"/>
    <col min="4" max="4" width="11.21875" style="233" bestFit="1" customWidth="1"/>
    <col min="5" max="5" width="12.21875" style="233" bestFit="1" customWidth="1"/>
    <col min="6" max="6" width="11" style="233" bestFit="1" customWidth="1"/>
    <col min="7" max="17" width="8" style="233" hidden="1" customWidth="1"/>
    <col min="18" max="18" width="11" style="233" bestFit="1" customWidth="1"/>
    <col min="19" max="19" width="13.33203125" style="233" bestFit="1" customWidth="1"/>
    <col min="20" max="20" width="11" style="234" bestFit="1" customWidth="1"/>
    <col min="21" max="21" width="6" style="234" bestFit="1" customWidth="1"/>
    <col min="22" max="22" width="5" style="234" customWidth="1"/>
    <col min="23" max="23" width="11" style="233" bestFit="1" customWidth="1"/>
    <col min="24" max="16384" width="8.6640625" style="233"/>
  </cols>
  <sheetData>
    <row r="2" spans="3:23" x14ac:dyDescent="0.3">
      <c r="D2" s="235" t="str">
        <f>TEXT(D4, "mmm-yy")</f>
        <v>Apr-26</v>
      </c>
      <c r="E2" s="235" t="str">
        <f t="shared" ref="E2:Q2" si="0">TEXT(E4, "mmm-yy")</f>
        <v>May-26</v>
      </c>
      <c r="F2" s="235" t="str">
        <f t="shared" si="0"/>
        <v>Jun-26</v>
      </c>
      <c r="G2" s="235" t="str">
        <f t="shared" si="0"/>
        <v>Jul-26</v>
      </c>
      <c r="H2" s="235" t="str">
        <f t="shared" si="0"/>
        <v>Aug-26</v>
      </c>
      <c r="I2" s="235" t="str">
        <f t="shared" si="0"/>
        <v>Sep-26</v>
      </c>
      <c r="J2" s="235" t="str">
        <f t="shared" si="0"/>
        <v>Oct-25</v>
      </c>
      <c r="K2" s="235" t="str">
        <f t="shared" si="0"/>
        <v>Nov-25</v>
      </c>
      <c r="L2" s="235" t="str">
        <f t="shared" si="0"/>
        <v>Oct-26</v>
      </c>
      <c r="M2" s="235" t="str">
        <f t="shared" si="0"/>
        <v>Nov-26</v>
      </c>
      <c r="N2" s="235" t="str">
        <f t="shared" si="0"/>
        <v>Dec-25</v>
      </c>
      <c r="O2" s="235" t="str">
        <f t="shared" si="0"/>
        <v>Jan-26</v>
      </c>
      <c r="P2" s="235" t="str">
        <f t="shared" si="0"/>
        <v>Feb-26</v>
      </c>
      <c r="Q2" s="235" t="str">
        <f t="shared" si="0"/>
        <v>Mar-26</v>
      </c>
    </row>
    <row r="3" spans="3:23" ht="16.2" thickBot="1" x14ac:dyDescent="0.35">
      <c r="D3" s="233">
        <v>30</v>
      </c>
      <c r="E3" s="233">
        <v>31</v>
      </c>
      <c r="F3" s="233">
        <v>30</v>
      </c>
      <c r="G3" s="233">
        <v>0</v>
      </c>
      <c r="H3" s="233">
        <v>0</v>
      </c>
      <c r="I3" s="233">
        <v>0</v>
      </c>
      <c r="J3" s="233">
        <v>0</v>
      </c>
      <c r="K3" s="233">
        <v>0</v>
      </c>
      <c r="L3" s="233">
        <v>0</v>
      </c>
      <c r="M3" s="233">
        <v>0</v>
      </c>
      <c r="N3" s="233">
        <v>0</v>
      </c>
      <c r="O3" s="233">
        <v>0</v>
      </c>
      <c r="P3" s="233">
        <v>0</v>
      </c>
      <c r="Q3" s="233">
        <v>0</v>
      </c>
      <c r="R3" s="233">
        <f>SUM(D3:Q3)</f>
        <v>91</v>
      </c>
    </row>
    <row r="4" spans="3:23" x14ac:dyDescent="0.3">
      <c r="C4" s="236" t="s">
        <v>211</v>
      </c>
      <c r="D4" s="237">
        <v>46113</v>
      </c>
      <c r="E4" s="237">
        <v>46143</v>
      </c>
      <c r="F4" s="237">
        <v>46174</v>
      </c>
      <c r="G4" s="237">
        <v>46204</v>
      </c>
      <c r="H4" s="237">
        <v>46235</v>
      </c>
      <c r="I4" s="237">
        <v>46266</v>
      </c>
      <c r="J4" s="237">
        <v>45931</v>
      </c>
      <c r="K4" s="237">
        <v>45962</v>
      </c>
      <c r="L4" s="237">
        <v>46296</v>
      </c>
      <c r="M4" s="237">
        <v>46327</v>
      </c>
      <c r="N4" s="237">
        <v>45992</v>
      </c>
      <c r="O4" s="237">
        <v>46023</v>
      </c>
      <c r="P4" s="237">
        <v>46054</v>
      </c>
      <c r="Q4" s="237">
        <v>46082</v>
      </c>
      <c r="R4" s="239" t="s">
        <v>300</v>
      </c>
    </row>
    <row r="5" spans="3:23" x14ac:dyDescent="0.3">
      <c r="C5" s="240" t="s">
        <v>0</v>
      </c>
      <c r="D5" s="241">
        <v>19.16</v>
      </c>
      <c r="E5" s="241">
        <v>55.8</v>
      </c>
      <c r="F5" s="241">
        <v>154</v>
      </c>
      <c r="G5" s="241">
        <f>SUMIFS(Details!$BB$4:$BB$22,Details!$C$4:$C$22,Summary!G$4)/1000</f>
        <v>0</v>
      </c>
      <c r="H5" s="241">
        <f>SUMIFS(Details!$BB$4:$BB$22,Details!$C$4:$C$22,Summary!H$4)/1000</f>
        <v>0</v>
      </c>
      <c r="I5" s="241">
        <f>SUMIFS(Details!$BB$4:$BB$22,Details!$C$4:$C$22,Summary!I$4)/1000</f>
        <v>0</v>
      </c>
      <c r="J5" s="241">
        <f>SUMIFS(Details!$BB$4:$BB$22,Details!$C$4:$C$22,Summary!J$4)/1000</f>
        <v>0</v>
      </c>
      <c r="K5" s="241">
        <f>SUMIFS(Details!$BB$4:$BB$22,Details!$C$4:$C$22,Summary!K$4)/1000</f>
        <v>0</v>
      </c>
      <c r="L5" s="241">
        <f>SUMIFS(Details!$BB$4:$BB$22,Details!$C$4:$C$22,Summary!L$4)/1000</f>
        <v>0</v>
      </c>
      <c r="M5" s="241">
        <f>SUMIFS(Details!$BB$4:$BB$22,Details!$C$4:$C$22,Summary!M$4)/1000</f>
        <v>0</v>
      </c>
      <c r="N5" s="241">
        <f>SUMIFS(Details!$BB$4:$BB$22,Details!$C$4:$C$22,Summary!N$4)/1000</f>
        <v>0</v>
      </c>
      <c r="O5" s="241">
        <f>SUMIFS(Details!$BB$4:$BB$22,Details!$C$4:$C$22,Summary!O$4)/1000</f>
        <v>0</v>
      </c>
      <c r="P5" s="241">
        <f>SUMIFS(Details!$BB$4:$BB$22,Details!$C$4:$C$22,Summary!P$4)/1000</f>
        <v>0</v>
      </c>
      <c r="Q5" s="241">
        <f>SUMIFS(Details!$BB$4:$BB$22,Details!$C$4:$C$22,Summary!Q$4)/1000</f>
        <v>0</v>
      </c>
      <c r="R5" s="241">
        <f t="shared" ref="R5:R11" si="1">SUM(D5:Q5)</f>
        <v>228.95999999999998</v>
      </c>
      <c r="S5" s="242">
        <f>Details!BB23/1000</f>
        <v>229.25</v>
      </c>
      <c r="T5" s="234">
        <f>R5-S5</f>
        <v>-0.29000000000002046</v>
      </c>
      <c r="U5" s="234">
        <f>-T5</f>
        <v>0.29000000000002046</v>
      </c>
    </row>
    <row r="6" spans="3:23" x14ac:dyDescent="0.3">
      <c r="C6" s="240" t="s">
        <v>1</v>
      </c>
      <c r="D6" s="241">
        <v>268100</v>
      </c>
      <c r="E6" s="241">
        <v>729921</v>
      </c>
      <c r="F6" s="241">
        <v>1559452.6</v>
      </c>
      <c r="G6" s="241">
        <f>SUMIFS(Details!$BO$4:$BO$22,Details!$C$4:$C$22,Summary!G$4)</f>
        <v>0</v>
      </c>
      <c r="H6" s="241">
        <f>SUMIFS(Details!$BO$4:$BO$22,Details!$C$4:$C$22,Summary!H$4)</f>
        <v>0</v>
      </c>
      <c r="I6" s="241">
        <f>SUMIFS(Details!$BO$4:$BO$22,Details!$C$4:$C$22,Summary!I$4)</f>
        <v>0</v>
      </c>
      <c r="J6" s="241">
        <f>SUMIFS(Details!$BO$4:$BO$22,Details!$C$4:$C$22,Summary!J$4)</f>
        <v>0</v>
      </c>
      <c r="K6" s="241">
        <f>SUMIFS(Details!$BO$4:$BO$22,Details!$C$4:$C$22,Summary!K$4)</f>
        <v>0</v>
      </c>
      <c r="L6" s="241">
        <f>SUMIFS(Details!$BO$4:$BO$22,Details!$C$4:$C$22,Summary!L$4)</f>
        <v>0</v>
      </c>
      <c r="M6" s="241">
        <f>SUMIFS(Details!$BO$4:$BO$22,Details!$C$4:$C$22,Summary!M$4)</f>
        <v>0</v>
      </c>
      <c r="N6" s="241">
        <f>SUMIFS(Details!$BO$4:$BO$22,Details!$C$4:$C$22,Summary!N$4)</f>
        <v>0</v>
      </c>
      <c r="O6" s="241">
        <f>SUMIFS(Details!$BO$4:$BO$22,Details!$C$4:$C$22,Summary!O$4)</f>
        <v>0</v>
      </c>
      <c r="P6" s="241">
        <f>SUMIFS(Details!$BO$4:$BO$22,Details!$C$4:$C$22,Summary!P$4)</f>
        <v>0</v>
      </c>
      <c r="Q6" s="241">
        <f>SUMIFS(Details!$BO$4:$BO$22,Details!$C$4:$C$22,Summary!Q$4)</f>
        <v>0</v>
      </c>
      <c r="R6" s="243">
        <f t="shared" si="1"/>
        <v>2557473.6</v>
      </c>
      <c r="S6" s="244">
        <f>Details!BO23</f>
        <v>2557473.6000000006</v>
      </c>
      <c r="T6" s="234">
        <f>R6-S6+R71</f>
        <v>-4.6566128730773926E-10</v>
      </c>
      <c r="U6" s="234">
        <f t="shared" ref="U6:U7" si="2">-T6</f>
        <v>4.6566128730773926E-10</v>
      </c>
      <c r="W6" s="242">
        <f>'Recon Items'!F22</f>
        <v>0</v>
      </c>
    </row>
    <row r="7" spans="3:23" x14ac:dyDescent="0.3">
      <c r="C7" s="240" t="s">
        <v>2</v>
      </c>
      <c r="D7" s="241">
        <v>220225</v>
      </c>
      <c r="E7" s="241">
        <v>660165</v>
      </c>
      <c r="F7" s="241">
        <v>1472563</v>
      </c>
      <c r="G7" s="241">
        <f>SUMIFS(Details!$AM$4:$AM$22,Details!$C$4:$C$22,Summary!G$4)-SUMIFS(Details!$AB$4:$AB$22,Details!$C$4:$C$22,Summary!G$4)</f>
        <v>0</v>
      </c>
      <c r="H7" s="241">
        <f>SUMIFS(Details!$AM$4:$AM$22,Details!$C$4:$C$22,Summary!H$4)-SUMIFS(Details!$AB$4:$AB$22,Details!$C$4:$C$22,Summary!H$4)</f>
        <v>0</v>
      </c>
      <c r="I7" s="241">
        <f>SUMIFS(Details!$AM$4:$AM$22,Details!$C$4:$C$22,Summary!I$4)-SUMIFS(Details!$AB$4:$AB$22,Details!$C$4:$C$22,Summary!I$4)</f>
        <v>0</v>
      </c>
      <c r="J7" s="241">
        <f>SUMIFS(Details!$AM$4:$AM$22,Details!$C$4:$C$22,Summary!J$4)-SUMIFS(Details!$AB$4:$AB$22,Details!$C$4:$C$22,Summary!J$4)</f>
        <v>0</v>
      </c>
      <c r="K7" s="241">
        <f>SUMIFS(Details!$AM$4:$AM$22,Details!$C$4:$C$22,Summary!K$4)-SUMIFS(Details!$AB$4:$AB$22,Details!$C$4:$C$22,Summary!K$4)</f>
        <v>0</v>
      </c>
      <c r="L7" s="241">
        <f>SUMIFS(Details!$AM$4:$AM$22,Details!$C$4:$C$22,Summary!L$4)-SUMIFS(Details!$AB$4:$AB$22,Details!$C$4:$C$22,Summary!L$4)</f>
        <v>0</v>
      </c>
      <c r="M7" s="241">
        <f>SUMIFS(Details!$AM$4:$AM$22,Details!$C$4:$C$22,Summary!M$4)-SUMIFS(Details!$AB$4:$AB$22,Details!$C$4:$C$22,Summary!M$4)</f>
        <v>0</v>
      </c>
      <c r="N7" s="241">
        <f>SUMIFS(Details!$AM$4:$AM$22,Details!$C$4:$C$22,Summary!N$4)-SUMIFS(Details!$AB$4:$AB$22,Details!$C$4:$C$22,Summary!N$4)</f>
        <v>0</v>
      </c>
      <c r="O7" s="241">
        <f>SUMIFS(Details!$AM$4:$AM$22,Details!$C$4:$C$22,Summary!O$4)-SUMIFS(Details!$AB$4:$AB$22,Details!$C$4:$C$22,Summary!O$4)</f>
        <v>0</v>
      </c>
      <c r="P7" s="241">
        <f>SUMIFS(Details!$AM$4:$AM$22,Details!$C$4:$C$22,Summary!P$4)-SUMIFS(Details!$AB$4:$AB$22,Details!$C$4:$C$22,Summary!P$4)</f>
        <v>0</v>
      </c>
      <c r="Q7" s="241">
        <f>SUMIFS(Details!$AM$4:$AM$22,Details!$C$4:$C$22,Summary!Q$4)-SUMIFS(Details!$AB$4:$AB$22,Details!$C$4:$C$22,Summary!Q$4)</f>
        <v>0</v>
      </c>
      <c r="R7" s="243">
        <f t="shared" si="1"/>
        <v>2352953</v>
      </c>
      <c r="S7" s="244">
        <f>Details!P24</f>
        <v>2352953</v>
      </c>
      <c r="T7" s="245">
        <f>R7-S7</f>
        <v>0</v>
      </c>
      <c r="U7" s="234">
        <f t="shared" si="2"/>
        <v>0</v>
      </c>
      <c r="V7" s="245"/>
      <c r="W7" s="242"/>
    </row>
    <row r="8" spans="3:23" x14ac:dyDescent="0.3">
      <c r="C8" s="240" t="s">
        <v>187</v>
      </c>
      <c r="D8" s="241">
        <f t="shared" ref="D8:Q8" si="3">D6-D7</f>
        <v>47875</v>
      </c>
      <c r="E8" s="241">
        <f t="shared" si="3"/>
        <v>69756</v>
      </c>
      <c r="F8" s="241">
        <f t="shared" si="3"/>
        <v>86889.600000000093</v>
      </c>
      <c r="G8" s="241">
        <f t="shared" si="3"/>
        <v>0</v>
      </c>
      <c r="H8" s="241">
        <f t="shared" si="3"/>
        <v>0</v>
      </c>
      <c r="I8" s="241">
        <f t="shared" si="3"/>
        <v>0</v>
      </c>
      <c r="J8" s="241">
        <f t="shared" si="3"/>
        <v>0</v>
      </c>
      <c r="K8" s="241">
        <f t="shared" si="3"/>
        <v>0</v>
      </c>
      <c r="L8" s="241">
        <f t="shared" si="3"/>
        <v>0</v>
      </c>
      <c r="M8" s="241">
        <f t="shared" si="3"/>
        <v>0</v>
      </c>
      <c r="N8" s="241">
        <f t="shared" si="3"/>
        <v>0</v>
      </c>
      <c r="O8" s="241">
        <f t="shared" si="3"/>
        <v>0</v>
      </c>
      <c r="P8" s="241">
        <f t="shared" si="3"/>
        <v>0</v>
      </c>
      <c r="Q8" s="241">
        <f t="shared" si="3"/>
        <v>0</v>
      </c>
      <c r="R8" s="241">
        <f>SUM(D8:Q8)</f>
        <v>204520.60000000009</v>
      </c>
      <c r="S8" s="248"/>
      <c r="W8" s="242"/>
    </row>
    <row r="9" spans="3:23" x14ac:dyDescent="0.3">
      <c r="C9" s="247" t="s">
        <v>217</v>
      </c>
      <c r="D9" s="250">
        <f>IFERROR((D8/D6),0)</f>
        <v>0.17857142857142858</v>
      </c>
      <c r="E9" s="250">
        <f t="shared" ref="E9:R9" si="4">IFERROR((E8/E6),0)</f>
        <v>9.5566506512348603E-2</v>
      </c>
      <c r="F9" s="250">
        <f t="shared" si="4"/>
        <v>5.5718012846302664E-2</v>
      </c>
      <c r="G9" s="250">
        <f t="shared" si="4"/>
        <v>0</v>
      </c>
      <c r="H9" s="250">
        <f t="shared" si="4"/>
        <v>0</v>
      </c>
      <c r="I9" s="250">
        <f t="shared" si="4"/>
        <v>0</v>
      </c>
      <c r="J9" s="250">
        <f t="shared" si="4"/>
        <v>0</v>
      </c>
      <c r="K9" s="250">
        <f t="shared" si="4"/>
        <v>0</v>
      </c>
      <c r="L9" s="250">
        <f t="shared" si="4"/>
        <v>0</v>
      </c>
      <c r="M9" s="250">
        <f t="shared" si="4"/>
        <v>0</v>
      </c>
      <c r="N9" s="250">
        <f t="shared" si="4"/>
        <v>0</v>
      </c>
      <c r="O9" s="250">
        <f t="shared" si="4"/>
        <v>0</v>
      </c>
      <c r="P9" s="250">
        <f t="shared" si="4"/>
        <v>0</v>
      </c>
      <c r="Q9" s="250">
        <f t="shared" si="4"/>
        <v>0</v>
      </c>
      <c r="R9" s="250">
        <f t="shared" si="4"/>
        <v>7.9969779551194622E-2</v>
      </c>
      <c r="W9" s="242"/>
    </row>
    <row r="10" spans="3:23" x14ac:dyDescent="0.3">
      <c r="C10" s="240" t="s">
        <v>3</v>
      </c>
      <c r="D10" s="241">
        <v>54711</v>
      </c>
      <c r="E10" s="241">
        <f>SUMIFS(Details!$AB$4:$AB$22,Details!$C$4:$C$22,Summary!E$4)</f>
        <v>0</v>
      </c>
      <c r="F10" s="241">
        <f>SUMIFS(Details!$AB$4:$AB$22,Details!$C$4:$C$22,Summary!F$4)</f>
        <v>0</v>
      </c>
      <c r="G10" s="241">
        <f>SUMIFS(Details!$AB$4:$AB$22,Details!$C$4:$C$22,Summary!G$4)</f>
        <v>0</v>
      </c>
      <c r="H10" s="241">
        <f>SUMIFS(Details!$AB$4:$AB$22,Details!$C$4:$C$22,Summary!H$4)</f>
        <v>0</v>
      </c>
      <c r="I10" s="241">
        <f>SUMIFS(Details!$AB$4:$AB$22,Details!$C$4:$C$22,Summary!I$4)</f>
        <v>0</v>
      </c>
      <c r="J10" s="241">
        <f>SUMIFS(Details!$AB$4:$AB$22,Details!$C$4:$C$22,Summary!J$4)</f>
        <v>0</v>
      </c>
      <c r="K10" s="241">
        <f>SUMIFS(Details!$AB$4:$AB$22,Details!$C$4:$C$22,Summary!K$4)</f>
        <v>0</v>
      </c>
      <c r="L10" s="241">
        <f>SUMIFS(Details!$AB$4:$AB$22,Details!$C$4:$C$22,Summary!L$4)</f>
        <v>0</v>
      </c>
      <c r="M10" s="241">
        <f>SUMIFS(Details!$AB$4:$AB$22,Details!$C$4:$C$22,Summary!M$4)</f>
        <v>0</v>
      </c>
      <c r="N10" s="241">
        <f>SUMIFS(Details!$AB$4:$AB$22,Details!$C$4:$C$22,Summary!N$4)</f>
        <v>0</v>
      </c>
      <c r="O10" s="241">
        <f>SUMIFS(Details!$AB$4:$AB$22,Details!$C$4:$C$22,Summary!O$4)</f>
        <v>0</v>
      </c>
      <c r="P10" s="241">
        <f>SUMIFS(Details!$AB$4:$AB$22,Details!$C$4:$C$22,Summary!P$4)</f>
        <v>0</v>
      </c>
      <c r="Q10" s="241">
        <f>SUMIFS(Details!$AB$4:$AB$22,Details!$C$4:$C$22,Summary!Q$4)</f>
        <v>0</v>
      </c>
      <c r="R10" s="241">
        <f t="shared" si="1"/>
        <v>54711</v>
      </c>
      <c r="S10" s="246">
        <f>Details!AB23+Details!AB39</f>
        <v>54711</v>
      </c>
      <c r="T10" s="245">
        <f>R10-S10</f>
        <v>0</v>
      </c>
      <c r="U10" s="234">
        <f t="shared" ref="U10" si="5">-T10</f>
        <v>0</v>
      </c>
      <c r="V10" s="245"/>
      <c r="W10" s="242"/>
    </row>
    <row r="11" spans="3:23" x14ac:dyDescent="0.3">
      <c r="C11" s="240" t="s">
        <v>343</v>
      </c>
      <c r="D11" s="241">
        <f>SUMIFS(Details!$AC$4:$AC$22,Details!$C$4:$C$22,Summary!D$4)+SUMIFS(Details!AM28:AM38,Details!C28:C38,Summary!D4)-SUMIFS(Details!AB28:AB38,Details!C28:C38,Summary!D4)</f>
        <v>332906</v>
      </c>
      <c r="E11" s="241">
        <f>SUMIFS(Details!$AC$5:$AC$22,Details!$C$5:$C$22,Summary!E$4)+SUMIFS(Details!AM28:AM38,Details!C28:C38,Summary!E4)-SUMIFS(Details!AB28:AB38,Details!C28:C38,Summary!E4)</f>
        <v>222000</v>
      </c>
      <c r="F11" s="241">
        <f>SUMIFS(Details!$AC$4:$AC$22,Details!$C$4:$C$22,Summary!F$4)</f>
        <v>0</v>
      </c>
      <c r="G11" s="241">
        <f>SUMIFS(Details!$AC$4:$AC$22,Details!$C$4:$C$22,Summary!G$4)</f>
        <v>0</v>
      </c>
      <c r="H11" s="241">
        <f>SUMIFS(Details!$AC$4:$AC$22,Details!$C$4:$C$22,Summary!H$4)</f>
        <v>0</v>
      </c>
      <c r="I11" s="241">
        <f>SUMIFS(Details!$AC$4:$AC$22,Details!$C$4:$C$22,Summary!I$4)</f>
        <v>0</v>
      </c>
      <c r="J11" s="241">
        <f>SUMIFS(Details!$AC$4:$AC$22,Details!$C$4:$C$22,Summary!J$4)</f>
        <v>0</v>
      </c>
      <c r="K11" s="241">
        <f>SUMIFS(Details!$AC$4:$AC$22,Details!$C$4:$C$22,Summary!K$4)</f>
        <v>0</v>
      </c>
      <c r="L11" s="241">
        <f>SUMIFS(Details!$AC$4:$AC$22,Details!$C$4:$C$22,Summary!L$4)</f>
        <v>0</v>
      </c>
      <c r="M11" s="241">
        <f>SUMIFS(Details!$AC$4:$AC$22,Details!$C$4:$C$22,Summary!M$4)</f>
        <v>0</v>
      </c>
      <c r="N11" s="241">
        <f>SUMIFS(Details!$AC$4:$AC$22,Details!$C$4:$C$22,Summary!N$4)</f>
        <v>0</v>
      </c>
      <c r="O11" s="241">
        <f>SUMIFS(Details!$AC$4:$AC$22,Details!$C$4:$C$22,Summary!O$4)</f>
        <v>0</v>
      </c>
      <c r="P11" s="241">
        <f>SUMIFS(Details!$AC$4:$AC$22,Details!$C$4:$C$22,Summary!P$4)</f>
        <v>0</v>
      </c>
      <c r="Q11" s="241">
        <f>SUMIFS(Details!$AC$4:$AC$22,Details!$C$4:$C$22,Summary!Q$4)</f>
        <v>0</v>
      </c>
      <c r="R11" s="241">
        <f t="shared" si="1"/>
        <v>554906</v>
      </c>
      <c r="S11" s="246"/>
      <c r="T11" s="245"/>
      <c r="U11" s="245"/>
      <c r="V11" s="245"/>
      <c r="W11" s="242"/>
    </row>
    <row r="12" spans="3:23" x14ac:dyDescent="0.3">
      <c r="C12" s="240" t="s">
        <v>189</v>
      </c>
      <c r="D12" s="241">
        <f>D6-D7-D10-D11</f>
        <v>-339742</v>
      </c>
      <c r="E12" s="241">
        <f>E6-E7-E10-E11</f>
        <v>-152244</v>
      </c>
      <c r="F12" s="241">
        <f t="shared" ref="F12:Q12" si="6">F6-F7-F10</f>
        <v>86889.600000000093</v>
      </c>
      <c r="G12" s="241">
        <f t="shared" si="6"/>
        <v>0</v>
      </c>
      <c r="H12" s="241">
        <f t="shared" si="6"/>
        <v>0</v>
      </c>
      <c r="I12" s="241">
        <f t="shared" si="6"/>
        <v>0</v>
      </c>
      <c r="J12" s="241">
        <f t="shared" si="6"/>
        <v>0</v>
      </c>
      <c r="K12" s="241">
        <f t="shared" si="6"/>
        <v>0</v>
      </c>
      <c r="L12" s="241">
        <f t="shared" si="6"/>
        <v>0</v>
      </c>
      <c r="M12" s="241">
        <f t="shared" si="6"/>
        <v>0</v>
      </c>
      <c r="N12" s="241">
        <f t="shared" si="6"/>
        <v>0</v>
      </c>
      <c r="O12" s="241">
        <f t="shared" si="6"/>
        <v>0</v>
      </c>
      <c r="P12" s="241">
        <f t="shared" si="6"/>
        <v>0</v>
      </c>
      <c r="Q12" s="241">
        <f t="shared" si="6"/>
        <v>0</v>
      </c>
      <c r="R12" s="241">
        <f>SUM(D12:Q12)</f>
        <v>-405096.39999999991</v>
      </c>
      <c r="S12" s="242" t="s">
        <v>117</v>
      </c>
      <c r="W12" s="242"/>
    </row>
    <row r="13" spans="3:23" x14ac:dyDescent="0.3">
      <c r="C13" s="249" t="s">
        <v>216</v>
      </c>
      <c r="D13" s="250">
        <f>IFERROR((D12/D6),0)</f>
        <v>-1.2672211861245803</v>
      </c>
      <c r="E13" s="250">
        <f t="shared" ref="E13:R13" si="7">IFERROR((E12/E6),0)</f>
        <v>-0.20857599658045187</v>
      </c>
      <c r="F13" s="250">
        <f t="shared" si="7"/>
        <v>5.5718012846302664E-2</v>
      </c>
      <c r="G13" s="250">
        <f t="shared" si="7"/>
        <v>0</v>
      </c>
      <c r="H13" s="250">
        <f t="shared" si="7"/>
        <v>0</v>
      </c>
      <c r="I13" s="250">
        <f t="shared" si="7"/>
        <v>0</v>
      </c>
      <c r="J13" s="250">
        <f t="shared" si="7"/>
        <v>0</v>
      </c>
      <c r="K13" s="250">
        <f t="shared" si="7"/>
        <v>0</v>
      </c>
      <c r="L13" s="250">
        <f t="shared" si="7"/>
        <v>0</v>
      </c>
      <c r="M13" s="250">
        <f t="shared" si="7"/>
        <v>0</v>
      </c>
      <c r="N13" s="250">
        <f t="shared" si="7"/>
        <v>0</v>
      </c>
      <c r="O13" s="250">
        <f t="shared" si="7"/>
        <v>0</v>
      </c>
      <c r="P13" s="250">
        <f t="shared" si="7"/>
        <v>0</v>
      </c>
      <c r="Q13" s="250">
        <f t="shared" si="7"/>
        <v>0</v>
      </c>
      <c r="R13" s="250">
        <f t="shared" si="7"/>
        <v>-0.15839709938745797</v>
      </c>
      <c r="W13" s="242"/>
    </row>
    <row r="14" spans="3:23" x14ac:dyDescent="0.3">
      <c r="C14" s="240" t="s">
        <v>234</v>
      </c>
      <c r="D14" s="243">
        <v>0</v>
      </c>
      <c r="E14" s="243">
        <v>0</v>
      </c>
      <c r="F14" s="243">
        <v>0</v>
      </c>
      <c r="G14" s="243">
        <v>0</v>
      </c>
      <c r="H14" s="243">
        <v>0</v>
      </c>
      <c r="I14" s="243">
        <v>0</v>
      </c>
      <c r="J14" s="243">
        <v>0</v>
      </c>
      <c r="K14" s="243">
        <v>0</v>
      </c>
      <c r="L14" s="243">
        <v>0</v>
      </c>
      <c r="M14" s="243">
        <v>0</v>
      </c>
      <c r="N14" s="243">
        <v>0</v>
      </c>
      <c r="O14" s="243">
        <v>0</v>
      </c>
      <c r="P14" s="243">
        <v>0</v>
      </c>
      <c r="Q14" s="243">
        <v>0</v>
      </c>
      <c r="R14" s="241">
        <f>SUM(D14:Q14)</f>
        <v>0</v>
      </c>
      <c r="S14" s="251"/>
      <c r="W14" s="242"/>
    </row>
    <row r="15" spans="3:23" x14ac:dyDescent="0.3">
      <c r="C15" s="240" t="s">
        <v>4</v>
      </c>
      <c r="D15" s="310">
        <f t="shared" ref="D15:R15" si="8">IFERROR((D10/D6),0)</f>
        <v>0.20406937709809772</v>
      </c>
      <c r="E15" s="310">
        <f t="shared" si="8"/>
        <v>0</v>
      </c>
      <c r="F15" s="310">
        <f t="shared" si="8"/>
        <v>0</v>
      </c>
      <c r="G15" s="310">
        <f t="shared" si="8"/>
        <v>0</v>
      </c>
      <c r="H15" s="310">
        <f t="shared" si="8"/>
        <v>0</v>
      </c>
      <c r="I15" s="310">
        <f t="shared" si="8"/>
        <v>0</v>
      </c>
      <c r="J15" s="310">
        <f t="shared" si="8"/>
        <v>0</v>
      </c>
      <c r="K15" s="310">
        <f t="shared" si="8"/>
        <v>0</v>
      </c>
      <c r="L15" s="310">
        <f t="shared" si="8"/>
        <v>0</v>
      </c>
      <c r="M15" s="310">
        <f t="shared" si="8"/>
        <v>0</v>
      </c>
      <c r="N15" s="310">
        <f t="shared" si="8"/>
        <v>0</v>
      </c>
      <c r="O15" s="310">
        <f t="shared" si="8"/>
        <v>0</v>
      </c>
      <c r="P15" s="310">
        <f t="shared" si="8"/>
        <v>0</v>
      </c>
      <c r="Q15" s="310">
        <f t="shared" si="8"/>
        <v>0</v>
      </c>
      <c r="R15" s="310">
        <f t="shared" si="8"/>
        <v>2.1392596193368328E-2</v>
      </c>
      <c r="S15" s="251"/>
      <c r="W15" s="242"/>
    </row>
    <row r="16" spans="3:23" x14ac:dyDescent="0.3">
      <c r="C16" s="240" t="s">
        <v>8</v>
      </c>
      <c r="D16" s="305">
        <f t="shared" ref="D16:Q16" si="9">IFERROR(+D6/(D5*1000),0)</f>
        <v>13.992693110647181</v>
      </c>
      <c r="E16" s="305">
        <f t="shared" si="9"/>
        <v>13.081021505376343</v>
      </c>
      <c r="F16" s="305">
        <f t="shared" si="9"/>
        <v>10.126315584415584</v>
      </c>
      <c r="G16" s="305">
        <f t="shared" si="9"/>
        <v>0</v>
      </c>
      <c r="H16" s="305">
        <f t="shared" si="9"/>
        <v>0</v>
      </c>
      <c r="I16" s="305">
        <f t="shared" si="9"/>
        <v>0</v>
      </c>
      <c r="J16" s="305">
        <f t="shared" si="9"/>
        <v>0</v>
      </c>
      <c r="K16" s="305">
        <f t="shared" si="9"/>
        <v>0</v>
      </c>
      <c r="L16" s="305">
        <f t="shared" si="9"/>
        <v>0</v>
      </c>
      <c r="M16" s="305">
        <f t="shared" si="9"/>
        <v>0</v>
      </c>
      <c r="N16" s="305">
        <f t="shared" si="9"/>
        <v>0</v>
      </c>
      <c r="O16" s="305">
        <f t="shared" si="9"/>
        <v>0</v>
      </c>
      <c r="P16" s="305">
        <f t="shared" si="9"/>
        <v>0</v>
      </c>
      <c r="Q16" s="305">
        <f t="shared" si="9"/>
        <v>0</v>
      </c>
      <c r="R16" s="306">
        <f>+R6/(R5*1000)</f>
        <v>11.169958071278828</v>
      </c>
      <c r="T16" s="245"/>
      <c r="U16" s="245"/>
      <c r="V16" s="245"/>
    </row>
    <row r="17" spans="3:23" x14ac:dyDescent="0.3">
      <c r="C17" s="240" t="s">
        <v>9</v>
      </c>
      <c r="D17" s="305">
        <f t="shared" ref="D17:Q17" si="10">IFERROR(+D7/(D5*1000),0)</f>
        <v>11.493997912317328</v>
      </c>
      <c r="E17" s="305">
        <f t="shared" si="10"/>
        <v>11.830913978494623</v>
      </c>
      <c r="F17" s="305">
        <f t="shared" si="10"/>
        <v>9.5620974025974022</v>
      </c>
      <c r="G17" s="305">
        <f t="shared" si="10"/>
        <v>0</v>
      </c>
      <c r="H17" s="305">
        <f t="shared" si="10"/>
        <v>0</v>
      </c>
      <c r="I17" s="305">
        <f t="shared" si="10"/>
        <v>0</v>
      </c>
      <c r="J17" s="305">
        <f t="shared" si="10"/>
        <v>0</v>
      </c>
      <c r="K17" s="305">
        <f t="shared" si="10"/>
        <v>0</v>
      </c>
      <c r="L17" s="305">
        <f t="shared" si="10"/>
        <v>0</v>
      </c>
      <c r="M17" s="305">
        <f t="shared" si="10"/>
        <v>0</v>
      </c>
      <c r="N17" s="305">
        <f t="shared" si="10"/>
        <v>0</v>
      </c>
      <c r="O17" s="305">
        <f t="shared" si="10"/>
        <v>0</v>
      </c>
      <c r="P17" s="305">
        <f t="shared" si="10"/>
        <v>0</v>
      </c>
      <c r="Q17" s="305">
        <f t="shared" si="10"/>
        <v>0</v>
      </c>
      <c r="R17" s="306">
        <f>+R7/(R5*1000)</f>
        <v>10.276698986722574</v>
      </c>
    </row>
    <row r="18" spans="3:23" x14ac:dyDescent="0.3">
      <c r="C18" s="240" t="s">
        <v>10</v>
      </c>
      <c r="D18" s="305">
        <f t="shared" ref="D18:Q18" si="11">IFERROR(D10/(D5*1000),0)</f>
        <v>2.8554801670146137</v>
      </c>
      <c r="E18" s="305">
        <f t="shared" si="11"/>
        <v>0</v>
      </c>
      <c r="F18" s="305">
        <f t="shared" si="11"/>
        <v>0</v>
      </c>
      <c r="G18" s="305">
        <f t="shared" si="11"/>
        <v>0</v>
      </c>
      <c r="H18" s="305">
        <f t="shared" si="11"/>
        <v>0</v>
      </c>
      <c r="I18" s="305">
        <f t="shared" si="11"/>
        <v>0</v>
      </c>
      <c r="J18" s="305">
        <f t="shared" si="11"/>
        <v>0</v>
      </c>
      <c r="K18" s="305">
        <f t="shared" si="11"/>
        <v>0</v>
      </c>
      <c r="L18" s="305">
        <f t="shared" si="11"/>
        <v>0</v>
      </c>
      <c r="M18" s="305">
        <f t="shared" si="11"/>
        <v>0</v>
      </c>
      <c r="N18" s="305">
        <f t="shared" si="11"/>
        <v>0</v>
      </c>
      <c r="O18" s="305">
        <f t="shared" si="11"/>
        <v>0</v>
      </c>
      <c r="P18" s="305">
        <f t="shared" si="11"/>
        <v>0</v>
      </c>
      <c r="Q18" s="305">
        <f t="shared" si="11"/>
        <v>0</v>
      </c>
      <c r="R18" s="306">
        <f>R10/(R5*1000)</f>
        <v>0.23895440251572331</v>
      </c>
    </row>
    <row r="19" spans="3:23" x14ac:dyDescent="0.3">
      <c r="C19" s="240" t="s">
        <v>11</v>
      </c>
      <c r="D19" s="279" cm="1">
        <f t="array" ref="D19">IFERROR(ROWS(_xlfn.UNIQUE(_xlfn._xlws.FILTER(Details!$AO$5:$AO$22, (Details!$C$5:$C$22)=Summary!D$2))),0)</f>
        <v>1</v>
      </c>
      <c r="E19" s="279" cm="1">
        <f t="array" ref="E19">IFERROR(ROWS(_xlfn.UNIQUE(_xlfn._xlws.FILTER(Details!$AO$5:$AO$22, (Details!$C$5:$C$22)=Summary!E$2))),0)</f>
        <v>3</v>
      </c>
      <c r="F19" s="279" cm="1">
        <f t="array" ref="F19">IFERROR(ROWS(_xlfn.UNIQUE(_xlfn._xlws.FILTER(Details!$AO$5:$AO$22, (Details!$C$5:$C$22)=Summary!F$2))),0)</f>
        <v>13</v>
      </c>
      <c r="G19" s="279" cm="1">
        <f t="array" ref="G19">IFERROR(ROWS(_xlfn.UNIQUE(_xlfn._xlws.FILTER(Details!$AO$5:$AO$22, (Details!$C$5:$C$22)=Summary!G$2))),0)</f>
        <v>0</v>
      </c>
      <c r="H19" s="279" cm="1">
        <f t="array" ref="H19">IFERROR(ROWS(_xlfn.UNIQUE(_xlfn._xlws.FILTER(Details!$AO$5:$AO$22, (Details!$C$5:$C$22)=Summary!H$2))),0)</f>
        <v>0</v>
      </c>
      <c r="I19" s="279" cm="1">
        <f t="array" ref="I19">IFERROR(ROWS(_xlfn.UNIQUE(_xlfn._xlws.FILTER(Details!$AO$5:$AO$22, (Details!$C$5:$C$22)=Summary!I$2))),0)</f>
        <v>0</v>
      </c>
      <c r="J19" s="279" cm="1">
        <f t="array" ref="J19">IFERROR(ROWS(_xlfn.UNIQUE(_xlfn._xlws.FILTER(Details!$AO$5:$AO$22, (Details!$C$5:$C$22)=Summary!J$2))),0)</f>
        <v>0</v>
      </c>
      <c r="K19" s="279" cm="1">
        <f t="array" ref="K19">IFERROR(ROWS(_xlfn.UNIQUE(_xlfn._xlws.FILTER(Details!$AO$5:$AO$22, (Details!$C$5:$C$22)=Summary!K$2))),0)</f>
        <v>0</v>
      </c>
      <c r="L19" s="279" cm="1">
        <f t="array" ref="L19">IFERROR(ROWS(_xlfn.UNIQUE(_xlfn._xlws.FILTER(Details!$AO$5:$AO$22, (Details!$C$5:$C$22)=Summary!L$2))),0)</f>
        <v>0</v>
      </c>
      <c r="M19" s="279" cm="1">
        <f t="array" ref="M19">IFERROR(ROWS(_xlfn.UNIQUE(_xlfn._xlws.FILTER(Details!$AO$5:$AO$22, (Details!$C$5:$C$22)=Summary!M$2))),0)</f>
        <v>0</v>
      </c>
      <c r="N19" s="279" cm="1">
        <f t="array" ref="N19">IFERROR(ROWS(_xlfn.UNIQUE(_xlfn._xlws.FILTER(Details!$AO$5:$AO$22, (Details!$C$5:$C$22)=Summary!N$2))),0)</f>
        <v>0</v>
      </c>
      <c r="O19" s="279" cm="1">
        <f t="array" ref="O19">IFERROR(ROWS(_xlfn.UNIQUE(_xlfn._xlws.FILTER(Details!$AO$5:$AO$22, (Details!$C$5:$C$22)=Summary!O$2))),0)</f>
        <v>0</v>
      </c>
      <c r="P19" s="279" cm="1">
        <f t="array" ref="P19">IFERROR(ROWS(_xlfn.UNIQUE(_xlfn._xlws.FILTER(Details!$AO$5:$AO$22, (Details!$C$5:$C$22)=Summary!P$2))),0)</f>
        <v>0</v>
      </c>
      <c r="Q19" s="279" cm="1">
        <f t="array" ref="Q19">IFERROR(ROWS(_xlfn.UNIQUE(_xlfn._xlws.FILTER(Details!$AO$5:$AO$22, (Details!$C$5:$C$22)=Summary!Q$2))),0)</f>
        <v>0</v>
      </c>
      <c r="R19" s="243">
        <f>SUM(D19:Q19)</f>
        <v>17</v>
      </c>
      <c r="S19" s="242"/>
    </row>
    <row r="20" spans="3:23" x14ac:dyDescent="0.3">
      <c r="C20" s="240" t="s">
        <v>12</v>
      </c>
      <c r="D20" s="279" cm="1">
        <f t="array" ref="D20">IFERROR(ROWS(_xlfn.UNIQUE(_xlfn._xlws.FILTER(MID(Details!$G$5:$G$22,3,10), (Details!$C$5:$C$22)=Summary!D$2))),0)</f>
        <v>1</v>
      </c>
      <c r="E20" s="279" cm="1">
        <f t="array" ref="E20">IFERROR(ROWS(_xlfn.UNIQUE(_xlfn._xlws.FILTER(MID(Details!$G$5:$G$22,3,10), (Details!$C$5:$C$22)=Summary!E$2))),0)</f>
        <v>1</v>
      </c>
      <c r="F20" s="279" cm="1">
        <f t="array" ref="F20">IFERROR(ROWS(_xlfn.UNIQUE(_xlfn._xlws.FILTER(MID(Details!$G$5:$G$22,3,10), (Details!$C$5:$C$22)=Summary!F$2))),0)</f>
        <v>2</v>
      </c>
      <c r="G20" s="279" cm="1">
        <f t="array" ref="G20">IFERROR(ROWS(_xlfn.UNIQUE(_xlfn._xlws.FILTER(MID(Details!$G$5:$G$22,3,10), (Details!$C$5:$C$22)=Summary!G$2))),0)</f>
        <v>0</v>
      </c>
      <c r="H20" s="279" cm="1">
        <f t="array" ref="H20">IFERROR(ROWS(_xlfn.UNIQUE(_xlfn._xlws.FILTER(MID(Details!$G$5:$G$22,3,10), (Details!$C$5:$C$22)=Summary!H$2))),0)</f>
        <v>0</v>
      </c>
      <c r="I20" s="279" cm="1">
        <f t="array" ref="I20">IFERROR(ROWS(_xlfn.UNIQUE(_xlfn._xlws.FILTER(MID(Details!$G$5:$G$22,3,10), (Details!$C$5:$C$22)=Summary!I$2))),0)</f>
        <v>0</v>
      </c>
      <c r="J20" s="279" cm="1">
        <f t="array" ref="J20">IFERROR(ROWS(_xlfn.UNIQUE(_xlfn._xlws.FILTER(MID(Details!$G$5:$G$22,3,10), (Details!$C$5:$C$22)=Summary!J$2))),0)</f>
        <v>0</v>
      </c>
      <c r="K20" s="279" cm="1">
        <f t="array" ref="K20">IFERROR(ROWS(_xlfn.UNIQUE(_xlfn._xlws.FILTER(MID(Details!$G$5:$G$22,3,10), (Details!$C$5:$C$22)=Summary!K$2))),0)</f>
        <v>0</v>
      </c>
      <c r="L20" s="279" cm="1">
        <f t="array" ref="L20">IFERROR(ROWS(_xlfn.UNIQUE(_xlfn._xlws.FILTER(MID(Details!$G$5:$G$22,3,10), (Details!$C$5:$C$22)=Summary!L$2))),0)</f>
        <v>0</v>
      </c>
      <c r="M20" s="279" cm="1">
        <f t="array" ref="M20">IFERROR(ROWS(_xlfn.UNIQUE(_xlfn._xlws.FILTER(MID(Details!$G$5:$G$22,3,10), (Details!$C$5:$C$22)=Summary!M$2))),0)</f>
        <v>0</v>
      </c>
      <c r="N20" s="279" cm="1">
        <f t="array" ref="N20">IFERROR(ROWS(_xlfn.UNIQUE(_xlfn._xlws.FILTER(MID(Details!$G$5:$G$22,3,10), (Details!$C$5:$C$22)=Summary!N$2))),0)</f>
        <v>0</v>
      </c>
      <c r="O20" s="279" cm="1">
        <f t="array" ref="O20">IFERROR(ROWS(_xlfn.UNIQUE(_xlfn._xlws.FILTER(MID(Details!$G$5:$G$22,3,10), (Details!$C$5:$C$22)=Summary!O$2))),0)</f>
        <v>0</v>
      </c>
      <c r="P20" s="279" cm="1">
        <f t="array" ref="P20">IFERROR(ROWS(_xlfn.UNIQUE(_xlfn._xlws.FILTER(MID(Details!$G$5:$G$22,3,10), (Details!$C$5:$C$22)=Summary!P$2))),0)</f>
        <v>0</v>
      </c>
      <c r="Q20" s="279" cm="1">
        <f t="array" ref="Q20">IFERROR(ROWS(_xlfn.UNIQUE(_xlfn._xlws.FILTER(MID(Details!$G$5:$G$22,3,10), (Details!$C$5:$C$22)=Summary!Q$2))),0)</f>
        <v>0</v>
      </c>
      <c r="R20" s="243">
        <f>'Supplier Metrics'!B2</f>
        <v>1</v>
      </c>
    </row>
    <row r="21" spans="3:23" x14ac:dyDescent="0.3">
      <c r="C21" s="240" t="s">
        <v>13</v>
      </c>
      <c r="D21" s="279" cm="1">
        <f t="array" ref="D21">IFERROR(ROWS(_xlfn.UNIQUE(_xlfn._xlws.FILTER(MID(Details!$AR$5:$AR$22,3,10), (Details!$C$5:$C$22)=Summary!D$2))),0)</f>
        <v>1</v>
      </c>
      <c r="E21" s="279" cm="1">
        <f t="array" ref="E21">IFERROR(ROWS(_xlfn.UNIQUE(_xlfn._xlws.FILTER(MID(Details!$AR$5:$AR$22,3,10), (Details!$C$5:$C$22)=Summary!E$2))),0)</f>
        <v>1</v>
      </c>
      <c r="F21" s="279" cm="1">
        <f t="array" ref="F21">IFERROR(ROWS(_xlfn.UNIQUE(_xlfn._xlws.FILTER(MID(Details!$AR$5:$AR$22,3,10), (Details!$C$5:$C$22)=Summary!F$2))),0)</f>
        <v>2</v>
      </c>
      <c r="G21" s="279" cm="1">
        <f t="array" ref="G21">IFERROR(ROWS(_xlfn.UNIQUE(_xlfn._xlws.FILTER(MID(Details!$AR$5:$AR$22,3,10), (Details!$C$5:$C$22)=Summary!G$2))),0)</f>
        <v>0</v>
      </c>
      <c r="H21" s="279" cm="1">
        <f t="array" ref="H21">IFERROR(ROWS(_xlfn.UNIQUE(_xlfn._xlws.FILTER(MID(Details!$AR$5:$AR$22,3,10), (Details!$C$5:$C$22)=Summary!H$2))),0)</f>
        <v>0</v>
      </c>
      <c r="I21" s="279" cm="1">
        <f t="array" ref="I21">IFERROR(ROWS(_xlfn.UNIQUE(_xlfn._xlws.FILTER(MID(Details!$AR$5:$AR$22,3,10), (Details!$C$5:$C$22)=Summary!I$2))),0)</f>
        <v>0</v>
      </c>
      <c r="J21" s="279" cm="1">
        <f t="array" ref="J21">IFERROR(ROWS(_xlfn.UNIQUE(_xlfn._xlws.FILTER(MID(Details!$AR$5:$AR$22,3,10), (Details!$C$5:$C$22)=Summary!J$2))),0)</f>
        <v>0</v>
      </c>
      <c r="K21" s="279" cm="1">
        <f t="array" ref="K21">IFERROR(ROWS(_xlfn.UNIQUE(_xlfn._xlws.FILTER(MID(Details!$AR$5:$AR$22,3,10), (Details!$C$5:$C$22)=Summary!K$2))),0)</f>
        <v>0</v>
      </c>
      <c r="L21" s="279" cm="1">
        <f t="array" ref="L21">IFERROR(ROWS(_xlfn.UNIQUE(_xlfn._xlws.FILTER(MID(Details!$AR$5:$AR$22,3,10), (Details!$C$5:$C$22)=Summary!L$2))),0)</f>
        <v>0</v>
      </c>
      <c r="M21" s="279" cm="1">
        <f t="array" ref="M21">IFERROR(ROWS(_xlfn.UNIQUE(_xlfn._xlws.FILTER(MID(Details!$AR$5:$AR$22,3,10), (Details!$C$5:$C$22)=Summary!M$2))),0)</f>
        <v>0</v>
      </c>
      <c r="N21" s="279" cm="1">
        <f t="array" ref="N21">IFERROR(ROWS(_xlfn.UNIQUE(_xlfn._xlws.FILTER(MID(Details!$AR$5:$AR$22,3,10), (Details!$C$5:$C$22)=Summary!N$2))),0)</f>
        <v>0</v>
      </c>
      <c r="O21" s="279" cm="1">
        <f t="array" ref="O21">IFERROR(ROWS(_xlfn.UNIQUE(_xlfn._xlws.FILTER(MID(Details!$AR$5:$AR$22,3,10), (Details!$C$5:$C$22)=Summary!O$2))),0)</f>
        <v>0</v>
      </c>
      <c r="P21" s="279" cm="1">
        <f t="array" ref="P21">IFERROR(ROWS(_xlfn.UNIQUE(_xlfn._xlws.FILTER(MID(Details!$AR$5:$AR$22,3,10), (Details!$C$5:$C$22)=Summary!P$2))),0)</f>
        <v>0</v>
      </c>
      <c r="Q21" s="279" cm="1">
        <f t="array" ref="Q21">IFERROR(ROWS(_xlfn.UNIQUE(_xlfn._xlws.FILTER(MID(Details!$AR$5:$AR$22,3,10), (Details!$C$5:$C$22)=Summary!Q$2))),0)</f>
        <v>0</v>
      </c>
      <c r="R21" s="243">
        <f>'Buyer Metrics'!B3</f>
        <v>2</v>
      </c>
    </row>
    <row r="22" spans="3:23" x14ac:dyDescent="0.3">
      <c r="C22" s="240" t="s">
        <v>202</v>
      </c>
      <c r="D22" s="279" cm="1">
        <f t="array" ref="D22">IFERROR(ROWS(_xlfn.UNIQUE(_xlfn._xlws.FILTER(Details!$E$5:$E$22,(Details!$C$5:$C$22=Summary!D$2)*(Details!$BR$5:$BR$22=Summary!$C$22)))),0)</f>
        <v>0</v>
      </c>
      <c r="E22" s="279" cm="1">
        <f t="array" ref="E22">IFERROR(ROWS(_xlfn.UNIQUE(_xlfn._xlws.FILTER(Details!$E$5:$E$22,(Details!$C$5:$C$22=Summary!E$4)*(Details!$BR$5:$BR$22=Summary!$C$22)))),0)</f>
        <v>0</v>
      </c>
      <c r="F22" s="279" cm="1">
        <f t="array" ref="F22">IFERROR(ROWS(_xlfn.UNIQUE(_xlfn._xlws.FILTER(Details!$E$5:$E$22,(Details!$C$5:$C$22=Summary!F$4)*(Details!$BR$5:$BR$22=Summary!$C$22)))),0)</f>
        <v>0</v>
      </c>
      <c r="G22" s="279" cm="1">
        <f t="array" ref="G22">IFERROR(ROWS(_xlfn.UNIQUE(_xlfn._xlws.FILTER(Details!$E$5:$E$22,(Details!$C$5:$C$22=Summary!G$4)*(Details!$BR$5:$BR$22=Summary!$C$22)))),0)</f>
        <v>0</v>
      </c>
      <c r="H22" s="279" cm="1">
        <f t="array" ref="H22">IFERROR(ROWS(_xlfn.UNIQUE(_xlfn._xlws.FILTER(Details!$E$5:$E$22,(Details!$C$5:$C$22=Summary!H$4)*(Details!$BR$5:$BR$22=Summary!$C$22)))),0)</f>
        <v>0</v>
      </c>
      <c r="I22" s="279" cm="1">
        <f t="array" ref="I22">IFERROR(ROWS(_xlfn.UNIQUE(_xlfn._xlws.FILTER(Details!$E$5:$E$22,(Details!$C$5:$C$22=Summary!I$4)*(Details!$BR$5:$BR$22=Summary!$C$22)))),0)</f>
        <v>0</v>
      </c>
      <c r="J22" s="279" cm="1">
        <f t="array" ref="J22">IFERROR(ROWS(_xlfn.UNIQUE(_xlfn._xlws.FILTER(Details!$E$5:$E$22,(Details!$C$5:$C$22=Summary!J$4)*(Details!$BR$5:$BR$22=Summary!$C$22)))),0)</f>
        <v>0</v>
      </c>
      <c r="K22" s="279" cm="1">
        <f t="array" ref="K22">IFERROR(ROWS(_xlfn.UNIQUE(_xlfn._xlws.FILTER(Details!$E$5:$E$22,(Details!$C$5:$C$22=Summary!K$4)*(Details!$BR$5:$BR$22=Summary!$C$22)))),0)</f>
        <v>0</v>
      </c>
      <c r="L22" s="279" cm="1">
        <f t="array" ref="L22">IFERROR(ROWS(_xlfn.UNIQUE(_xlfn._xlws.FILTER(Details!$E$5:$E$22,(Details!$C$5:$C$22=Summary!L$4)*(Details!$BR$5:$BR$22=Summary!$C$22)))),0)</f>
        <v>0</v>
      </c>
      <c r="M22" s="279" cm="1">
        <f t="array" ref="M22">IFERROR(ROWS(_xlfn.UNIQUE(_xlfn._xlws.FILTER(Details!$E$5:$E$22,(Details!$C$5:$C$22=Summary!M$4)*(Details!$BR$5:$BR$22=Summary!$C$22)))),0)</f>
        <v>0</v>
      </c>
      <c r="N22" s="279" cm="1">
        <f t="array" ref="N22">IFERROR(ROWS(_xlfn.UNIQUE(_xlfn._xlws.FILTER(Details!$E$5:$E$22,(Details!$C$5:$C$22=Summary!N$4)*(Details!$BR$5:$BR$22=Summary!$C$22)))),0)</f>
        <v>0</v>
      </c>
      <c r="O22" s="279" cm="1">
        <f t="array" ref="O22">IFERROR(ROWS(_xlfn.UNIQUE(_xlfn._xlws.FILTER(Details!$E$5:$E$22,(Details!$C$5:$C$22=Summary!O$4)*(Details!$BR$5:$BR$22=Summary!$C$22)))),0)</f>
        <v>0</v>
      </c>
      <c r="P22" s="279" cm="1">
        <f t="array" ref="P22">IFERROR(ROWS(_xlfn.UNIQUE(_xlfn._xlws.FILTER(Details!$E$5:$E$22,(Details!$C$5:$C$22=Summary!P$4)*(Details!$BR$5:$BR$22=Summary!$C$22)))),0)</f>
        <v>0</v>
      </c>
      <c r="Q22" s="279" cm="1">
        <f t="array" ref="Q22">IFERROR(ROWS(_xlfn.UNIQUE(_xlfn._xlws.FILTER(Details!$E$5:$E$22,(Details!$C$5:$C$22=Summary!Q$4)*(Details!$BR$5:$BR$22=Summary!$C$22)))),0)</f>
        <v>0</v>
      </c>
      <c r="R22" s="243">
        <f>SUM(D22:Q22)</f>
        <v>0</v>
      </c>
    </row>
    <row r="23" spans="3:23" x14ac:dyDescent="0.3">
      <c r="C23" s="240" t="s">
        <v>6</v>
      </c>
      <c r="D23" s="252">
        <v>796441.59999999998</v>
      </c>
      <c r="E23" s="252">
        <v>600884.96</v>
      </c>
      <c r="F23" s="252">
        <v>1609904.82</v>
      </c>
      <c r="G23" s="252">
        <v>0</v>
      </c>
      <c r="H23" s="252">
        <v>0</v>
      </c>
      <c r="I23" s="252">
        <v>0</v>
      </c>
      <c r="J23" s="252">
        <v>0</v>
      </c>
      <c r="K23" s="252">
        <v>0</v>
      </c>
      <c r="L23" s="252">
        <v>0</v>
      </c>
      <c r="M23" s="252">
        <v>0</v>
      </c>
      <c r="N23" s="252">
        <v>0</v>
      </c>
      <c r="O23" s="252">
        <v>0</v>
      </c>
      <c r="P23" s="252">
        <v>0</v>
      </c>
      <c r="Q23" s="252">
        <v>0</v>
      </c>
      <c r="R23" s="252">
        <f>F23</f>
        <v>1609904.82</v>
      </c>
      <c r="W23" s="248"/>
    </row>
    <row r="24" spans="3:23" x14ac:dyDescent="0.3">
      <c r="C24" s="307" t="s">
        <v>7</v>
      </c>
      <c r="D24" s="308">
        <f t="shared" ref="D24:Q24" si="12">IFERROR(((D23/(D6*1.18))*D3),0)</f>
        <v>75.525980060564294</v>
      </c>
      <c r="E24" s="308">
        <f t="shared" si="12"/>
        <v>21.626944304327896</v>
      </c>
      <c r="F24" s="308">
        <f t="shared" si="12"/>
        <v>26.246250485152313</v>
      </c>
      <c r="G24" s="308">
        <f t="shared" si="12"/>
        <v>0</v>
      </c>
      <c r="H24" s="308">
        <f t="shared" si="12"/>
        <v>0</v>
      </c>
      <c r="I24" s="308">
        <f t="shared" si="12"/>
        <v>0</v>
      </c>
      <c r="J24" s="308">
        <f t="shared" si="12"/>
        <v>0</v>
      </c>
      <c r="K24" s="308">
        <f t="shared" si="12"/>
        <v>0</v>
      </c>
      <c r="L24" s="308">
        <f t="shared" si="12"/>
        <v>0</v>
      </c>
      <c r="M24" s="308">
        <f t="shared" si="12"/>
        <v>0</v>
      </c>
      <c r="N24" s="308">
        <f t="shared" si="12"/>
        <v>0</v>
      </c>
      <c r="O24" s="308">
        <f t="shared" si="12"/>
        <v>0</v>
      </c>
      <c r="P24" s="308">
        <f t="shared" si="12"/>
        <v>0</v>
      </c>
      <c r="Q24" s="308">
        <f t="shared" si="12"/>
        <v>0</v>
      </c>
      <c r="R24" s="309">
        <f>IFERROR(((R23)/(R6*1.18)*R3),0)</f>
        <v>48.545438278076531</v>
      </c>
    </row>
    <row r="25" spans="3:23" x14ac:dyDescent="0.3">
      <c r="C25" s="240" t="s">
        <v>219</v>
      </c>
      <c r="D25" s="252">
        <v>287674.15999999997</v>
      </c>
      <c r="E25" s="252">
        <v>561938.05999999994</v>
      </c>
      <c r="F25" s="252">
        <v>485716.14999999991</v>
      </c>
      <c r="G25" s="252">
        <v>0</v>
      </c>
      <c r="H25" s="252">
        <v>0</v>
      </c>
      <c r="I25" s="252">
        <v>0</v>
      </c>
      <c r="J25" s="252">
        <v>0</v>
      </c>
      <c r="K25" s="252">
        <v>0</v>
      </c>
      <c r="L25" s="252">
        <v>0</v>
      </c>
      <c r="M25" s="252">
        <v>0</v>
      </c>
      <c r="N25" s="252">
        <v>0</v>
      </c>
      <c r="O25" s="252">
        <v>0</v>
      </c>
      <c r="P25" s="252">
        <v>0</v>
      </c>
      <c r="Q25" s="252">
        <v>0</v>
      </c>
      <c r="R25" s="252">
        <f>F25</f>
        <v>485716.14999999991</v>
      </c>
    </row>
    <row r="26" spans="3:23" x14ac:dyDescent="0.3">
      <c r="C26" s="307" t="s">
        <v>220</v>
      </c>
      <c r="D26" s="308">
        <f t="shared" ref="D26:R26" si="13">IFERROR(((D25/(D7*1.18))*D3),0)</f>
        <v>33.210352278390168</v>
      </c>
      <c r="E26" s="308">
        <f t="shared" si="13"/>
        <v>22.362257227167269</v>
      </c>
      <c r="F26" s="308">
        <f t="shared" si="13"/>
        <v>8.3858657850062102</v>
      </c>
      <c r="G26" s="308">
        <f t="shared" si="13"/>
        <v>0</v>
      </c>
      <c r="H26" s="308">
        <f t="shared" si="13"/>
        <v>0</v>
      </c>
      <c r="I26" s="308">
        <f t="shared" si="13"/>
        <v>0</v>
      </c>
      <c r="J26" s="308">
        <f t="shared" si="13"/>
        <v>0</v>
      </c>
      <c r="K26" s="308">
        <f t="shared" si="13"/>
        <v>0</v>
      </c>
      <c r="L26" s="308">
        <f t="shared" si="13"/>
        <v>0</v>
      </c>
      <c r="M26" s="308">
        <f t="shared" si="13"/>
        <v>0</v>
      </c>
      <c r="N26" s="308">
        <f t="shared" si="13"/>
        <v>0</v>
      </c>
      <c r="O26" s="308">
        <f t="shared" si="13"/>
        <v>0</v>
      </c>
      <c r="P26" s="308">
        <f t="shared" si="13"/>
        <v>0</v>
      </c>
      <c r="Q26" s="308">
        <f t="shared" si="13"/>
        <v>0</v>
      </c>
      <c r="R26" s="309">
        <f t="shared" si="13"/>
        <v>15.919472632827985</v>
      </c>
    </row>
    <row r="27" spans="3:23" ht="16.2" thickBot="1" x14ac:dyDescent="0.35">
      <c r="C27" s="322" t="s">
        <v>245</v>
      </c>
      <c r="D27" s="323">
        <f>D24-D26</f>
        <v>42.315627782174126</v>
      </c>
      <c r="E27" s="323">
        <f t="shared" ref="E27:R27" si="14">E24-E26</f>
        <v>-0.73531292283937333</v>
      </c>
      <c r="F27" s="323">
        <f t="shared" si="14"/>
        <v>17.860384700146103</v>
      </c>
      <c r="G27" s="323">
        <f t="shared" si="14"/>
        <v>0</v>
      </c>
      <c r="H27" s="323">
        <f t="shared" si="14"/>
        <v>0</v>
      </c>
      <c r="I27" s="323">
        <f t="shared" si="14"/>
        <v>0</v>
      </c>
      <c r="J27" s="323">
        <f t="shared" si="14"/>
        <v>0</v>
      </c>
      <c r="K27" s="323">
        <f t="shared" si="14"/>
        <v>0</v>
      </c>
      <c r="L27" s="323">
        <f t="shared" si="14"/>
        <v>0</v>
      </c>
      <c r="M27" s="323">
        <f t="shared" si="14"/>
        <v>0</v>
      </c>
      <c r="N27" s="323">
        <f t="shared" si="14"/>
        <v>0</v>
      </c>
      <c r="O27" s="323">
        <f t="shared" si="14"/>
        <v>0</v>
      </c>
      <c r="P27" s="323">
        <f t="shared" si="14"/>
        <v>0</v>
      </c>
      <c r="Q27" s="323">
        <f t="shared" si="14"/>
        <v>0</v>
      </c>
      <c r="R27" s="323">
        <f t="shared" si="14"/>
        <v>32.625965645248549</v>
      </c>
    </row>
    <row r="28" spans="3:23" x14ac:dyDescent="0.3">
      <c r="C28" s="240" t="s">
        <v>14</v>
      </c>
      <c r="D28" s="252">
        <v>140</v>
      </c>
      <c r="E28" s="252">
        <v>560</v>
      </c>
      <c r="F28" s="252">
        <v>27394.799999999999</v>
      </c>
      <c r="G28" s="252">
        <f>-SUMIFS(Details!$BW$4:$BW$22,Details!$C$4:$C$22,Summary!G4)</f>
        <v>0</v>
      </c>
      <c r="H28" s="252">
        <f>-SUMIFS(Details!$BW$4:$BW$22,Details!$C$4:$C$22,Summary!H4)</f>
        <v>0</v>
      </c>
      <c r="I28" s="252">
        <f>-SUMIFS(Details!$BW$4:$BW$22,Details!$C$4:$C$22,Summary!I4)</f>
        <v>0</v>
      </c>
      <c r="J28" s="252">
        <f>-SUMIFS(Details!$BW$4:$BW$22,Details!$C$4:$C$22,Summary!J4)</f>
        <v>0</v>
      </c>
      <c r="K28" s="252">
        <f>-SUMIFS(Details!$BW$4:$BW$22,Details!$C$4:$C$22,Summary!K4)</f>
        <v>0</v>
      </c>
      <c r="L28" s="252">
        <f>-SUMIFS(Details!$BW$4:$BW$22,Details!$C$4:$C$22,Summary!L4)</f>
        <v>0</v>
      </c>
      <c r="M28" s="252">
        <f>-SUMIFS(Details!$BW$4:$BW$22,Details!$C$4:$C$22,Summary!M4)</f>
        <v>0</v>
      </c>
      <c r="N28" s="252">
        <f>-SUMIFS(Details!$BW$4:$BW$22,Details!$C$4:$C$22,Summary!N4)</f>
        <v>0</v>
      </c>
      <c r="O28" s="252">
        <f>-SUMIFS(Details!$BW$4:$BW$22,Details!$C$4:$C$22,Summary!O4)</f>
        <v>0</v>
      </c>
      <c r="P28" s="252">
        <f>-SUMIFS(Details!$BW$4:$BW$22,Details!$C$4:$C$22,Summary!P4)</f>
        <v>0</v>
      </c>
      <c r="Q28" s="254">
        <f>-SUMIFS(Details!$BW$4:$BW$22,Details!$C$4:$C$22,Summary!Q4)</f>
        <v>0</v>
      </c>
      <c r="R28" s="241">
        <f>SUM(D28:Q28)</f>
        <v>28094.799999999999</v>
      </c>
      <c r="S28" s="251">
        <f>(Details!BM23-Details!BN23)</f>
        <v>-28094.799999999999</v>
      </c>
      <c r="T28" s="234">
        <f>R28+S28</f>
        <v>0</v>
      </c>
    </row>
    <row r="29" spans="3:23" x14ac:dyDescent="0.3">
      <c r="C29" s="240" t="s">
        <v>15</v>
      </c>
      <c r="D29" s="310">
        <f t="shared" ref="D29:Q29" si="15">IFERROR((+D28/D6),0)</f>
        <v>5.2219321148825064E-4</v>
      </c>
      <c r="E29" s="310">
        <f t="shared" si="15"/>
        <v>7.672063141079651E-4</v>
      </c>
      <c r="F29" s="310">
        <f t="shared" si="15"/>
        <v>1.7566933422663824E-2</v>
      </c>
      <c r="G29" s="310">
        <f t="shared" si="15"/>
        <v>0</v>
      </c>
      <c r="H29" s="310">
        <f t="shared" si="15"/>
        <v>0</v>
      </c>
      <c r="I29" s="310">
        <f t="shared" si="15"/>
        <v>0</v>
      </c>
      <c r="J29" s="310">
        <f t="shared" si="15"/>
        <v>0</v>
      </c>
      <c r="K29" s="310">
        <f t="shared" si="15"/>
        <v>0</v>
      </c>
      <c r="L29" s="310">
        <f t="shared" si="15"/>
        <v>0</v>
      </c>
      <c r="M29" s="310">
        <f t="shared" si="15"/>
        <v>0</v>
      </c>
      <c r="N29" s="310">
        <f t="shared" si="15"/>
        <v>0</v>
      </c>
      <c r="O29" s="310">
        <f t="shared" si="15"/>
        <v>0</v>
      </c>
      <c r="P29" s="310">
        <f t="shared" si="15"/>
        <v>0</v>
      </c>
      <c r="Q29" s="310">
        <f t="shared" si="15"/>
        <v>0</v>
      </c>
      <c r="R29" s="311">
        <f>+R28/R6</f>
        <v>1.0985372439426159E-2</v>
      </c>
      <c r="S29" s="251"/>
    </row>
    <row r="30" spans="3:23" x14ac:dyDescent="0.3">
      <c r="C30" s="240" t="s">
        <v>16</v>
      </c>
      <c r="D30" s="252">
        <v>115</v>
      </c>
      <c r="E30" s="252">
        <v>460</v>
      </c>
      <c r="F30" s="252">
        <v>27177</v>
      </c>
      <c r="G30" s="252">
        <f>-SUMIFS(Details!$BX$4:$BX$22,Details!$C$4:$C$22,Summary!G4)</f>
        <v>0</v>
      </c>
      <c r="H30" s="252">
        <f>-SUMIFS(Details!$BX$4:$BX$22,Details!$C$4:$C$22,Summary!H4)</f>
        <v>0</v>
      </c>
      <c r="I30" s="252">
        <f>-SUMIFS(Details!$BX$4:$BX$22,Details!$C$4:$C$22,Summary!I4)</f>
        <v>0</v>
      </c>
      <c r="J30" s="252">
        <f>-SUMIFS(Details!$BX$4:$BX$22,Details!$C$4:$C$22,Summary!J4)</f>
        <v>0</v>
      </c>
      <c r="K30" s="252">
        <f>-SUMIFS(Details!$BX$4:$BX$22,Details!$C$4:$C$22,Summary!K4)</f>
        <v>0</v>
      </c>
      <c r="L30" s="252">
        <f>-SUMIFS(Details!$BX$4:$BX$22,Details!$C$4:$C$22,Summary!L4)</f>
        <v>0</v>
      </c>
      <c r="M30" s="252">
        <f>-SUMIFS(Details!$BX$4:$BX$22,Details!$C$4:$C$22,Summary!M4)</f>
        <v>0</v>
      </c>
      <c r="N30" s="252">
        <f>-SUMIFS(Details!$BX$4:$BX$22,Details!$C$4:$C$22,Summary!N4)</f>
        <v>0</v>
      </c>
      <c r="O30" s="252">
        <f>-SUMIFS(Details!$BX$4:$BX$22,Details!$C$4:$C$22,Summary!O4)</f>
        <v>0</v>
      </c>
      <c r="P30" s="252">
        <f>-SUMIFS(Details!$BX$4:$BX$22,Details!$C$4:$C$22,Summary!P4)</f>
        <v>0</v>
      </c>
      <c r="Q30" s="254">
        <f>-SUMIFS(Details!$BX$4:$BX$22,Details!$C$4:$C$22,Summary!Q4)</f>
        <v>0</v>
      </c>
      <c r="R30" s="241">
        <f>SUM(D30:Q30)</f>
        <v>27752</v>
      </c>
      <c r="S30" s="251">
        <f>(Details!AK23-Details!AL23)</f>
        <v>-27752</v>
      </c>
      <c r="T30" s="234">
        <f>R30+S30</f>
        <v>0</v>
      </c>
    </row>
    <row r="31" spans="3:23" ht="16.2" thickBot="1" x14ac:dyDescent="0.35">
      <c r="C31" s="265" t="s">
        <v>17</v>
      </c>
      <c r="D31" s="312">
        <f t="shared" ref="D31:Q31" si="16">IFERROR((D30/D7),0)</f>
        <v>5.2219321148825064E-4</v>
      </c>
      <c r="E31" s="312">
        <f t="shared" si="16"/>
        <v>6.9679549809517312E-4</v>
      </c>
      <c r="F31" s="312">
        <f t="shared" si="16"/>
        <v>1.8455577112829809E-2</v>
      </c>
      <c r="G31" s="312">
        <f t="shared" si="16"/>
        <v>0</v>
      </c>
      <c r="H31" s="312">
        <f t="shared" si="16"/>
        <v>0</v>
      </c>
      <c r="I31" s="312">
        <f t="shared" si="16"/>
        <v>0</v>
      </c>
      <c r="J31" s="312">
        <f t="shared" si="16"/>
        <v>0</v>
      </c>
      <c r="K31" s="312">
        <f t="shared" si="16"/>
        <v>0</v>
      </c>
      <c r="L31" s="312">
        <f t="shared" si="16"/>
        <v>0</v>
      </c>
      <c r="M31" s="312">
        <f t="shared" si="16"/>
        <v>0</v>
      </c>
      <c r="N31" s="312">
        <f t="shared" si="16"/>
        <v>0</v>
      </c>
      <c r="O31" s="312">
        <f t="shared" si="16"/>
        <v>0</v>
      </c>
      <c r="P31" s="312">
        <f t="shared" si="16"/>
        <v>0</v>
      </c>
      <c r="Q31" s="312">
        <f t="shared" si="16"/>
        <v>0</v>
      </c>
      <c r="R31" s="313">
        <f>(R30/(R7+R10))</f>
        <v>1.1526525295888462E-2</v>
      </c>
      <c r="S31" s="251"/>
    </row>
    <row r="32" spans="3:23" x14ac:dyDescent="0.3">
      <c r="S32" s="251"/>
    </row>
    <row r="33" spans="3:19" hidden="1" x14ac:dyDescent="0.3">
      <c r="C33" s="255" t="s">
        <v>137</v>
      </c>
      <c r="D33" s="237">
        <f t="shared" ref="D33:R33" si="17">D4</f>
        <v>46113</v>
      </c>
      <c r="E33" s="237">
        <f t="shared" si="17"/>
        <v>46143</v>
      </c>
      <c r="F33" s="237">
        <f t="shared" si="17"/>
        <v>46174</v>
      </c>
      <c r="G33" s="237">
        <f t="shared" si="17"/>
        <v>46204</v>
      </c>
      <c r="H33" s="237">
        <f t="shared" si="17"/>
        <v>46235</v>
      </c>
      <c r="I33" s="237">
        <f t="shared" si="17"/>
        <v>46266</v>
      </c>
      <c r="J33" s="237">
        <f t="shared" si="17"/>
        <v>45931</v>
      </c>
      <c r="K33" s="237">
        <f t="shared" si="17"/>
        <v>45962</v>
      </c>
      <c r="L33" s="238">
        <v>46296</v>
      </c>
      <c r="M33" s="238">
        <v>46327</v>
      </c>
      <c r="N33" s="237">
        <f t="shared" si="17"/>
        <v>45992</v>
      </c>
      <c r="O33" s="237">
        <f t="shared" si="17"/>
        <v>46023</v>
      </c>
      <c r="P33" s="237">
        <f t="shared" si="17"/>
        <v>46054</v>
      </c>
      <c r="Q33" s="237">
        <f t="shared" si="17"/>
        <v>46082</v>
      </c>
      <c r="R33" s="237" t="str">
        <f t="shared" si="17"/>
        <v>FY 2026-27</v>
      </c>
    </row>
    <row r="34" spans="3:19" hidden="1" x14ac:dyDescent="0.3">
      <c r="C34" s="256" t="s">
        <v>108</v>
      </c>
      <c r="D34" s="257">
        <f t="shared" ref="D34:Q34" si="18">D6+D53</f>
        <v>268100</v>
      </c>
      <c r="E34" s="257">
        <f t="shared" si="18"/>
        <v>729921</v>
      </c>
      <c r="F34" s="257">
        <f t="shared" si="18"/>
        <v>1559452.6</v>
      </c>
      <c r="G34" s="257">
        <f t="shared" si="18"/>
        <v>0</v>
      </c>
      <c r="H34" s="257">
        <f t="shared" si="18"/>
        <v>0</v>
      </c>
      <c r="I34" s="257">
        <f t="shared" si="18"/>
        <v>0</v>
      </c>
      <c r="J34" s="257">
        <f t="shared" ref="J34:M34" si="19">J6+J53</f>
        <v>0</v>
      </c>
      <c r="K34" s="257">
        <f t="shared" si="19"/>
        <v>0</v>
      </c>
      <c r="L34" s="257">
        <f t="shared" si="19"/>
        <v>0</v>
      </c>
      <c r="M34" s="257">
        <f t="shared" si="19"/>
        <v>0</v>
      </c>
      <c r="N34" s="257">
        <f t="shared" si="18"/>
        <v>0</v>
      </c>
      <c r="O34" s="257">
        <f t="shared" si="18"/>
        <v>0</v>
      </c>
      <c r="P34" s="257">
        <f t="shared" si="18"/>
        <v>0</v>
      </c>
      <c r="Q34" s="257">
        <f t="shared" si="18"/>
        <v>0</v>
      </c>
      <c r="R34" s="257">
        <f>SUM(D34:Q34)</f>
        <v>2557473.6</v>
      </c>
    </row>
    <row r="35" spans="3:19" hidden="1" x14ac:dyDescent="0.3">
      <c r="C35" s="256" t="s">
        <v>109</v>
      </c>
      <c r="D35" s="257">
        <f t="shared" ref="D35:Q35" si="20">D7+D10+D52</f>
        <v>274936</v>
      </c>
      <c r="E35" s="257">
        <f t="shared" si="20"/>
        <v>660165</v>
      </c>
      <c r="F35" s="257">
        <f t="shared" si="20"/>
        <v>1472563</v>
      </c>
      <c r="G35" s="257">
        <f t="shared" si="20"/>
        <v>0</v>
      </c>
      <c r="H35" s="257">
        <f t="shared" si="20"/>
        <v>0</v>
      </c>
      <c r="I35" s="257">
        <f t="shared" si="20"/>
        <v>0</v>
      </c>
      <c r="J35" s="257">
        <f t="shared" ref="J35:M35" si="21">J7+J10+J52</f>
        <v>0</v>
      </c>
      <c r="K35" s="257">
        <f t="shared" si="21"/>
        <v>0</v>
      </c>
      <c r="L35" s="257">
        <f t="shared" si="21"/>
        <v>0</v>
      </c>
      <c r="M35" s="257">
        <f t="shared" si="21"/>
        <v>0</v>
      </c>
      <c r="N35" s="257">
        <f t="shared" si="20"/>
        <v>0</v>
      </c>
      <c r="O35" s="257">
        <f t="shared" si="20"/>
        <v>0</v>
      </c>
      <c r="P35" s="257">
        <f t="shared" si="20"/>
        <v>0</v>
      </c>
      <c r="Q35" s="257">
        <f t="shared" si="20"/>
        <v>0</v>
      </c>
      <c r="R35" s="257">
        <f>SUM(D35:Q35)</f>
        <v>2407664</v>
      </c>
    </row>
    <row r="36" spans="3:19" hidden="1" x14ac:dyDescent="0.3">
      <c r="C36" s="256" t="s">
        <v>110</v>
      </c>
      <c r="D36" s="258">
        <f>D34-D35</f>
        <v>-6836</v>
      </c>
      <c r="E36" s="259">
        <f>E34-E35</f>
        <v>69756</v>
      </c>
      <c r="F36" s="258">
        <f t="shared" ref="F36:Q36" si="22">F34-F35</f>
        <v>86889.600000000093</v>
      </c>
      <c r="G36" s="258">
        <f t="shared" si="22"/>
        <v>0</v>
      </c>
      <c r="H36" s="258">
        <f t="shared" si="22"/>
        <v>0</v>
      </c>
      <c r="I36" s="258">
        <f t="shared" si="22"/>
        <v>0</v>
      </c>
      <c r="J36" s="258">
        <f t="shared" ref="J36:M36" si="23">J34-J35</f>
        <v>0</v>
      </c>
      <c r="K36" s="258">
        <f t="shared" si="23"/>
        <v>0</v>
      </c>
      <c r="L36" s="258">
        <f t="shared" si="23"/>
        <v>0</v>
      </c>
      <c r="M36" s="258">
        <f t="shared" si="23"/>
        <v>0</v>
      </c>
      <c r="N36" s="258">
        <f t="shared" si="22"/>
        <v>0</v>
      </c>
      <c r="O36" s="258">
        <f t="shared" si="22"/>
        <v>0</v>
      </c>
      <c r="P36" s="259">
        <f t="shared" si="22"/>
        <v>0</v>
      </c>
      <c r="Q36" s="258">
        <f t="shared" si="22"/>
        <v>0</v>
      </c>
      <c r="R36" s="258">
        <f>R34-R35</f>
        <v>149809.60000000009</v>
      </c>
    </row>
    <row r="37" spans="3:19" ht="16.2" hidden="1" thickBot="1" x14ac:dyDescent="0.35">
      <c r="C37" s="260" t="s">
        <v>5</v>
      </c>
      <c r="D37" s="261">
        <f>D36/D34</f>
        <v>-2.5497948526669152E-2</v>
      </c>
      <c r="E37" s="262">
        <f>E36/E34</f>
        <v>9.5566506512348603E-2</v>
      </c>
      <c r="F37" s="261">
        <f t="shared" ref="F37:P37" si="24">F36/F34</f>
        <v>5.5718012846302664E-2</v>
      </c>
      <c r="G37" s="261" t="e">
        <f t="shared" si="24"/>
        <v>#DIV/0!</v>
      </c>
      <c r="H37" s="261" t="e">
        <f t="shared" si="24"/>
        <v>#DIV/0!</v>
      </c>
      <c r="I37" s="261" t="e">
        <f t="shared" si="24"/>
        <v>#DIV/0!</v>
      </c>
      <c r="J37" s="261" t="e">
        <f t="shared" ref="J37:M37" si="25">J36/J34</f>
        <v>#DIV/0!</v>
      </c>
      <c r="K37" s="261" t="e">
        <f t="shared" si="25"/>
        <v>#DIV/0!</v>
      </c>
      <c r="L37" s="261" t="e">
        <f t="shared" si="25"/>
        <v>#DIV/0!</v>
      </c>
      <c r="M37" s="261" t="e">
        <f t="shared" si="25"/>
        <v>#DIV/0!</v>
      </c>
      <c r="N37" s="261" t="e">
        <f t="shared" si="24"/>
        <v>#DIV/0!</v>
      </c>
      <c r="O37" s="261" t="e">
        <f t="shared" si="24"/>
        <v>#DIV/0!</v>
      </c>
      <c r="P37" s="262" t="e">
        <f t="shared" si="24"/>
        <v>#DIV/0!</v>
      </c>
      <c r="Q37" s="261" t="e">
        <f>Q36/Q34</f>
        <v>#DIV/0!</v>
      </c>
      <c r="R37" s="261">
        <f>R36/R34</f>
        <v>5.8577183357826287E-2</v>
      </c>
    </row>
    <row r="38" spans="3:19" ht="16.2" hidden="1" thickBot="1" x14ac:dyDescent="0.35"/>
    <row r="39" spans="3:19" hidden="1" x14ac:dyDescent="0.3">
      <c r="C39" s="236" t="s">
        <v>138</v>
      </c>
      <c r="D39" s="237">
        <f t="shared" ref="D39:R39" si="26">D4</f>
        <v>46113</v>
      </c>
      <c r="E39" s="237">
        <f t="shared" si="26"/>
        <v>46143</v>
      </c>
      <c r="F39" s="237">
        <f t="shared" si="26"/>
        <v>46174</v>
      </c>
      <c r="G39" s="237">
        <f t="shared" si="26"/>
        <v>46204</v>
      </c>
      <c r="H39" s="237">
        <f t="shared" si="26"/>
        <v>46235</v>
      </c>
      <c r="I39" s="237">
        <f t="shared" si="26"/>
        <v>46266</v>
      </c>
      <c r="J39" s="237">
        <f t="shared" si="26"/>
        <v>45931</v>
      </c>
      <c r="K39" s="237">
        <f t="shared" si="26"/>
        <v>45962</v>
      </c>
      <c r="L39" s="238">
        <v>46296</v>
      </c>
      <c r="M39" s="238">
        <v>46327</v>
      </c>
      <c r="N39" s="237">
        <f t="shared" si="26"/>
        <v>45992</v>
      </c>
      <c r="O39" s="237">
        <f t="shared" si="26"/>
        <v>46023</v>
      </c>
      <c r="P39" s="237">
        <f t="shared" si="26"/>
        <v>46054</v>
      </c>
      <c r="Q39" s="237">
        <f t="shared" si="26"/>
        <v>46082</v>
      </c>
      <c r="R39" s="237" t="str">
        <f t="shared" si="26"/>
        <v>FY 2026-27</v>
      </c>
      <c r="S39" s="251"/>
    </row>
    <row r="40" spans="3:19" hidden="1" x14ac:dyDescent="0.3">
      <c r="C40" s="240" t="s">
        <v>203</v>
      </c>
      <c r="D40" s="263">
        <f t="shared" ref="D40:Q40" si="27">IFERROR(((D6/C6)-1),0)</f>
        <v>0</v>
      </c>
      <c r="E40" s="264">
        <f t="shared" si="27"/>
        <v>1.7225699365908245</v>
      </c>
      <c r="F40" s="263">
        <f t="shared" si="27"/>
        <v>1.1364676451287195</v>
      </c>
      <c r="G40" s="263">
        <f t="shared" si="27"/>
        <v>-1</v>
      </c>
      <c r="H40" s="264">
        <f t="shared" si="27"/>
        <v>0</v>
      </c>
      <c r="I40" s="263">
        <f t="shared" si="27"/>
        <v>0</v>
      </c>
      <c r="J40" s="263">
        <f t="shared" ref="J40" si="28">IFERROR(((J6/I6)-1),0)</f>
        <v>0</v>
      </c>
      <c r="K40" s="263">
        <f t="shared" ref="K40" si="29">IFERROR(((K6/J6)-1),0)</f>
        <v>0</v>
      </c>
      <c r="L40" s="263">
        <f t="shared" ref="L40" si="30">IFERROR(((L6/K6)-1),0)</f>
        <v>0</v>
      </c>
      <c r="M40" s="263">
        <f t="shared" ref="M40" si="31">IFERROR(((M6/L6)-1),0)</f>
        <v>0</v>
      </c>
      <c r="N40" s="263">
        <f>IFERROR(((N6/K6)-1),0)</f>
        <v>0</v>
      </c>
      <c r="O40" s="264">
        <f t="shared" si="27"/>
        <v>0</v>
      </c>
      <c r="P40" s="263">
        <f t="shared" si="27"/>
        <v>0</v>
      </c>
      <c r="Q40" s="264">
        <f t="shared" si="27"/>
        <v>0</v>
      </c>
      <c r="R40" s="252">
        <v>0</v>
      </c>
      <c r="S40" s="251"/>
    </row>
    <row r="41" spans="3:19" hidden="1" x14ac:dyDescent="0.3">
      <c r="C41" s="240" t="s">
        <v>204</v>
      </c>
      <c r="D41" s="263">
        <f t="shared" ref="D41:Q41" si="32">IFERROR(((D5/C5)-1),0)</f>
        <v>0</v>
      </c>
      <c r="E41" s="264">
        <f t="shared" si="32"/>
        <v>1.9123173277661794</v>
      </c>
      <c r="F41" s="263">
        <f t="shared" si="32"/>
        <v>1.7598566308243728</v>
      </c>
      <c r="G41" s="263">
        <f t="shared" si="32"/>
        <v>-1</v>
      </c>
      <c r="H41" s="264">
        <f t="shared" si="32"/>
        <v>0</v>
      </c>
      <c r="I41" s="263">
        <f t="shared" si="32"/>
        <v>0</v>
      </c>
      <c r="J41" s="263">
        <f t="shared" ref="J41" si="33">IFERROR(((J5/I5)-1),0)</f>
        <v>0</v>
      </c>
      <c r="K41" s="263">
        <f t="shared" ref="K41" si="34">IFERROR(((K5/J5)-1),0)</f>
        <v>0</v>
      </c>
      <c r="L41" s="263">
        <f t="shared" ref="L41" si="35">IFERROR(((L5/K5)-1),0)</f>
        <v>0</v>
      </c>
      <c r="M41" s="263">
        <f t="shared" ref="M41" si="36">IFERROR(((M5/L5)-1),0)</f>
        <v>0</v>
      </c>
      <c r="N41" s="263">
        <f>IFERROR(((N5/K5)-1),0)</f>
        <v>0</v>
      </c>
      <c r="O41" s="264">
        <f t="shared" si="32"/>
        <v>0</v>
      </c>
      <c r="P41" s="263">
        <f t="shared" si="32"/>
        <v>0</v>
      </c>
      <c r="Q41" s="264">
        <f t="shared" si="32"/>
        <v>0</v>
      </c>
      <c r="R41" s="252">
        <v>0</v>
      </c>
    </row>
    <row r="42" spans="3:19" ht="16.2" hidden="1" thickBot="1" x14ac:dyDescent="0.35">
      <c r="C42" s="265" t="s">
        <v>205</v>
      </c>
      <c r="D42" s="266">
        <f t="shared" ref="D42:Q42" si="37">IFERROR(((D19/C19)-1),0)</f>
        <v>0</v>
      </c>
      <c r="E42" s="267">
        <f>IFERROR(((E19/D19)-1),0)</f>
        <v>2</v>
      </c>
      <c r="F42" s="266">
        <f t="shared" si="37"/>
        <v>3.333333333333333</v>
      </c>
      <c r="G42" s="266">
        <f t="shared" si="37"/>
        <v>-1</v>
      </c>
      <c r="H42" s="267">
        <f>IFERROR(((#REF!/G19)-1),0)</f>
        <v>0</v>
      </c>
      <c r="I42" s="266">
        <f>IFERROR(((I19/#REF!)-1),0)</f>
        <v>0</v>
      </c>
      <c r="J42" s="266">
        <f>IFERROR(((J19/#REF!)-1),0)</f>
        <v>0</v>
      </c>
      <c r="K42" s="266">
        <f>IFERROR(((K19/#REF!)-1),0)</f>
        <v>0</v>
      </c>
      <c r="L42" s="266">
        <f>IFERROR(((L19/#REF!)-1),0)</f>
        <v>0</v>
      </c>
      <c r="M42" s="266">
        <f>IFERROR(((M19/#REF!)-1),0)</f>
        <v>0</v>
      </c>
      <c r="N42" s="266">
        <f>IFERROR(((N19/K19)-1),0)</f>
        <v>0</v>
      </c>
      <c r="O42" s="267">
        <f t="shared" si="37"/>
        <v>0</v>
      </c>
      <c r="P42" s="266">
        <f t="shared" si="37"/>
        <v>0</v>
      </c>
      <c r="Q42" s="267">
        <f t="shared" si="37"/>
        <v>0</v>
      </c>
      <c r="R42" s="268">
        <v>0</v>
      </c>
    </row>
    <row r="43" spans="3:19" ht="16.2" hidden="1" thickBot="1" x14ac:dyDescent="0.35">
      <c r="C43" s="233"/>
    </row>
    <row r="44" spans="3:19" hidden="1" x14ac:dyDescent="0.3">
      <c r="C44" s="236" t="s">
        <v>139</v>
      </c>
      <c r="D44" s="237">
        <f>D39</f>
        <v>46113</v>
      </c>
      <c r="E44" s="237">
        <f t="shared" ref="E44:R44" si="38">E39</f>
        <v>46143</v>
      </c>
      <c r="F44" s="237">
        <f t="shared" si="38"/>
        <v>46174</v>
      </c>
      <c r="G44" s="237">
        <f t="shared" si="38"/>
        <v>46204</v>
      </c>
      <c r="H44" s="237">
        <f t="shared" si="38"/>
        <v>46235</v>
      </c>
      <c r="I44" s="237">
        <f t="shared" si="38"/>
        <v>46266</v>
      </c>
      <c r="J44" s="237">
        <f t="shared" si="38"/>
        <v>45931</v>
      </c>
      <c r="K44" s="237">
        <f t="shared" si="38"/>
        <v>45962</v>
      </c>
      <c r="L44" s="238">
        <v>46296</v>
      </c>
      <c r="M44" s="238">
        <v>46327</v>
      </c>
      <c r="N44" s="237">
        <f t="shared" si="38"/>
        <v>45992</v>
      </c>
      <c r="O44" s="237">
        <f t="shared" si="38"/>
        <v>46023</v>
      </c>
      <c r="P44" s="237">
        <f t="shared" si="38"/>
        <v>46054</v>
      </c>
      <c r="Q44" s="237">
        <f t="shared" si="38"/>
        <v>46082</v>
      </c>
      <c r="R44" s="237" t="str">
        <f t="shared" si="38"/>
        <v>FY 2026-27</v>
      </c>
    </row>
    <row r="45" spans="3:19" hidden="1" x14ac:dyDescent="0.3">
      <c r="C45" s="240" t="s">
        <v>206</v>
      </c>
      <c r="D45" s="252">
        <v>0</v>
      </c>
      <c r="E45" s="253">
        <v>0</v>
      </c>
      <c r="F45" s="252">
        <v>0</v>
      </c>
      <c r="G45" s="252">
        <v>0</v>
      </c>
      <c r="H45" s="253">
        <v>0</v>
      </c>
      <c r="I45" s="252">
        <v>0</v>
      </c>
      <c r="J45" s="252">
        <v>0</v>
      </c>
      <c r="K45" s="252">
        <v>0</v>
      </c>
      <c r="L45" s="252">
        <v>0</v>
      </c>
      <c r="M45" s="252">
        <v>0</v>
      </c>
      <c r="N45" s="252">
        <v>0</v>
      </c>
      <c r="O45" s="252">
        <v>0</v>
      </c>
      <c r="P45" s="253">
        <v>0</v>
      </c>
      <c r="Q45" s="252">
        <v>0</v>
      </c>
      <c r="R45" s="269">
        <f>SUM(D45:Q45)</f>
        <v>0</v>
      </c>
    </row>
    <row r="46" spans="3:19" hidden="1" x14ac:dyDescent="0.3">
      <c r="C46" s="240" t="s">
        <v>207</v>
      </c>
      <c r="D46" s="252">
        <v>0</v>
      </c>
      <c r="E46" s="253">
        <v>0</v>
      </c>
      <c r="F46" s="252">
        <v>0</v>
      </c>
      <c r="G46" s="252">
        <v>0</v>
      </c>
      <c r="H46" s="253">
        <v>0</v>
      </c>
      <c r="I46" s="252">
        <v>0</v>
      </c>
      <c r="J46" s="252">
        <v>0</v>
      </c>
      <c r="K46" s="252">
        <v>0</v>
      </c>
      <c r="L46" s="252">
        <v>0</v>
      </c>
      <c r="M46" s="252">
        <v>0</v>
      </c>
      <c r="N46" s="252">
        <v>0</v>
      </c>
      <c r="O46" s="252">
        <v>0</v>
      </c>
      <c r="P46" s="253">
        <v>0</v>
      </c>
      <c r="Q46" s="252">
        <v>0</v>
      </c>
      <c r="R46" s="252">
        <f>SUM(D46:Q46)</f>
        <v>0</v>
      </c>
    </row>
    <row r="47" spans="3:19" hidden="1" x14ac:dyDescent="0.3">
      <c r="C47" s="240" t="s">
        <v>208</v>
      </c>
      <c r="D47" s="252">
        <v>0</v>
      </c>
      <c r="E47" s="253">
        <v>0</v>
      </c>
      <c r="F47" s="252">
        <v>0</v>
      </c>
      <c r="G47" s="252">
        <v>0</v>
      </c>
      <c r="H47" s="253">
        <v>0</v>
      </c>
      <c r="I47" s="252">
        <v>0</v>
      </c>
      <c r="J47" s="252">
        <v>0</v>
      </c>
      <c r="K47" s="252">
        <v>0</v>
      </c>
      <c r="L47" s="252">
        <v>0</v>
      </c>
      <c r="M47" s="252">
        <v>0</v>
      </c>
      <c r="N47" s="252">
        <v>0</v>
      </c>
      <c r="O47" s="252">
        <v>0</v>
      </c>
      <c r="P47" s="253">
        <v>0</v>
      </c>
      <c r="Q47" s="252">
        <v>0</v>
      </c>
      <c r="R47" s="252">
        <f>SUM(D47:Q47)</f>
        <v>0</v>
      </c>
    </row>
    <row r="48" spans="3:19" hidden="1" x14ac:dyDescent="0.3">
      <c r="C48" s="240" t="s">
        <v>209</v>
      </c>
      <c r="D48" s="270">
        <f t="shared" ref="D48:R48" si="39">IFERROR(D47/D19,0)</f>
        <v>0</v>
      </c>
      <c r="E48" s="271">
        <f t="shared" si="39"/>
        <v>0</v>
      </c>
      <c r="F48" s="270">
        <f t="shared" si="39"/>
        <v>0</v>
      </c>
      <c r="G48" s="270">
        <f t="shared" si="39"/>
        <v>0</v>
      </c>
      <c r="H48" s="271">
        <f>IFERROR(H47/#REF!,0)</f>
        <v>0</v>
      </c>
      <c r="I48" s="270">
        <f t="shared" si="39"/>
        <v>0</v>
      </c>
      <c r="J48" s="270">
        <f t="shared" ref="J48:M48" si="40">IFERROR(J47/J19,0)</f>
        <v>0</v>
      </c>
      <c r="K48" s="270">
        <f t="shared" si="40"/>
        <v>0</v>
      </c>
      <c r="L48" s="270">
        <f t="shared" si="40"/>
        <v>0</v>
      </c>
      <c r="M48" s="270">
        <f t="shared" si="40"/>
        <v>0</v>
      </c>
      <c r="N48" s="270">
        <f t="shared" si="39"/>
        <v>0</v>
      </c>
      <c r="O48" s="270">
        <f t="shared" si="39"/>
        <v>0</v>
      </c>
      <c r="P48" s="271">
        <f t="shared" si="39"/>
        <v>0</v>
      </c>
      <c r="Q48" s="270">
        <f t="shared" si="39"/>
        <v>0</v>
      </c>
      <c r="R48" s="270">
        <f t="shared" si="39"/>
        <v>0</v>
      </c>
    </row>
    <row r="49" spans="3:20" ht="16.2" hidden="1" thickBot="1" x14ac:dyDescent="0.35">
      <c r="C49" s="265" t="s">
        <v>210</v>
      </c>
      <c r="D49" s="268">
        <v>0</v>
      </c>
      <c r="E49" s="272">
        <v>0</v>
      </c>
      <c r="F49" s="268">
        <v>0</v>
      </c>
      <c r="G49" s="268">
        <v>0</v>
      </c>
      <c r="H49" s="272">
        <v>0</v>
      </c>
      <c r="I49" s="268">
        <v>0</v>
      </c>
      <c r="J49" s="268">
        <v>1</v>
      </c>
      <c r="K49" s="268">
        <v>2</v>
      </c>
      <c r="L49" s="268">
        <v>3</v>
      </c>
      <c r="M49" s="268">
        <v>4</v>
      </c>
      <c r="N49" s="268">
        <v>0</v>
      </c>
      <c r="O49" s="268">
        <v>0</v>
      </c>
      <c r="P49" s="272">
        <v>0</v>
      </c>
      <c r="Q49" s="268">
        <v>0</v>
      </c>
      <c r="R49" s="268">
        <f>SUM(D49:Q49)</f>
        <v>10</v>
      </c>
      <c r="S49" s="248"/>
    </row>
    <row r="50" spans="3:20" ht="16.2" hidden="1" thickBot="1" x14ac:dyDescent="0.35">
      <c r="C50" s="233"/>
      <c r="S50" s="273"/>
    </row>
    <row r="51" spans="3:20" hidden="1" x14ac:dyDescent="0.3">
      <c r="C51" s="255" t="s">
        <v>134</v>
      </c>
      <c r="D51" s="237">
        <f>D44</f>
        <v>46113</v>
      </c>
      <c r="E51" s="237">
        <f t="shared" ref="E51:R51" si="41">E44</f>
        <v>46143</v>
      </c>
      <c r="F51" s="237">
        <f t="shared" si="41"/>
        <v>46174</v>
      </c>
      <c r="G51" s="237">
        <f t="shared" si="41"/>
        <v>46204</v>
      </c>
      <c r="H51" s="237">
        <f t="shared" si="41"/>
        <v>46235</v>
      </c>
      <c r="I51" s="237">
        <f t="shared" si="41"/>
        <v>46266</v>
      </c>
      <c r="J51" s="237">
        <f t="shared" si="41"/>
        <v>45931</v>
      </c>
      <c r="K51" s="237">
        <f t="shared" si="41"/>
        <v>45962</v>
      </c>
      <c r="L51" s="238">
        <v>46296</v>
      </c>
      <c r="M51" s="238">
        <v>46327</v>
      </c>
      <c r="N51" s="237">
        <f t="shared" si="41"/>
        <v>45992</v>
      </c>
      <c r="O51" s="237">
        <f t="shared" si="41"/>
        <v>46023</v>
      </c>
      <c r="P51" s="237">
        <f t="shared" si="41"/>
        <v>46054</v>
      </c>
      <c r="Q51" s="237">
        <f t="shared" si="41"/>
        <v>46082</v>
      </c>
      <c r="R51" s="237" t="str">
        <f t="shared" si="41"/>
        <v>FY 2026-27</v>
      </c>
      <c r="S51" s="234">
        <f>ROUND(S52-S53,2)-ROUND(R36-R12,2)</f>
        <v>-554906</v>
      </c>
    </row>
    <row r="52" spans="3:20" hidden="1" x14ac:dyDescent="0.3">
      <c r="C52" s="256" t="s">
        <v>106</v>
      </c>
      <c r="D52" s="274">
        <f>-SUMIFS(Details!$AL$4:$AL$22,Details!$C$4:$C$22,Summary!D51)</f>
        <v>0</v>
      </c>
      <c r="E52" s="274">
        <f>-SUMIFS(Details!$AL$4:$AL$22,Details!$C$4:$C$22,Summary!E51)</f>
        <v>0</v>
      </c>
      <c r="F52" s="274">
        <f>-SUMIFS(Details!$AL$4:$AL$22,Details!$C$4:$C$22,Summary!F51)</f>
        <v>0</v>
      </c>
      <c r="G52" s="274">
        <f>-SUMIFS(Details!$AL$4:$AL$22,Details!$C$4:$C$22,Summary!G51)</f>
        <v>0</v>
      </c>
      <c r="H52" s="274">
        <f>-SUMIFS(Details!$AL$4:$AL$22,Details!$C$4:$C$22,Summary!H51)</f>
        <v>0</v>
      </c>
      <c r="I52" s="274">
        <f>-SUMIFS(Details!$AL$4:$AL$22,Details!$C$4:$C$22,Summary!I51)</f>
        <v>0</v>
      </c>
      <c r="J52" s="274">
        <f>-SUMIFS(Details!$AL$4:$AL$22,Details!$C$4:$C$22,Summary!J51)</f>
        <v>0</v>
      </c>
      <c r="K52" s="274">
        <f>-SUMIFS(Details!$AL$4:$AL$22,Details!$C$4:$C$22,Summary!K51)</f>
        <v>0</v>
      </c>
      <c r="L52" s="274">
        <f>-SUMIFS(Details!$AL$4:$AL$22,Details!$C$4:$C$22,Summary!L51)</f>
        <v>0</v>
      </c>
      <c r="M52" s="274">
        <f>-SUMIFS(Details!$AL$4:$AL$22,Details!$C$4:$C$22,Summary!M51)</f>
        <v>0</v>
      </c>
      <c r="N52" s="274">
        <f>-SUMIFS(Details!$AL$4:$AL$22,Details!$C$4:$C$22,Summary!N51)</f>
        <v>0</v>
      </c>
      <c r="O52" s="274">
        <f>-SUMIFS(Details!$AL$4:$AL$22,Details!$C$4:$C$22,Summary!O51)</f>
        <v>0</v>
      </c>
      <c r="P52" s="274">
        <f>-SUMIFS(Details!$AL$4:$AL$22,Details!$C$4:$C$22,Summary!P51)</f>
        <v>0</v>
      </c>
      <c r="Q52" s="274">
        <f>-SUMIFS(Details!$AL$4:$AL$22,Details!$C$4:$C$22,Summary!Q51)</f>
        <v>0</v>
      </c>
      <c r="R52" s="275">
        <f>SUM(D52:Q52)</f>
        <v>0</v>
      </c>
      <c r="S52" s="276">
        <f>Details!AL23</f>
        <v>0</v>
      </c>
      <c r="T52" s="234">
        <f>S52+R52</f>
        <v>0</v>
      </c>
    </row>
    <row r="53" spans="3:20" ht="16.2" hidden="1" thickBot="1" x14ac:dyDescent="0.35">
      <c r="C53" s="260" t="s">
        <v>107</v>
      </c>
      <c r="D53" s="277">
        <f>-SUMIFS(Details!$BN$4:$BN$22,Details!$C$4:$C$22,Summary!D51)</f>
        <v>0</v>
      </c>
      <c r="E53" s="277">
        <f>-SUMIFS(Details!$BN$4:$BN$22,Details!$C$4:$C$22,Summary!E51)</f>
        <v>0</v>
      </c>
      <c r="F53" s="277">
        <f>-SUMIFS(Details!$BN$4:$BN$22,Details!$C$4:$C$22,Summary!F51)</f>
        <v>0</v>
      </c>
      <c r="G53" s="277">
        <f>-SUMIFS(Details!$BN$4:$BN$22,Details!$C$4:$C$22,Summary!G51)</f>
        <v>0</v>
      </c>
      <c r="H53" s="277">
        <f>-SUMIFS(Details!$BN$4:$BN$22,Details!$C$4:$C$22,Summary!H51)</f>
        <v>0</v>
      </c>
      <c r="I53" s="277">
        <f>-SUMIFS(Details!$BN$4:$BN$22,Details!$C$4:$C$22,Summary!I51)</f>
        <v>0</v>
      </c>
      <c r="J53" s="277">
        <f>-SUMIFS(Details!$BN$4:$BN$22,Details!$C$4:$C$22,Summary!J51)</f>
        <v>0</v>
      </c>
      <c r="K53" s="277">
        <f>-SUMIFS(Details!$BN$4:$BN$22,Details!$C$4:$C$22,Summary!K51)</f>
        <v>0</v>
      </c>
      <c r="L53" s="277">
        <f>-SUMIFS(Details!$BN$4:$BN$22,Details!$C$4:$C$22,Summary!L51)</f>
        <v>0</v>
      </c>
      <c r="M53" s="277">
        <f>-SUMIFS(Details!$BN$4:$BN$22,Details!$C$4:$C$22,Summary!M51)</f>
        <v>0</v>
      </c>
      <c r="N53" s="277">
        <f>-SUMIFS(Details!$BN$4:$BN$22,Details!$C$4:$C$22,Summary!N51)</f>
        <v>0</v>
      </c>
      <c r="O53" s="277">
        <f>-SUMIFS(Details!$BN$4:$BN$22,Details!$C$4:$C$22,Summary!O51)</f>
        <v>0</v>
      </c>
      <c r="P53" s="277">
        <f>-SUMIFS(Details!$BN$4:$BN$22,Details!$C$4:$C$22,Summary!P51)</f>
        <v>0</v>
      </c>
      <c r="Q53" s="277">
        <f>-SUMIFS(Details!$BN$4:$BN$22,Details!$C$4:$C$22,Summary!Q51)</f>
        <v>0</v>
      </c>
      <c r="R53" s="278">
        <f>SUM(D53:Q53)</f>
        <v>0</v>
      </c>
      <c r="S53" s="276">
        <f>Details!BN23</f>
        <v>0</v>
      </c>
      <c r="T53" s="234">
        <f>S53+R53</f>
        <v>0</v>
      </c>
    </row>
    <row r="54" spans="3:20" ht="16.2" hidden="1" thickBot="1" x14ac:dyDescent="0.35">
      <c r="D54" s="273"/>
      <c r="E54" s="273"/>
    </row>
    <row r="55" spans="3:20" hidden="1" x14ac:dyDescent="0.3">
      <c r="C55" s="282" t="s">
        <v>170</v>
      </c>
      <c r="D55" s="283">
        <v>45748</v>
      </c>
      <c r="E55" s="283">
        <v>45778</v>
      </c>
      <c r="F55" s="283">
        <v>45809</v>
      </c>
      <c r="G55" s="283">
        <v>45839</v>
      </c>
      <c r="H55" s="283">
        <v>45870</v>
      </c>
      <c r="I55" s="283">
        <v>45901</v>
      </c>
      <c r="J55" s="283">
        <v>45931</v>
      </c>
      <c r="K55" s="283">
        <v>45962</v>
      </c>
      <c r="L55" s="238">
        <v>46296</v>
      </c>
      <c r="M55" s="238">
        <v>46327</v>
      </c>
      <c r="N55" s="283">
        <v>45992</v>
      </c>
      <c r="O55" s="283">
        <v>46023</v>
      </c>
      <c r="P55" s="283">
        <v>46054</v>
      </c>
      <c r="Q55" s="283">
        <v>46082</v>
      </c>
      <c r="R55" s="284" t="s">
        <v>179</v>
      </c>
    </row>
    <row r="56" spans="3:20" ht="16.2" hidden="1" thickBot="1" x14ac:dyDescent="0.35">
      <c r="C56" s="285"/>
      <c r="D56" s="281">
        <f>SUMIFS(Details!$BA$4:$BA$22,Details!$C$4:$C$22,Summary!D$4)/1000</f>
        <v>0</v>
      </c>
      <c r="E56" s="281">
        <f>SUMIFS(Details!$BA$4:$BA$22,Details!$C$4:$C$22,Summary!E$4)/1000</f>
        <v>0</v>
      </c>
      <c r="F56" s="281">
        <f>SUMIFS(Details!$BA$4:$BA$22,Details!$C$4:$C$22,Summary!F$4)/1000</f>
        <v>44.8</v>
      </c>
      <c r="G56" s="281">
        <f>SUMIFS(Details!$BA$4:$BA$22,Details!$C$4:$C$22,Summary!G$4)/1000</f>
        <v>0</v>
      </c>
      <c r="H56" s="281">
        <f>SUMIFS(Details!$BA$4:$BA$22,Details!$C$4:$C$22,Summary!H$4)/1000</f>
        <v>0</v>
      </c>
      <c r="I56" s="281">
        <f>SUMIFS(Details!$BA$4:$BA$22,Details!$C$4:$C$22,Summary!I$4)/1000</f>
        <v>0</v>
      </c>
      <c r="J56" s="281">
        <f>SUMIFS(Details!$BA$4:$BA$22,Details!$C$4:$C$22,Summary!J$4)/1000</f>
        <v>0</v>
      </c>
      <c r="K56" s="281">
        <f>SUMIFS(Details!$BA$4:$BA$22,Details!$C$4:$C$22,Summary!K$4)/1000</f>
        <v>0</v>
      </c>
      <c r="L56" s="281">
        <f>SUMIFS(Details!$BA$4:$BA$22,Details!$C$4:$C$22,Summary!L$4)/1000</f>
        <v>0</v>
      </c>
      <c r="M56" s="281">
        <f>SUMIFS(Details!$BA$4:$BA$22,Details!$C$4:$C$22,Summary!M$4)/1000</f>
        <v>0</v>
      </c>
      <c r="N56" s="281">
        <f>SUMIFS(Details!$BA$4:$BA$22,Details!$C$4:$C$22,Summary!N$4)/1000</f>
        <v>0</v>
      </c>
      <c r="O56" s="281">
        <f>SUMIFS(Details!$BA$4:$BA$22,Details!$C$4:$C$22,Summary!O$4)/1000</f>
        <v>0</v>
      </c>
      <c r="P56" s="281">
        <f>SUMIFS(Details!$BA$4:$BA$22,Details!$C$4:$C$22,Summary!P$4)/1000</f>
        <v>0</v>
      </c>
      <c r="Q56" s="281">
        <f>SUMIFS(Details!$BA$4:$BA$22,Details!$C$4:$C$22,Summary!Q$4)/1000</f>
        <v>0</v>
      </c>
      <c r="R56" s="281">
        <f t="shared" ref="R56" si="42">SUM(D56:Q56)</f>
        <v>44.8</v>
      </c>
    </row>
    <row r="57" spans="3:20" ht="16.2" hidden="1" thickBot="1" x14ac:dyDescent="0.35">
      <c r="C57" s="287"/>
      <c r="D57" s="288"/>
      <c r="E57" s="288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</row>
    <row r="58" spans="3:20" ht="16.2" hidden="1" thickBot="1" x14ac:dyDescent="0.35">
      <c r="C58" s="282" t="s">
        <v>199</v>
      </c>
      <c r="D58" s="290">
        <v>45748</v>
      </c>
      <c r="E58" s="290">
        <v>45778</v>
      </c>
      <c r="F58" s="290">
        <v>45809</v>
      </c>
      <c r="G58" s="290">
        <v>45839</v>
      </c>
      <c r="H58" s="290">
        <v>45870</v>
      </c>
      <c r="I58" s="290">
        <v>45901</v>
      </c>
      <c r="J58" s="290">
        <v>45931</v>
      </c>
      <c r="K58" s="290">
        <v>45962</v>
      </c>
      <c r="L58" s="238">
        <v>46296</v>
      </c>
      <c r="M58" s="238">
        <v>46327</v>
      </c>
      <c r="N58" s="290">
        <v>45992</v>
      </c>
      <c r="O58" s="290">
        <v>46023</v>
      </c>
      <c r="P58" s="290">
        <v>46054</v>
      </c>
      <c r="Q58" s="290">
        <v>46082</v>
      </c>
      <c r="R58" s="290" t="s">
        <v>179</v>
      </c>
    </row>
    <row r="59" spans="3:20" hidden="1" x14ac:dyDescent="0.3">
      <c r="C59" s="291" t="s">
        <v>187</v>
      </c>
      <c r="D59" s="291">
        <f>SUMIFS(Details!$CL$5:$CL$22,Details!$C$5:$C$22,Summary!D$58)</f>
        <v>0</v>
      </c>
      <c r="E59" s="291">
        <f>SUMIFS(Details!$CL$5:$CL$22,Details!$C$5:$C$22,Summary!E$58)</f>
        <v>0</v>
      </c>
      <c r="F59" s="291">
        <f>SUMIFS(Details!$CL$5:$CL$22,Details!$C$5:$C$22,Summary!F$58)</f>
        <v>0</v>
      </c>
      <c r="G59" s="291">
        <f>SUMIFS(Details!$CL$5:$CL$22,Details!$C$5:$C$22,Summary!G$58)</f>
        <v>0</v>
      </c>
      <c r="H59" s="291">
        <f>SUMIFS(Details!$CL$5:$CL$22,Details!$C$5:$C$22,Summary!H$58)</f>
        <v>0</v>
      </c>
      <c r="I59" s="291">
        <f>SUMIFS(Details!$CL$5:$CL$22,Details!$C$5:$C$22,Summary!I$58)</f>
        <v>0</v>
      </c>
      <c r="J59" s="291">
        <f>SUMIFS(Details!$CL$5:$CL$22,Details!$C$5:$C$22,Summary!J$58)</f>
        <v>0</v>
      </c>
      <c r="K59" s="291">
        <f>SUMIFS(Details!$CL$5:$CL$22,Details!$C$5:$C$22,Summary!K$58)</f>
        <v>0</v>
      </c>
      <c r="L59" s="291">
        <f>SUMIFS(Details!$CL$5:$CL$22,Details!$C$5:$C$22,Summary!L$58)</f>
        <v>0</v>
      </c>
      <c r="M59" s="291">
        <f>SUMIFS(Details!$CL$5:$CL$22,Details!$C$5:$C$22,Summary!M$58)</f>
        <v>0</v>
      </c>
      <c r="N59" s="291">
        <f>SUMIFS(Details!$CL$5:$CL$22,Details!$C$5:$C$22,Summary!N$58)</f>
        <v>0</v>
      </c>
      <c r="O59" s="291">
        <f>SUMIFS(Details!$CL$5:$CL$22,Details!$C$5:$C$22,Summary!O$58)</f>
        <v>0</v>
      </c>
      <c r="P59" s="291">
        <f>SUMIFS(Details!$CL$5:$CL$22,Details!$C$5:$C$22,Summary!P$58)</f>
        <v>0</v>
      </c>
      <c r="Q59" s="291">
        <f>SUMIFS(Details!$CL$5:$CL$22,Details!$C$5:$C$22,Summary!Q$58)</f>
        <v>0</v>
      </c>
      <c r="R59" s="292">
        <f>SUM(D59:Q59)</f>
        <v>0</v>
      </c>
    </row>
    <row r="60" spans="3:20" hidden="1" x14ac:dyDescent="0.3">
      <c r="C60" s="293" t="s">
        <v>188</v>
      </c>
      <c r="D60" s="293">
        <f>SUMIFS(Details!$CM$5:$CM$22,Details!$C$5:$C$22,Summary!D$58)</f>
        <v>0</v>
      </c>
      <c r="E60" s="293">
        <f>SUMIFS(Details!$CM$5:$CM$22,Details!$C$5:$C$22,Summary!E$58)</f>
        <v>0</v>
      </c>
      <c r="F60" s="293">
        <f>SUMIFS(Details!$CM$5:$CM$22,Details!$C$5:$C$22,Summary!F$58)</f>
        <v>0</v>
      </c>
      <c r="G60" s="293">
        <f>SUMIFS(Details!$CM$5:$CM$22,Details!$C$5:$C$22,Summary!G$58)</f>
        <v>0</v>
      </c>
      <c r="H60" s="293">
        <f>SUMIFS(Details!$CM$5:$CM$22,Details!$C$5:$C$22,Summary!H$58)</f>
        <v>0</v>
      </c>
      <c r="I60" s="293">
        <f>SUMIFS(Details!$CM$5:$CM$22,Details!$C$5:$C$22,Summary!I$58)</f>
        <v>0</v>
      </c>
      <c r="J60" s="293">
        <f>SUMIFS(Details!$CM$5:$CM$22,Details!$C$5:$C$22,Summary!J$58)</f>
        <v>0</v>
      </c>
      <c r="K60" s="293">
        <f>SUMIFS(Details!$CM$5:$CM$22,Details!$C$5:$C$22,Summary!K$58)</f>
        <v>0</v>
      </c>
      <c r="L60" s="293">
        <f>SUMIFS(Details!$CM$5:$CM$22,Details!$C$5:$C$22,Summary!L$58)</f>
        <v>0</v>
      </c>
      <c r="M60" s="293">
        <f>SUMIFS(Details!$CM$5:$CM$22,Details!$C$5:$C$22,Summary!M$58)</f>
        <v>0</v>
      </c>
      <c r="N60" s="293">
        <f>SUMIFS(Details!$CM$5:$CM$22,Details!$C$5:$C$22,Summary!N$58)</f>
        <v>0</v>
      </c>
      <c r="O60" s="293">
        <f>SUMIFS(Details!$CM$5:$CM$22,Details!$C$5:$C$22,Summary!O$58)</f>
        <v>0</v>
      </c>
      <c r="P60" s="293">
        <f>SUMIFS(Details!$CM$5:$CM$22,Details!$C$5:$C$22,Summary!P$58)</f>
        <v>0</v>
      </c>
      <c r="Q60" s="293">
        <f>SUMIFS(Details!$CM$5:$CM$22,Details!$C$5:$C$22,Summary!Q$58)</f>
        <v>0</v>
      </c>
      <c r="R60" s="294">
        <f t="shared" ref="R60:R61" si="43">SUM(D60:Q60)</f>
        <v>0</v>
      </c>
    </row>
    <row r="61" spans="3:20" ht="16.2" hidden="1" thickBot="1" x14ac:dyDescent="0.35">
      <c r="C61" s="295" t="s">
        <v>189</v>
      </c>
      <c r="D61" s="295">
        <f>SUMIFS(Details!$CN$5:$CN$22,Details!$C$5:$C$22,Summary!D$58)</f>
        <v>0</v>
      </c>
      <c r="E61" s="295">
        <f>SUMIFS(Details!$CN$5:$CN$22,Details!$C$5:$C$22,Summary!E$58)</f>
        <v>0</v>
      </c>
      <c r="F61" s="295">
        <f>SUMIFS(Details!$CN$5:$CN$22,Details!$C$5:$C$22,Summary!F$58)</f>
        <v>0</v>
      </c>
      <c r="G61" s="295">
        <f>SUMIFS(Details!$CN$5:$CN$22,Details!$C$5:$C$22,Summary!G$58)</f>
        <v>0</v>
      </c>
      <c r="H61" s="295">
        <f>SUMIFS(Details!$CN$5:$CN$22,Details!$C$5:$C$22,Summary!H$58)</f>
        <v>0</v>
      </c>
      <c r="I61" s="295">
        <f>SUMIFS(Details!$CN$5:$CN$22,Details!$C$5:$C$22,Summary!I$58)</f>
        <v>0</v>
      </c>
      <c r="J61" s="295">
        <f>SUMIFS(Details!$CN$5:$CN$22,Details!$C$5:$C$22,Summary!J$58)</f>
        <v>0</v>
      </c>
      <c r="K61" s="295">
        <f>SUMIFS(Details!$CN$5:$CN$22,Details!$C$5:$C$22,Summary!K$58)</f>
        <v>0</v>
      </c>
      <c r="L61" s="295">
        <f>SUMIFS(Details!$CN$5:$CN$22,Details!$C$5:$C$22,Summary!L$58)</f>
        <v>0</v>
      </c>
      <c r="M61" s="295">
        <f>SUMIFS(Details!$CN$5:$CN$22,Details!$C$5:$C$22,Summary!M$58)</f>
        <v>0</v>
      </c>
      <c r="N61" s="295">
        <f>SUMIFS(Details!$CN$5:$CN$22,Details!$C$5:$C$22,Summary!N$58)</f>
        <v>0</v>
      </c>
      <c r="O61" s="295">
        <f>SUMIFS(Details!$CN$5:$CN$22,Details!$C$5:$C$22,Summary!O$58)</f>
        <v>0</v>
      </c>
      <c r="P61" s="295">
        <f>SUMIFS(Details!$CN$5:$CN$22,Details!$C$5:$C$22,Summary!P$58)</f>
        <v>0</v>
      </c>
      <c r="Q61" s="295">
        <f>SUMIFS(Details!$CN$5:$CN$22,Details!$C$5:$C$22,Summary!Q$58)</f>
        <v>0</v>
      </c>
      <c r="R61" s="286">
        <f t="shared" si="43"/>
        <v>0</v>
      </c>
    </row>
    <row r="62" spans="3:20" ht="16.2" hidden="1" thickBot="1" x14ac:dyDescent="0.35">
      <c r="C62" s="289"/>
      <c r="D62" s="288"/>
      <c r="E62" s="288"/>
      <c r="F62" s="289"/>
      <c r="G62" s="289"/>
      <c r="H62" s="289"/>
      <c r="I62" s="289"/>
      <c r="J62" s="289"/>
      <c r="K62" s="289"/>
      <c r="L62" s="289"/>
      <c r="M62" s="289"/>
      <c r="N62" s="289"/>
      <c r="O62" s="289"/>
      <c r="P62" s="289"/>
      <c r="Q62" s="289"/>
      <c r="R62" s="289"/>
    </row>
    <row r="63" spans="3:20" hidden="1" x14ac:dyDescent="0.3">
      <c r="C63" s="297" t="s">
        <v>200</v>
      </c>
      <c r="D63" s="298" t="s">
        <v>1</v>
      </c>
      <c r="E63" s="299" t="s">
        <v>2</v>
      </c>
      <c r="F63" s="289"/>
      <c r="G63" s="296"/>
      <c r="H63" s="289"/>
      <c r="I63" s="289"/>
      <c r="J63" s="289"/>
      <c r="K63" s="289"/>
      <c r="L63" s="289"/>
      <c r="M63" s="289"/>
      <c r="N63" s="289"/>
      <c r="O63" s="289"/>
      <c r="P63" s="289"/>
      <c r="Q63" s="289"/>
      <c r="R63" s="289"/>
    </row>
    <row r="64" spans="3:20" hidden="1" x14ac:dyDescent="0.3">
      <c r="C64" s="302">
        <f>Details!P43</f>
        <v>46203</v>
      </c>
      <c r="D64" s="300">
        <f>SUMIFS(Details!$BO$5:$BO$22,Details!$D$5:$D$22,Summary!$C$64)*118%</f>
        <v>0</v>
      </c>
      <c r="E64" s="303">
        <f>SUMIFS(Details!$AM$5:$AM$22,Details!$D$5:$D$22,Summary!$C$64)*118%</f>
        <v>0</v>
      </c>
      <c r="F64" s="289"/>
      <c r="G64" s="296"/>
      <c r="H64" s="289"/>
      <c r="I64" s="289"/>
      <c r="J64" s="289"/>
      <c r="K64" s="289"/>
      <c r="L64" s="289"/>
      <c r="M64" s="289"/>
      <c r="N64" s="289"/>
      <c r="O64" s="289"/>
      <c r="P64" s="289"/>
      <c r="Q64" s="289"/>
      <c r="R64" s="289"/>
    </row>
    <row r="65" spans="3:18" hidden="1" x14ac:dyDescent="0.3">
      <c r="C65" s="300" t="str">
        <f>TEXT(C64,"mmm-yy")</f>
        <v>Jun-26</v>
      </c>
      <c r="D65" s="300">
        <f>SUMIFS(Details!$BO$5:$BO$22,Details!$C$5:$C$22,Summary!$C$65)*118%</f>
        <v>1840154.068</v>
      </c>
      <c r="E65" s="303">
        <f>SUMIFS(Details!$AM$5:$AM$22,Details!$C$5:$C$22,Summary!$C$65)*118%</f>
        <v>1737624.3399999999</v>
      </c>
      <c r="F65" s="289"/>
      <c r="G65" s="296"/>
      <c r="H65" s="289"/>
      <c r="I65" s="289"/>
      <c r="J65" s="289"/>
      <c r="K65" s="289"/>
      <c r="L65" s="289"/>
      <c r="M65" s="289"/>
      <c r="N65" s="289"/>
      <c r="O65" s="289"/>
      <c r="P65" s="289"/>
      <c r="Q65" s="289"/>
      <c r="R65" s="289"/>
    </row>
    <row r="66" spans="3:18" ht="16.2" hidden="1" thickBot="1" x14ac:dyDescent="0.35">
      <c r="C66" s="301" t="s">
        <v>201</v>
      </c>
      <c r="D66" s="301">
        <f>Details!BO23*118%</f>
        <v>3017818.8480000007</v>
      </c>
      <c r="E66" s="304">
        <f>Details!AM23*118%</f>
        <v>2776484.54</v>
      </c>
      <c r="F66" s="289"/>
      <c r="G66" s="296"/>
      <c r="H66" s="289"/>
      <c r="I66" s="289"/>
      <c r="J66" s="289"/>
      <c r="K66" s="289"/>
      <c r="L66" s="289"/>
      <c r="M66" s="289"/>
      <c r="N66" s="289"/>
      <c r="O66" s="289"/>
      <c r="P66" s="289"/>
      <c r="Q66" s="289"/>
      <c r="R66" s="289"/>
    </row>
    <row r="67" spans="3:18" hidden="1" x14ac:dyDescent="0.3">
      <c r="D67" s="273"/>
      <c r="E67" s="273"/>
    </row>
    <row r="68" spans="3:18" x14ac:dyDescent="0.3">
      <c r="D68" s="273"/>
      <c r="E68" s="273"/>
    </row>
    <row r="69" spans="3:18" x14ac:dyDescent="0.3">
      <c r="D69" s="273"/>
      <c r="E69" s="273"/>
    </row>
    <row r="70" spans="3:18" x14ac:dyDescent="0.3">
      <c r="D70" s="273"/>
      <c r="E70" s="273"/>
    </row>
    <row r="71" spans="3:18" x14ac:dyDescent="0.3">
      <c r="D71" s="273"/>
      <c r="E71" s="273"/>
    </row>
  </sheetData>
  <phoneticPr fontId="1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B2:CW72"/>
  <sheetViews>
    <sheetView showGridLines="0" topLeftCell="A2" zoomScaleNormal="100" workbookViewId="0">
      <pane xSplit="5" ySplit="3" topLeftCell="AW5" activePane="bottomRight" state="frozen"/>
      <selection activeCell="E33" sqref="E33"/>
      <selection pane="topRight" activeCell="E33" sqref="E33"/>
      <selection pane="bottomLeft" activeCell="E33" sqref="E33"/>
      <selection pane="bottomRight" activeCell="BB9" sqref="BB9:BB21"/>
    </sheetView>
  </sheetViews>
  <sheetFormatPr defaultColWidth="7.88671875" defaultRowHeight="10.199999999999999" x14ac:dyDescent="0.2"/>
  <cols>
    <col min="1" max="1" width="2.88671875" style="82" customWidth="1"/>
    <col min="2" max="2" width="7.77734375" style="82" bestFit="1" customWidth="1"/>
    <col min="3" max="3" width="6.88671875" style="82" bestFit="1" customWidth="1"/>
    <col min="4" max="4" width="8.44140625" style="82" bestFit="1" customWidth="1"/>
    <col min="5" max="5" width="15.21875" style="92" bestFit="1" customWidth="1"/>
    <col min="6" max="6" width="33.6640625" style="84" bestFit="1" customWidth="1"/>
    <col min="7" max="7" width="14.77734375" style="82" bestFit="1" customWidth="1"/>
    <col min="8" max="8" width="16.33203125" style="84" bestFit="1" customWidth="1"/>
    <col min="9" max="9" width="16.44140625" style="85" bestFit="1" customWidth="1"/>
    <col min="10" max="10" width="14.44140625" style="97" bestFit="1" customWidth="1"/>
    <col min="11" max="11" width="8.44140625" style="85" bestFit="1" customWidth="1"/>
    <col min="12" max="12" width="11.77734375" style="102" bestFit="1" customWidth="1"/>
    <col min="13" max="13" width="11.21875" style="84" bestFit="1" customWidth="1"/>
    <col min="14" max="14" width="21.77734375" style="105" bestFit="1" customWidth="1"/>
    <col min="15" max="15" width="8.21875" style="105" bestFit="1" customWidth="1"/>
    <col min="16" max="16" width="9.21875" style="97" bestFit="1" customWidth="1"/>
    <col min="17" max="17" width="12.88671875" style="82" bestFit="1" customWidth="1"/>
    <col min="18" max="18" width="10.109375" style="82" bestFit="1" customWidth="1"/>
    <col min="19" max="19" width="8.21875" style="82" bestFit="1" customWidth="1"/>
    <col min="20" max="20" width="16.77734375" style="82" bestFit="1" customWidth="1"/>
    <col min="21" max="21" width="24.6640625" style="102" bestFit="1" customWidth="1"/>
    <col min="22" max="22" width="13.21875" style="88" bestFit="1" customWidth="1"/>
    <col min="23" max="23" width="14.44140625" style="88" bestFit="1" customWidth="1"/>
    <col min="24" max="24" width="8.44140625" style="84" bestFit="1" customWidth="1"/>
    <col min="25" max="25" width="11.5546875" style="82" bestFit="1" customWidth="1"/>
    <col min="26" max="26" width="21.88671875" style="82" bestFit="1" customWidth="1"/>
    <col min="27" max="27" width="15.6640625" style="82" bestFit="1" customWidth="1"/>
    <col min="28" max="28" width="16.21875" style="82" bestFit="1" customWidth="1"/>
    <col min="29" max="29" width="14.77734375" style="82" bestFit="1" customWidth="1"/>
    <col min="30" max="30" width="8.44140625" style="97" bestFit="1" customWidth="1"/>
    <col min="31" max="31" width="15.77734375" style="97" bestFit="1" customWidth="1"/>
    <col min="32" max="32" width="16.6640625" style="105" bestFit="1" customWidth="1"/>
    <col min="33" max="33" width="14.77734375" style="105" bestFit="1" customWidth="1"/>
    <col min="34" max="34" width="14.6640625" style="84" bestFit="1" customWidth="1"/>
    <col min="35" max="35" width="16.109375" style="82" bestFit="1" customWidth="1"/>
    <col min="36" max="36" width="13.33203125" style="82" bestFit="1" customWidth="1"/>
    <col min="37" max="37" width="17.109375" style="82" bestFit="1" customWidth="1"/>
    <col min="38" max="38" width="14.33203125" style="82" bestFit="1" customWidth="1"/>
    <col min="39" max="39" width="9.44140625" style="97" bestFit="1" customWidth="1"/>
    <col min="40" max="40" width="8.5546875" style="82" bestFit="1" customWidth="1"/>
    <col min="41" max="41" width="15" style="82" bestFit="1" customWidth="1"/>
    <col min="42" max="42" width="16.33203125" style="82" bestFit="1" customWidth="1"/>
    <col min="43" max="43" width="24.77734375" style="82" bestFit="1" customWidth="1"/>
    <col min="44" max="44" width="22.21875" style="108" bestFit="1" customWidth="1"/>
    <col min="45" max="45" width="20.109375" style="82" customWidth="1"/>
    <col min="46" max="46" width="18.77734375" style="82" bestFit="1" customWidth="1"/>
    <col min="47" max="47" width="16.21875" style="82" bestFit="1" customWidth="1"/>
    <col min="48" max="48" width="16.21875" style="82" customWidth="1"/>
    <col min="49" max="49" width="8.21875" style="82" bestFit="1" customWidth="1"/>
    <col min="50" max="50" width="7.77734375" style="82" bestFit="1" customWidth="1"/>
    <col min="51" max="51" width="8.21875" style="82" bestFit="1" customWidth="1"/>
    <col min="52" max="52" width="9.44140625" style="82" bestFit="1" customWidth="1"/>
    <col min="53" max="53" width="10.109375" style="82" bestFit="1" customWidth="1"/>
    <col min="54" max="54" width="8.21875" style="82" bestFit="1" customWidth="1"/>
    <col min="55" max="55" width="15.77734375" style="82" bestFit="1" customWidth="1"/>
    <col min="56" max="56" width="11.21875" style="82" bestFit="1" customWidth="1"/>
    <col min="57" max="57" width="16.21875" style="82" bestFit="1" customWidth="1"/>
    <col min="58" max="58" width="11" style="82" bestFit="1" customWidth="1"/>
    <col min="59" max="59" width="7.88671875" style="82" bestFit="1" customWidth="1"/>
    <col min="60" max="60" width="19.44140625" style="82" bestFit="1" customWidth="1"/>
    <col min="61" max="61" width="12.5546875" style="82" bestFit="1" customWidth="1"/>
    <col min="62" max="62" width="17.109375" style="82" bestFit="1" customWidth="1"/>
    <col min="63" max="63" width="12.5546875" style="82" bestFit="1" customWidth="1"/>
    <col min="64" max="64" width="14.5546875" style="105" bestFit="1" customWidth="1"/>
    <col min="65" max="65" width="15.88671875" style="82" bestFit="1" customWidth="1"/>
    <col min="66" max="66" width="14.21875" style="82" bestFit="1" customWidth="1"/>
    <col min="67" max="67" width="11.44140625" style="82" bestFit="1" customWidth="1"/>
    <col min="68" max="68" width="7.88671875" style="82" bestFit="1" customWidth="1"/>
    <col min="69" max="69" width="15.21875" style="84" bestFit="1" customWidth="1"/>
    <col min="70" max="70" width="18.77734375" style="110" bestFit="1" customWidth="1"/>
    <col min="71" max="71" width="14.21875" style="82" bestFit="1" customWidth="1"/>
    <col min="72" max="72" width="21.109375" style="82" bestFit="1" customWidth="1"/>
    <col min="73" max="73" width="10" style="82" bestFit="1" customWidth="1"/>
    <col min="74" max="74" width="12.77734375" style="82" bestFit="1" customWidth="1"/>
    <col min="75" max="75" width="20" style="82" bestFit="1" customWidth="1"/>
    <col min="76" max="76" width="20.21875" style="84" bestFit="1" customWidth="1"/>
    <col min="77" max="77" width="6.21875" style="82" bestFit="1" customWidth="1"/>
    <col min="78" max="78" width="9.21875" style="82" bestFit="1" customWidth="1"/>
    <col min="79" max="79" width="9.33203125" style="82" bestFit="1" customWidth="1"/>
    <col min="80" max="80" width="6.21875" style="92" bestFit="1" customWidth="1"/>
    <col min="81" max="81" width="20.88671875" style="82" bestFit="1" customWidth="1"/>
    <col min="82" max="82" width="12.109375" style="82" bestFit="1" customWidth="1"/>
    <col min="83" max="83" width="6.88671875" style="82" bestFit="1" customWidth="1"/>
    <col min="84" max="85" width="8.21875" style="82" bestFit="1" customWidth="1"/>
    <col min="86" max="86" width="9.21875" style="84" bestFit="1" customWidth="1"/>
    <col min="87" max="87" width="16.5546875" style="82" bestFit="1" customWidth="1"/>
    <col min="88" max="88" width="13.5546875" style="82" bestFit="1" customWidth="1"/>
    <col min="89" max="89" width="9.88671875" style="82" bestFit="1" customWidth="1"/>
    <col min="90" max="90" width="11.77734375" style="82" bestFit="1" customWidth="1"/>
    <col min="91" max="91" width="13.33203125" style="82" bestFit="1" customWidth="1"/>
    <col min="92" max="92" width="10.21875" style="82" bestFit="1" customWidth="1"/>
    <col min="93" max="93" width="7.88671875" style="82" bestFit="1" customWidth="1"/>
    <col min="94" max="94" width="9.33203125" style="82" bestFit="1" customWidth="1"/>
    <col min="95" max="95" width="10.5546875" style="82" bestFit="1" customWidth="1"/>
    <col min="96" max="96" width="10.109375" style="82" bestFit="1" customWidth="1"/>
    <col min="97" max="97" width="7.21875" style="82" bestFit="1" customWidth="1"/>
    <col min="98" max="99" width="11.77734375" style="82" bestFit="1" customWidth="1"/>
    <col min="100" max="100" width="13.77734375" style="82" bestFit="1" customWidth="1"/>
    <col min="101" max="101" width="15.5546875" style="82" bestFit="1" customWidth="1"/>
    <col min="102" max="16384" width="7.88671875" style="82"/>
  </cols>
  <sheetData>
    <row r="2" spans="2:101" ht="5.4" customHeight="1" thickBot="1" x14ac:dyDescent="0.25">
      <c r="D2" s="83"/>
      <c r="E2" s="84"/>
      <c r="G2" s="84"/>
      <c r="J2" s="84"/>
      <c r="L2" s="84"/>
      <c r="N2" s="84"/>
      <c r="O2" s="84"/>
      <c r="P2" s="84"/>
      <c r="Q2" s="84"/>
      <c r="R2" s="84"/>
      <c r="S2" s="84"/>
      <c r="T2" s="84"/>
      <c r="U2" s="84"/>
      <c r="V2" s="84"/>
      <c r="W2" s="84"/>
      <c r="Y2" s="84"/>
      <c r="Z2" s="84"/>
      <c r="AA2" s="84"/>
      <c r="AB2" s="84"/>
      <c r="AC2" s="84"/>
      <c r="AD2" s="84"/>
      <c r="AE2" s="84"/>
      <c r="AF2" s="84"/>
      <c r="AG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6"/>
      <c r="BA2" s="86"/>
      <c r="BB2" s="86"/>
      <c r="BC2" s="87"/>
      <c r="BD2" s="86"/>
      <c r="BE2" s="86"/>
      <c r="BF2" s="86"/>
      <c r="BG2" s="88"/>
      <c r="BH2" s="89"/>
      <c r="BI2" s="89"/>
      <c r="BJ2" s="89"/>
      <c r="BK2" s="89"/>
      <c r="BL2" s="89"/>
      <c r="BM2" s="89"/>
      <c r="BN2" s="90"/>
      <c r="BO2" s="90"/>
      <c r="BR2" s="82"/>
      <c r="BS2" s="90"/>
      <c r="BV2" s="343"/>
      <c r="BW2" s="343"/>
      <c r="BX2" s="343"/>
      <c r="BY2" s="343"/>
      <c r="BZ2" s="343"/>
      <c r="CA2" s="343"/>
      <c r="CB2" s="84"/>
      <c r="CC2" s="91"/>
      <c r="CD2" s="91"/>
    </row>
    <row r="3" spans="2:101" ht="18" customHeight="1" thickBot="1" x14ac:dyDescent="0.4">
      <c r="B3" s="341" t="s">
        <v>215</v>
      </c>
      <c r="C3" s="341"/>
      <c r="D3" s="341"/>
      <c r="F3" s="93" t="s">
        <v>145</v>
      </c>
      <c r="G3" s="93"/>
      <c r="H3" s="93"/>
      <c r="I3" s="94"/>
      <c r="J3" s="93"/>
      <c r="K3" s="94"/>
      <c r="L3" s="93"/>
      <c r="M3" s="93"/>
      <c r="N3" s="93"/>
      <c r="O3" s="93"/>
      <c r="P3" s="93"/>
      <c r="Q3" s="93"/>
      <c r="R3" s="93"/>
      <c r="S3" s="93"/>
      <c r="T3" s="95"/>
      <c r="U3" s="96" t="s">
        <v>144</v>
      </c>
      <c r="V3" s="96"/>
      <c r="W3" s="96"/>
      <c r="X3" s="96"/>
      <c r="Y3" s="96"/>
      <c r="Z3" s="96"/>
      <c r="AA3" s="96"/>
      <c r="AB3" s="96"/>
      <c r="AC3" s="96"/>
      <c r="AF3" s="93" t="s">
        <v>143</v>
      </c>
      <c r="AG3" s="93"/>
      <c r="AH3" s="93"/>
      <c r="AI3" s="93"/>
      <c r="AJ3" s="93"/>
      <c r="AK3" s="93"/>
      <c r="AM3" s="93" t="s">
        <v>142</v>
      </c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87"/>
      <c r="BD3" s="98" t="s">
        <v>140</v>
      </c>
      <c r="BE3" s="98"/>
      <c r="BF3" s="98"/>
      <c r="BG3" s="88"/>
      <c r="BH3" s="96" t="s">
        <v>141</v>
      </c>
      <c r="BI3" s="96"/>
      <c r="BJ3" s="96"/>
      <c r="BK3" s="96"/>
      <c r="BL3" s="96"/>
      <c r="BM3" s="99">
        <v>-2.5000000000000001E-2</v>
      </c>
      <c r="BN3" s="87"/>
      <c r="BO3" s="95"/>
      <c r="BR3" s="82"/>
      <c r="BS3" s="87"/>
      <c r="BV3" s="342" t="s">
        <v>123</v>
      </c>
      <c r="BW3" s="342"/>
      <c r="BX3" s="342"/>
      <c r="BY3" s="342"/>
      <c r="BZ3" s="342"/>
      <c r="CA3" s="342"/>
      <c r="CB3" s="93"/>
      <c r="CC3" s="100"/>
      <c r="CD3" s="100"/>
      <c r="CE3" s="355" t="s">
        <v>166</v>
      </c>
      <c r="CF3" s="356"/>
      <c r="CG3" s="101"/>
      <c r="CH3" s="93"/>
      <c r="CI3" s="101"/>
      <c r="CJ3" s="101"/>
      <c r="CK3" s="348" t="s">
        <v>190</v>
      </c>
      <c r="CL3" s="348"/>
      <c r="CM3" s="348"/>
      <c r="CN3" s="348" t="s">
        <v>198</v>
      </c>
      <c r="CO3" s="348"/>
      <c r="CP3" s="348"/>
      <c r="CQ3" s="348"/>
      <c r="CR3" s="348"/>
    </row>
    <row r="4" spans="2:101" s="122" customFormat="1" ht="14.4" thickBot="1" x14ac:dyDescent="0.35">
      <c r="B4" s="115" t="s">
        <v>20</v>
      </c>
      <c r="C4" s="116" t="s">
        <v>19</v>
      </c>
      <c r="D4" s="115" t="s">
        <v>18</v>
      </c>
      <c r="E4" s="116" t="s">
        <v>171</v>
      </c>
      <c r="F4" s="116" t="s">
        <v>30</v>
      </c>
      <c r="G4" s="116" t="s">
        <v>21</v>
      </c>
      <c r="H4" s="117" t="s">
        <v>24</v>
      </c>
      <c r="I4" s="118" t="s">
        <v>25</v>
      </c>
      <c r="J4" s="116" t="s">
        <v>22</v>
      </c>
      <c r="K4" s="118" t="s">
        <v>23</v>
      </c>
      <c r="L4" s="116" t="s">
        <v>32</v>
      </c>
      <c r="M4" s="116" t="s">
        <v>34</v>
      </c>
      <c r="N4" s="117" t="s">
        <v>38</v>
      </c>
      <c r="O4" s="116" t="s">
        <v>40</v>
      </c>
      <c r="P4" s="117" t="s">
        <v>41</v>
      </c>
      <c r="Q4" s="116" t="s">
        <v>42</v>
      </c>
      <c r="R4" s="117" t="s">
        <v>111</v>
      </c>
      <c r="S4" s="116" t="s">
        <v>112</v>
      </c>
      <c r="T4" s="117" t="s">
        <v>105</v>
      </c>
      <c r="U4" s="116" t="s">
        <v>33</v>
      </c>
      <c r="V4" s="117" t="s">
        <v>35</v>
      </c>
      <c r="W4" s="116" t="s">
        <v>36</v>
      </c>
      <c r="X4" s="117" t="s">
        <v>37</v>
      </c>
      <c r="Y4" s="116" t="s">
        <v>43</v>
      </c>
      <c r="Z4" s="116" t="s">
        <v>67</v>
      </c>
      <c r="AA4" s="117" t="s">
        <v>44</v>
      </c>
      <c r="AB4" s="116" t="s">
        <v>45</v>
      </c>
      <c r="AC4" s="116" t="s">
        <v>218</v>
      </c>
      <c r="AD4" s="117" t="s">
        <v>46</v>
      </c>
      <c r="AE4" s="117" t="s">
        <v>113</v>
      </c>
      <c r="AF4" s="116" t="s">
        <v>26</v>
      </c>
      <c r="AG4" s="117" t="s">
        <v>27</v>
      </c>
      <c r="AH4" s="116" t="s">
        <v>28</v>
      </c>
      <c r="AI4" s="117" t="s">
        <v>29</v>
      </c>
      <c r="AJ4" s="116" t="s">
        <v>47</v>
      </c>
      <c r="AK4" s="116" t="s">
        <v>192</v>
      </c>
      <c r="AL4" s="116" t="s">
        <v>194</v>
      </c>
      <c r="AM4" s="116" t="s">
        <v>48</v>
      </c>
      <c r="AN4" s="117" t="s">
        <v>50</v>
      </c>
      <c r="AO4" s="116" t="s">
        <v>49</v>
      </c>
      <c r="AP4" s="117" t="s">
        <v>180</v>
      </c>
      <c r="AQ4" s="117" t="s">
        <v>51</v>
      </c>
      <c r="AR4" s="116" t="s">
        <v>146</v>
      </c>
      <c r="AS4" s="116" t="s">
        <v>31</v>
      </c>
      <c r="AT4" s="116" t="s">
        <v>52</v>
      </c>
      <c r="AU4" s="117" t="s">
        <v>53</v>
      </c>
      <c r="AV4" s="117" t="s">
        <v>290</v>
      </c>
      <c r="AW4" s="116" t="s">
        <v>54</v>
      </c>
      <c r="AX4" s="117" t="s">
        <v>55</v>
      </c>
      <c r="AY4" s="116" t="s">
        <v>56</v>
      </c>
      <c r="AZ4" s="117" t="s">
        <v>57</v>
      </c>
      <c r="BA4" s="116" t="s">
        <v>111</v>
      </c>
      <c r="BB4" s="117" t="s">
        <v>112</v>
      </c>
      <c r="BC4" s="116" t="s">
        <v>113</v>
      </c>
      <c r="BD4" s="117" t="s">
        <v>114</v>
      </c>
      <c r="BE4" s="116" t="s">
        <v>135</v>
      </c>
      <c r="BF4" s="117" t="s">
        <v>136</v>
      </c>
      <c r="BG4" s="116" t="s">
        <v>56</v>
      </c>
      <c r="BH4" s="116" t="s">
        <v>126</v>
      </c>
      <c r="BI4" s="116" t="s">
        <v>127</v>
      </c>
      <c r="BJ4" s="116" t="s">
        <v>128</v>
      </c>
      <c r="BK4" s="116" t="s">
        <v>129</v>
      </c>
      <c r="BL4" s="116" t="s">
        <v>131</v>
      </c>
      <c r="BM4" s="116" t="s">
        <v>191</v>
      </c>
      <c r="BN4" s="116" t="s">
        <v>193</v>
      </c>
      <c r="BO4" s="117" t="s">
        <v>58</v>
      </c>
      <c r="BP4" s="116" t="s">
        <v>59</v>
      </c>
      <c r="BQ4" s="116" t="s">
        <v>68</v>
      </c>
      <c r="BR4" s="117" t="s">
        <v>61</v>
      </c>
      <c r="BS4" s="116" t="s">
        <v>186</v>
      </c>
      <c r="BT4" s="119" t="s">
        <v>130</v>
      </c>
      <c r="BU4" s="116" t="s">
        <v>103</v>
      </c>
      <c r="BV4" s="116" t="s">
        <v>104</v>
      </c>
      <c r="BW4" s="116" t="s">
        <v>184</v>
      </c>
      <c r="BX4" s="116" t="s">
        <v>185</v>
      </c>
      <c r="BY4" s="116" t="s">
        <v>60</v>
      </c>
      <c r="BZ4" s="116" t="s">
        <v>124</v>
      </c>
      <c r="CA4" s="116" t="s">
        <v>125</v>
      </c>
      <c r="CB4" s="116" t="s">
        <v>60</v>
      </c>
      <c r="CC4" s="116" t="s">
        <v>39</v>
      </c>
      <c r="CD4" s="116" t="s">
        <v>159</v>
      </c>
      <c r="CE4" s="116" t="s">
        <v>19</v>
      </c>
      <c r="CF4" s="116" t="s">
        <v>165</v>
      </c>
      <c r="CG4" s="116" t="s">
        <v>150</v>
      </c>
      <c r="CH4" s="116" t="s">
        <v>176</v>
      </c>
      <c r="CI4" s="116" t="s">
        <v>158</v>
      </c>
      <c r="CJ4" s="116" t="s">
        <v>177</v>
      </c>
      <c r="CK4" s="120" t="s">
        <v>178</v>
      </c>
      <c r="CL4" s="121" t="s">
        <v>187</v>
      </c>
      <c r="CM4" s="120" t="s">
        <v>188</v>
      </c>
      <c r="CN4" s="120" t="s">
        <v>189</v>
      </c>
      <c r="CO4" s="120" t="s">
        <v>195</v>
      </c>
      <c r="CP4" s="120" t="s">
        <v>2</v>
      </c>
      <c r="CQ4" s="120" t="s">
        <v>196</v>
      </c>
      <c r="CR4" s="120" t="s">
        <v>197</v>
      </c>
      <c r="CS4" s="120" t="s">
        <v>59</v>
      </c>
      <c r="CT4" s="120" t="s">
        <v>212</v>
      </c>
      <c r="CU4" s="120" t="s">
        <v>213</v>
      </c>
      <c r="CV4" s="120" t="s">
        <v>168</v>
      </c>
      <c r="CW4" s="120" t="s">
        <v>169</v>
      </c>
    </row>
    <row r="5" spans="2:101" s="151" customFormat="1" ht="11.85" customHeight="1" x14ac:dyDescent="0.25">
      <c r="B5" s="123" t="str">
        <f t="shared" ref="B5" si="0">"Q" &amp; IF(ROUNDUP(MONTH(D5)/3,0)-1=0,4,ROUNDUP(MONTH(D5)/3,0)-1)</f>
        <v>Q1</v>
      </c>
      <c r="C5" s="124" t="str">
        <f t="shared" ref="C5" si="1">TEXT(AN5,"mmm-yy")</f>
        <v>Apr-26</v>
      </c>
      <c r="D5" s="125">
        <v>46120</v>
      </c>
      <c r="E5" s="126" t="s">
        <v>278</v>
      </c>
      <c r="F5" s="126" t="s">
        <v>254</v>
      </c>
      <c r="G5" s="126" t="s">
        <v>279</v>
      </c>
      <c r="H5" s="127" t="s">
        <v>238</v>
      </c>
      <c r="I5" s="125">
        <v>46120</v>
      </c>
      <c r="J5" s="126" t="s">
        <v>280</v>
      </c>
      <c r="K5" s="125">
        <v>46120</v>
      </c>
      <c r="L5" s="126" t="s">
        <v>281</v>
      </c>
      <c r="M5" s="126" t="s">
        <v>282</v>
      </c>
      <c r="N5" s="127" t="s">
        <v>283</v>
      </c>
      <c r="O5" s="126">
        <v>19160</v>
      </c>
      <c r="P5" s="280">
        <v>11.5</v>
      </c>
      <c r="Q5" s="128">
        <f t="shared" ref="Q5" si="2">O5*P5</f>
        <v>220340</v>
      </c>
      <c r="R5" s="129">
        <v>0</v>
      </c>
      <c r="S5" s="128">
        <f t="shared" ref="S5" si="3">O5-R5</f>
        <v>19160</v>
      </c>
      <c r="T5" s="129">
        <v>0</v>
      </c>
      <c r="U5" s="130">
        <v>0</v>
      </c>
      <c r="V5" s="131">
        <v>0</v>
      </c>
      <c r="W5" s="130">
        <v>0</v>
      </c>
      <c r="X5" s="130">
        <v>0</v>
      </c>
      <c r="Y5" s="130">
        <v>0</v>
      </c>
      <c r="Z5" s="130">
        <v>0</v>
      </c>
      <c r="AA5" s="129">
        <v>0</v>
      </c>
      <c r="AB5" s="133">
        <f t="shared" ref="AB5" si="4">Y5+AA5+Z5</f>
        <v>0</v>
      </c>
      <c r="AC5" s="133">
        <v>0</v>
      </c>
      <c r="AD5" s="129">
        <v>0</v>
      </c>
      <c r="AE5" s="130">
        <v>0</v>
      </c>
      <c r="AF5" s="130" t="s">
        <v>319</v>
      </c>
      <c r="AG5" s="325">
        <v>46128</v>
      </c>
      <c r="AH5" s="130">
        <v>0</v>
      </c>
      <c r="AI5" s="131">
        <v>0</v>
      </c>
      <c r="AJ5" s="130">
        <v>0</v>
      </c>
      <c r="AK5" s="130">
        <v>-115</v>
      </c>
      <c r="AL5" s="130">
        <v>0</v>
      </c>
      <c r="AM5" s="134">
        <f t="shared" ref="AM5" si="5">Q5+AB5+AL5+AK5+AJ5+T5+AE5</f>
        <v>220225</v>
      </c>
      <c r="AN5" s="135">
        <v>46120</v>
      </c>
      <c r="AO5" s="136" t="s">
        <v>284</v>
      </c>
      <c r="AP5" s="137" t="s">
        <v>285</v>
      </c>
      <c r="AQ5" s="138" t="s">
        <v>239</v>
      </c>
      <c r="AR5" s="138" t="s">
        <v>221</v>
      </c>
      <c r="AS5" s="126" t="s">
        <v>286</v>
      </c>
      <c r="AT5" s="139" t="s">
        <v>287</v>
      </c>
      <c r="AU5" s="140" t="s">
        <v>288</v>
      </c>
      <c r="AV5" s="140"/>
      <c r="AW5" s="138">
        <v>19160</v>
      </c>
      <c r="AX5" s="326">
        <v>14</v>
      </c>
      <c r="AY5" s="138">
        <f t="shared" ref="AY5" si="6">AW5*AX5</f>
        <v>268240</v>
      </c>
      <c r="AZ5" s="141" t="b">
        <f t="shared" ref="AZ5" si="7">AW5=O5</f>
        <v>1</v>
      </c>
      <c r="BA5" s="128">
        <v>0</v>
      </c>
      <c r="BB5" s="142">
        <f t="shared" ref="BB5" si="8">AW5-BA5</f>
        <v>19160</v>
      </c>
      <c r="BC5" s="143">
        <v>0</v>
      </c>
      <c r="BD5" s="142" t="s">
        <v>115</v>
      </c>
      <c r="BE5" s="143">
        <v>0</v>
      </c>
      <c r="BF5" s="142">
        <v>0</v>
      </c>
      <c r="BG5" s="143">
        <v>0</v>
      </c>
      <c r="BH5" s="131" t="s">
        <v>320</v>
      </c>
      <c r="BI5" s="314">
        <v>46128</v>
      </c>
      <c r="BJ5" s="131">
        <v>0</v>
      </c>
      <c r="BK5" s="128">
        <v>0</v>
      </c>
      <c r="BL5" s="138">
        <v>0</v>
      </c>
      <c r="BM5" s="138">
        <v>-140</v>
      </c>
      <c r="BN5" s="144">
        <v>0</v>
      </c>
      <c r="BO5" s="129">
        <f t="shared" ref="BO5" si="9">AY5+BL5+BM5+BN5+BC5+BG5</f>
        <v>268100</v>
      </c>
      <c r="BP5" s="134">
        <f>BO5-AM5</f>
        <v>47875</v>
      </c>
      <c r="BQ5" s="143" t="str">
        <f t="shared" ref="BQ5" si="10">IF(BP5&gt;=0,"Positive Margin","Negative Margin")</f>
        <v>Positive Margin</v>
      </c>
      <c r="BR5" s="145" t="s">
        <v>383</v>
      </c>
      <c r="BS5" s="128">
        <f t="shared" ref="BS5" si="11">AY5-Y5-Q5-AA5-T5+BC5</f>
        <v>47900</v>
      </c>
      <c r="BT5" s="146" t="str">
        <f t="shared" ref="BT5" si="12">IF(BS5&lt;0, "Negative Margin at Inception", "Positive Margin at Inception")</f>
        <v>Positive Margin at Inception</v>
      </c>
      <c r="BU5" s="147">
        <f t="shared" ref="BU5" si="13">IFERROR(BP5/BO5,"0")</f>
        <v>0.17857142857142858</v>
      </c>
      <c r="BV5" s="146" t="str">
        <f t="shared" ref="BV5" si="14">IF(BU5&lt;1%,"Less Than 1%",IF(BU5&gt;2%,"More than 2%",IF(BU5&gt;=1%,"1% - 2%")))</f>
        <v>More than 2%</v>
      </c>
      <c r="BW5" s="128">
        <f t="shared" ref="BW5" si="15">BM5+BN5</f>
        <v>-140</v>
      </c>
      <c r="BX5" s="129">
        <f t="shared" ref="BX5" si="16">AL5+AK5</f>
        <v>-115</v>
      </c>
      <c r="BY5" s="128">
        <f t="shared" ref="BY5" si="17">BW5-BX5</f>
        <v>-25</v>
      </c>
      <c r="BZ5" s="148">
        <f t="shared" ref="BZ5" si="18">BM5</f>
        <v>-140</v>
      </c>
      <c r="CA5" s="148">
        <f t="shared" ref="CA5" si="19">AK5</f>
        <v>-115</v>
      </c>
      <c r="CB5" s="130">
        <f t="shared" ref="CB5" si="20">BZ5-CA5</f>
        <v>-25</v>
      </c>
      <c r="CC5" s="148" t="s">
        <v>222</v>
      </c>
      <c r="CD5" s="130">
        <v>0</v>
      </c>
      <c r="CE5" s="130" t="str">
        <f t="shared" ref="CE5" si="21">TEXT(AN5,"mmm-yy")</f>
        <v>Apr-26</v>
      </c>
      <c r="CF5" s="130">
        <f t="shared" ref="CF5" si="22">AM5-AL5-AA5</f>
        <v>220225</v>
      </c>
      <c r="CG5" s="130">
        <f t="shared" ref="CG5" si="23">BO5-BN5</f>
        <v>268100</v>
      </c>
      <c r="CH5" s="130">
        <f t="shared" ref="CH5" si="24">INT((D5- IF(MONTH(D5) &gt;= 4, DATE(YEAR(D5), 4, 1), DATE(YEAR(D5)-1, 4, 1))) / 7) + 1</f>
        <v>2</v>
      </c>
      <c r="CI5" s="149" t="s">
        <v>223</v>
      </c>
      <c r="CJ5" s="130" t="s">
        <v>223</v>
      </c>
      <c r="CK5" s="130">
        <v>0</v>
      </c>
      <c r="CL5" s="130">
        <f t="shared" ref="CL5" si="25">AY5-Q5</f>
        <v>47900</v>
      </c>
      <c r="CM5" s="130">
        <f t="shared" ref="CM5" si="26">CL5-Y5+Z5</f>
        <v>47900</v>
      </c>
      <c r="CN5" s="130">
        <f t="shared" ref="CN5" si="27">BO5-AM5</f>
        <v>47875</v>
      </c>
      <c r="CO5" s="130">
        <f t="shared" ref="CO5" si="28">AY5*118%</f>
        <v>316523.2</v>
      </c>
      <c r="CP5" s="130">
        <f t="shared" ref="CP5" si="29">-Q5*118%</f>
        <v>-260001.19999999998</v>
      </c>
      <c r="CQ5" s="130">
        <f t="shared" ref="CQ5" si="30">-BZ5*118%</f>
        <v>165.2</v>
      </c>
      <c r="CR5" s="130">
        <f t="shared" ref="CR5" si="31">-CA5*118%</f>
        <v>135.69999999999999</v>
      </c>
      <c r="CS5" s="130">
        <f t="shared" ref="CS5" si="32">SUM(CO5:CR5)</f>
        <v>56822.900000000023</v>
      </c>
      <c r="CT5" s="130" t="s">
        <v>214</v>
      </c>
      <c r="CU5" s="130" t="s">
        <v>214</v>
      </c>
      <c r="CV5" s="144" t="str">
        <f t="shared" ref="CV5" si="33">MID(G5,3,10)</f>
        <v>ANHPG0363J</v>
      </c>
      <c r="CW5" s="144" t="str">
        <f t="shared" ref="CW5" si="34">MID(AR5,3,10)</f>
        <v>AAACM4154G</v>
      </c>
    </row>
    <row r="6" spans="2:101" s="151" customFormat="1" ht="11.85" customHeight="1" x14ac:dyDescent="0.25">
      <c r="B6" s="123" t="str">
        <f t="shared" ref="B6" si="35">"Q" &amp; IF(ROUNDUP(MONTH(D6)/3,0)-1=0,4,ROUNDUP(MONTH(D6)/3,0)-1)</f>
        <v>Q1</v>
      </c>
      <c r="C6" s="124" t="str">
        <f t="shared" ref="C6" si="36">TEXT(AN6,"mmm-yy")</f>
        <v>May-26</v>
      </c>
      <c r="D6" s="125">
        <v>46151</v>
      </c>
      <c r="E6" s="126" t="s">
        <v>351</v>
      </c>
      <c r="F6" s="126" t="s">
        <v>254</v>
      </c>
      <c r="G6" s="126" t="s">
        <v>279</v>
      </c>
      <c r="H6" s="127" t="s">
        <v>352</v>
      </c>
      <c r="I6" s="125">
        <v>46151</v>
      </c>
      <c r="J6" s="126" t="s">
        <v>353</v>
      </c>
      <c r="K6" s="125">
        <v>46151</v>
      </c>
      <c r="L6" s="126" t="s">
        <v>281</v>
      </c>
      <c r="M6" s="126" t="s">
        <v>354</v>
      </c>
      <c r="N6" s="127" t="s">
        <v>283</v>
      </c>
      <c r="O6" s="126">
        <v>17950</v>
      </c>
      <c r="P6" s="280">
        <v>11.5</v>
      </c>
      <c r="Q6" s="128">
        <f t="shared" ref="Q6" si="37">O6*P6</f>
        <v>206425</v>
      </c>
      <c r="R6" s="129">
        <v>0</v>
      </c>
      <c r="S6" s="128">
        <f t="shared" ref="S6" si="38">O6-R6</f>
        <v>17950</v>
      </c>
      <c r="T6" s="129">
        <v>0</v>
      </c>
      <c r="U6" s="130">
        <v>0</v>
      </c>
      <c r="V6" s="131">
        <v>0</v>
      </c>
      <c r="W6" s="130">
        <v>0</v>
      </c>
      <c r="X6" s="130">
        <v>0</v>
      </c>
      <c r="Y6" s="130">
        <v>0</v>
      </c>
      <c r="Z6" s="130">
        <v>0</v>
      </c>
      <c r="AA6" s="129">
        <v>0</v>
      </c>
      <c r="AB6" s="133">
        <f t="shared" ref="AB6" si="39">Y6+AA6+Z6</f>
        <v>0</v>
      </c>
      <c r="AC6" s="133">
        <v>0</v>
      </c>
      <c r="AD6" s="129">
        <v>0</v>
      </c>
      <c r="AE6" s="130">
        <v>0</v>
      </c>
      <c r="AF6" s="130" t="s">
        <v>381</v>
      </c>
      <c r="AG6" s="325">
        <v>46168</v>
      </c>
      <c r="AH6" s="130">
        <v>0</v>
      </c>
      <c r="AI6" s="131">
        <v>0</v>
      </c>
      <c r="AJ6" s="130">
        <v>0</v>
      </c>
      <c r="AK6" s="130">
        <v>-460</v>
      </c>
      <c r="AL6" s="130">
        <v>0</v>
      </c>
      <c r="AM6" s="134">
        <f t="shared" ref="AM6" si="40">Q6+AB6+AL6+AK6+AJ6+T6+AE6</f>
        <v>205965</v>
      </c>
      <c r="AN6" s="135">
        <v>46151</v>
      </c>
      <c r="AO6" s="136" t="s">
        <v>355</v>
      </c>
      <c r="AP6" s="137" t="s">
        <v>285</v>
      </c>
      <c r="AQ6" s="138" t="s">
        <v>239</v>
      </c>
      <c r="AR6" s="138" t="s">
        <v>221</v>
      </c>
      <c r="AS6" s="126" t="s">
        <v>356</v>
      </c>
      <c r="AT6" s="139" t="s">
        <v>287</v>
      </c>
      <c r="AU6" s="140" t="s">
        <v>288</v>
      </c>
      <c r="AV6" s="140" t="s">
        <v>240</v>
      </c>
      <c r="AW6" s="138">
        <v>17950</v>
      </c>
      <c r="AX6" s="326">
        <v>14</v>
      </c>
      <c r="AY6" s="138">
        <f t="shared" ref="AY6" si="41">AW6*AX6</f>
        <v>251300</v>
      </c>
      <c r="AZ6" s="141" t="b">
        <f t="shared" ref="AZ6" si="42">AW6=O6</f>
        <v>1</v>
      </c>
      <c r="BA6" s="128">
        <v>0</v>
      </c>
      <c r="BB6" s="142">
        <f t="shared" ref="BB6" si="43">AW6-BA6</f>
        <v>17950</v>
      </c>
      <c r="BC6" s="143">
        <v>0</v>
      </c>
      <c r="BD6" s="142" t="s">
        <v>115</v>
      </c>
      <c r="BE6" s="143">
        <v>0</v>
      </c>
      <c r="BF6" s="142">
        <v>0</v>
      </c>
      <c r="BG6" s="143">
        <v>0</v>
      </c>
      <c r="BH6" s="131" t="s">
        <v>382</v>
      </c>
      <c r="BI6" s="314">
        <v>46168</v>
      </c>
      <c r="BJ6" s="131">
        <v>0</v>
      </c>
      <c r="BK6" s="128">
        <v>0</v>
      </c>
      <c r="BL6" s="138">
        <v>0</v>
      </c>
      <c r="BM6" s="138">
        <v>-560</v>
      </c>
      <c r="BN6" s="144">
        <v>0</v>
      </c>
      <c r="BO6" s="129">
        <f t="shared" ref="BO6" si="44">AY6+BL6+BM6+BN6+BC6+BG6</f>
        <v>250740</v>
      </c>
      <c r="BP6" s="134">
        <f>BO6-AM6</f>
        <v>44775</v>
      </c>
      <c r="BQ6" s="143" t="str">
        <f t="shared" ref="BQ6" si="45">IF(BP6&gt;=0,"Positive Margin","Negative Margin")</f>
        <v>Positive Margin</v>
      </c>
      <c r="BR6" s="145" t="s">
        <v>383</v>
      </c>
      <c r="BS6" s="128">
        <f t="shared" ref="BS6" si="46">AY6-Y6-Q6-AA6-T6+BC6</f>
        <v>44875</v>
      </c>
      <c r="BT6" s="146" t="str">
        <f t="shared" ref="BT6" si="47">IF(BS6&lt;0, "Negative Margin at Inception", "Positive Margin at Inception")</f>
        <v>Positive Margin at Inception</v>
      </c>
      <c r="BU6" s="147">
        <f t="shared" ref="BU6" si="48">IFERROR(BP6/BO6,"0")</f>
        <v>0.17857142857142858</v>
      </c>
      <c r="BV6" s="146" t="str">
        <f t="shared" ref="BV6" si="49">IF(BU6&lt;1%,"Less Than 1%",IF(BU6&gt;2%,"More than 2%",IF(BU6&gt;=1%,"1% - 2%")))</f>
        <v>More than 2%</v>
      </c>
      <c r="BW6" s="128">
        <f t="shared" ref="BW6" si="50">BM6+BN6</f>
        <v>-560</v>
      </c>
      <c r="BX6" s="129">
        <f t="shared" ref="BX6" si="51">AL6+AK6</f>
        <v>-460</v>
      </c>
      <c r="BY6" s="128">
        <f t="shared" ref="BY6" si="52">BW6-BX6</f>
        <v>-100</v>
      </c>
      <c r="BZ6" s="148">
        <f t="shared" ref="BZ6" si="53">BM6</f>
        <v>-560</v>
      </c>
      <c r="CA6" s="148">
        <f t="shared" ref="CA6" si="54">AK6</f>
        <v>-460</v>
      </c>
      <c r="CB6" s="130">
        <f t="shared" ref="CB6" si="55">BZ6-CA6</f>
        <v>-100</v>
      </c>
      <c r="CC6" s="148" t="s">
        <v>222</v>
      </c>
      <c r="CD6" s="130">
        <v>0</v>
      </c>
      <c r="CE6" s="130" t="str">
        <f t="shared" ref="CE6" si="56">TEXT(AN6,"mmm-yy")</f>
        <v>May-26</v>
      </c>
      <c r="CF6" s="130">
        <f t="shared" ref="CF6" si="57">AM6-AL6-AA6</f>
        <v>205965</v>
      </c>
      <c r="CG6" s="130">
        <f t="shared" ref="CG6" si="58">BO6-BN6</f>
        <v>250740</v>
      </c>
      <c r="CH6" s="130">
        <f t="shared" ref="CH6" si="59">INT((D6- IF(MONTH(D6) &gt;= 4, DATE(YEAR(D6), 4, 1), DATE(YEAR(D6)-1, 4, 1))) / 7) + 1</f>
        <v>6</v>
      </c>
      <c r="CI6" s="149" t="s">
        <v>223</v>
      </c>
      <c r="CJ6" s="130" t="s">
        <v>223</v>
      </c>
      <c r="CK6" s="130">
        <v>0</v>
      </c>
      <c r="CL6" s="130">
        <f t="shared" ref="CL6" si="60">AY6-Q6</f>
        <v>44875</v>
      </c>
      <c r="CM6" s="130">
        <f t="shared" ref="CM6" si="61">CL6-Y6+Z6</f>
        <v>44875</v>
      </c>
      <c r="CN6" s="130">
        <f t="shared" ref="CN6" si="62">BO6-AM6</f>
        <v>44775</v>
      </c>
      <c r="CO6" s="130">
        <f t="shared" ref="CO6" si="63">AY6*118%</f>
        <v>296534</v>
      </c>
      <c r="CP6" s="130">
        <f t="shared" ref="CP6" si="64">-Q6*118%</f>
        <v>-243581.5</v>
      </c>
      <c r="CQ6" s="130">
        <f t="shared" ref="CQ6" si="65">-BZ6*118%</f>
        <v>660.8</v>
      </c>
      <c r="CR6" s="130">
        <f t="shared" ref="CR6" si="66">-CA6*118%</f>
        <v>542.79999999999995</v>
      </c>
      <c r="CS6" s="130">
        <f t="shared" ref="CS6" si="67">SUM(CO6:CR6)</f>
        <v>54156.100000000006</v>
      </c>
      <c r="CT6" s="130" t="s">
        <v>214</v>
      </c>
      <c r="CU6" s="130" t="s">
        <v>214</v>
      </c>
      <c r="CV6" s="144" t="str">
        <f t="shared" ref="CV6" si="68">MID(G6,3,10)</f>
        <v>ANHPG0363J</v>
      </c>
      <c r="CW6" s="144" t="str">
        <f t="shared" ref="CW6" si="69">MID(AR6,3,10)</f>
        <v>AAACM4154G</v>
      </c>
    </row>
    <row r="7" spans="2:101" s="151" customFormat="1" ht="11.85" customHeight="1" x14ac:dyDescent="0.25">
      <c r="B7" s="123" t="str">
        <f t="shared" ref="B7" si="70">"Q" &amp; IF(ROUNDUP(MONTH(D7)/3,0)-1=0,4,ROUNDUP(MONTH(D7)/3,0)-1)</f>
        <v>Q1</v>
      </c>
      <c r="C7" s="124" t="str">
        <f t="shared" ref="C7" si="71">TEXT(AN7,"mmm-yy")</f>
        <v>May-26</v>
      </c>
      <c r="D7" s="125">
        <v>46155</v>
      </c>
      <c r="E7" s="126" t="s">
        <v>358</v>
      </c>
      <c r="F7" s="126" t="s">
        <v>254</v>
      </c>
      <c r="G7" s="126" t="s">
        <v>279</v>
      </c>
      <c r="H7" s="127" t="s">
        <v>359</v>
      </c>
      <c r="I7" s="125">
        <v>46155</v>
      </c>
      <c r="J7" s="126" t="s">
        <v>360</v>
      </c>
      <c r="K7" s="125">
        <v>46155</v>
      </c>
      <c r="L7" s="126" t="s">
        <v>281</v>
      </c>
      <c r="M7" s="126" t="s">
        <v>361</v>
      </c>
      <c r="N7" s="127" t="s">
        <v>283</v>
      </c>
      <c r="O7" s="126">
        <v>23980</v>
      </c>
      <c r="P7" s="280">
        <v>12</v>
      </c>
      <c r="Q7" s="128">
        <f t="shared" ref="Q7" si="72">O7*P7</f>
        <v>287760</v>
      </c>
      <c r="R7" s="129">
        <v>0</v>
      </c>
      <c r="S7" s="128">
        <f t="shared" ref="S7" si="73">O7-R7</f>
        <v>23980</v>
      </c>
      <c r="T7" s="129">
        <v>0</v>
      </c>
      <c r="U7" s="130">
        <v>0</v>
      </c>
      <c r="V7" s="131">
        <v>0</v>
      </c>
      <c r="W7" s="130">
        <v>0</v>
      </c>
      <c r="X7" s="130">
        <v>0</v>
      </c>
      <c r="Y7" s="130">
        <v>0</v>
      </c>
      <c r="Z7" s="130">
        <v>0</v>
      </c>
      <c r="AA7" s="129">
        <v>0</v>
      </c>
      <c r="AB7" s="133">
        <f t="shared" ref="AB7" si="74">Y7+AA7+Z7</f>
        <v>0</v>
      </c>
      <c r="AC7" s="133">
        <v>0</v>
      </c>
      <c r="AD7" s="129">
        <v>0</v>
      </c>
      <c r="AE7" s="130">
        <v>0</v>
      </c>
      <c r="AF7" s="130">
        <v>0</v>
      </c>
      <c r="AG7" s="336">
        <v>0</v>
      </c>
      <c r="AH7" s="130">
        <v>0</v>
      </c>
      <c r="AI7" s="131">
        <v>0</v>
      </c>
      <c r="AJ7" s="130">
        <v>0</v>
      </c>
      <c r="AK7" s="130">
        <v>0</v>
      </c>
      <c r="AL7" s="130">
        <v>0</v>
      </c>
      <c r="AM7" s="134">
        <f t="shared" ref="AM7" si="75">Q7+AB7+AL7+AK7+AJ7+T7+AE7</f>
        <v>287760</v>
      </c>
      <c r="AN7" s="135">
        <v>46155</v>
      </c>
      <c r="AO7" s="136" t="s">
        <v>362</v>
      </c>
      <c r="AP7" s="137" t="s">
        <v>285</v>
      </c>
      <c r="AQ7" s="138" t="s">
        <v>239</v>
      </c>
      <c r="AR7" s="138" t="s">
        <v>221</v>
      </c>
      <c r="AS7" s="126" t="s">
        <v>363</v>
      </c>
      <c r="AT7" s="139" t="s">
        <v>287</v>
      </c>
      <c r="AU7" s="140" t="s">
        <v>288</v>
      </c>
      <c r="AV7" s="140" t="s">
        <v>240</v>
      </c>
      <c r="AW7" s="138">
        <v>23980</v>
      </c>
      <c r="AX7" s="326">
        <v>12.66</v>
      </c>
      <c r="AY7" s="138">
        <f t="shared" ref="AY7" si="76">AW7*AX7</f>
        <v>303586.8</v>
      </c>
      <c r="AZ7" s="141" t="b">
        <f t="shared" ref="AZ7" si="77">AW7=O7</f>
        <v>1</v>
      </c>
      <c r="BA7" s="128">
        <v>0</v>
      </c>
      <c r="BB7" s="142">
        <f t="shared" ref="BB7" si="78">AW7-BA7</f>
        <v>23980</v>
      </c>
      <c r="BC7" s="143">
        <v>0</v>
      </c>
      <c r="BD7" s="142" t="s">
        <v>115</v>
      </c>
      <c r="BE7" s="143">
        <v>0</v>
      </c>
      <c r="BF7" s="142">
        <v>0</v>
      </c>
      <c r="BG7" s="143">
        <v>0</v>
      </c>
      <c r="BH7" s="131">
        <v>0</v>
      </c>
      <c r="BI7" s="337">
        <v>0</v>
      </c>
      <c r="BJ7" s="131">
        <v>0</v>
      </c>
      <c r="BK7" s="128">
        <v>0</v>
      </c>
      <c r="BL7" s="138">
        <v>0</v>
      </c>
      <c r="BM7" s="138">
        <v>0</v>
      </c>
      <c r="BN7" s="144">
        <v>0</v>
      </c>
      <c r="BO7" s="129">
        <f t="shared" ref="BO7" si="79">AY7+BL7+BM7+BN7+BC7+BG7</f>
        <v>303586.8</v>
      </c>
      <c r="BP7" s="134">
        <f>BO7-AM7</f>
        <v>15826.799999999988</v>
      </c>
      <c r="BQ7" s="143" t="str">
        <f t="shared" ref="BQ7" si="80">IF(BP7&gt;=0,"Positive Margin","Negative Margin")</f>
        <v>Positive Margin</v>
      </c>
      <c r="BR7" s="145" t="s">
        <v>448</v>
      </c>
      <c r="BS7" s="128">
        <f t="shared" ref="BS7" si="81">AY7-Y7-Q7-AA7-T7+BC7</f>
        <v>15826.799999999988</v>
      </c>
      <c r="BT7" s="146" t="str">
        <f t="shared" ref="BT7" si="82">IF(BS7&lt;0, "Negative Margin at Inception", "Positive Margin at Inception")</f>
        <v>Positive Margin at Inception</v>
      </c>
      <c r="BU7" s="147">
        <f t="shared" ref="BU7" si="83">IFERROR(BP7/BO7,"0")</f>
        <v>5.213270142180091E-2</v>
      </c>
      <c r="BV7" s="146" t="str">
        <f t="shared" ref="BV7" si="84">IF(BU7&lt;1%,"Less Than 1%",IF(BU7&gt;2%,"More than 2%",IF(BU7&gt;=1%,"1% - 2%")))</f>
        <v>More than 2%</v>
      </c>
      <c r="BW7" s="128">
        <f t="shared" ref="BW7" si="85">BM7+BN7</f>
        <v>0</v>
      </c>
      <c r="BX7" s="129">
        <f t="shared" ref="BX7" si="86">AL7+AK7</f>
        <v>0</v>
      </c>
      <c r="BY7" s="128">
        <f t="shared" ref="BY7" si="87">BW7-BX7</f>
        <v>0</v>
      </c>
      <c r="BZ7" s="148">
        <f t="shared" ref="BZ7" si="88">BM7</f>
        <v>0</v>
      </c>
      <c r="CA7" s="148">
        <f t="shared" ref="CA7" si="89">AK7</f>
        <v>0</v>
      </c>
      <c r="CB7" s="130">
        <f t="shared" ref="CB7" si="90">BZ7-CA7</f>
        <v>0</v>
      </c>
      <c r="CC7" s="148" t="s">
        <v>222</v>
      </c>
      <c r="CD7" s="130">
        <v>0</v>
      </c>
      <c r="CE7" s="130" t="str">
        <f t="shared" ref="CE7" si="91">TEXT(AN7,"mmm-yy")</f>
        <v>May-26</v>
      </c>
      <c r="CF7" s="130">
        <f t="shared" ref="CF7" si="92">AM7-AL7-AA7</f>
        <v>287760</v>
      </c>
      <c r="CG7" s="130">
        <f t="shared" ref="CG7" si="93">BO7-BN7</f>
        <v>303586.8</v>
      </c>
      <c r="CH7" s="130">
        <f t="shared" ref="CH7" si="94">INT((D7- IF(MONTH(D7) &gt;= 4, DATE(YEAR(D7), 4, 1), DATE(YEAR(D7)-1, 4, 1))) / 7) + 1</f>
        <v>7</v>
      </c>
      <c r="CI7" s="149" t="s">
        <v>223</v>
      </c>
      <c r="CJ7" s="130" t="s">
        <v>223</v>
      </c>
      <c r="CK7" s="130">
        <v>0</v>
      </c>
      <c r="CL7" s="130">
        <f t="shared" ref="CL7" si="95">AY7-Q7</f>
        <v>15826.799999999988</v>
      </c>
      <c r="CM7" s="130">
        <f t="shared" ref="CM7" si="96">CL7-Y7+Z7</f>
        <v>15826.799999999988</v>
      </c>
      <c r="CN7" s="130">
        <f t="shared" ref="CN7" si="97">BO7-AM7</f>
        <v>15826.799999999988</v>
      </c>
      <c r="CO7" s="130">
        <f t="shared" ref="CO7" si="98">AY7*118%</f>
        <v>358232.42399999994</v>
      </c>
      <c r="CP7" s="130">
        <f t="shared" ref="CP7" si="99">-Q7*118%</f>
        <v>-339556.8</v>
      </c>
      <c r="CQ7" s="130">
        <f t="shared" ref="CQ7" si="100">-BZ7*118%</f>
        <v>0</v>
      </c>
      <c r="CR7" s="130">
        <f t="shared" ref="CR7" si="101">-CA7*118%</f>
        <v>0</v>
      </c>
      <c r="CS7" s="130">
        <f t="shared" ref="CS7" si="102">SUM(CO7:CR7)</f>
        <v>18675.623999999953</v>
      </c>
      <c r="CT7" s="130" t="s">
        <v>214</v>
      </c>
      <c r="CU7" s="130" t="s">
        <v>214</v>
      </c>
      <c r="CV7" s="144" t="str">
        <f t="shared" ref="CV7" si="103">MID(G7,3,10)</f>
        <v>ANHPG0363J</v>
      </c>
      <c r="CW7" s="144" t="str">
        <f t="shared" ref="CW7" si="104">MID(AR7,3,10)</f>
        <v>AAACM4154G</v>
      </c>
    </row>
    <row r="8" spans="2:101" s="151" customFormat="1" ht="11.85" customHeight="1" x14ac:dyDescent="0.25">
      <c r="B8" s="123" t="str">
        <f t="shared" ref="B8" si="105">"Q" &amp; IF(ROUNDUP(MONTH(D8)/3,0)-1=0,4,ROUNDUP(MONTH(D8)/3,0)-1)</f>
        <v>Q1</v>
      </c>
      <c r="C8" s="124" t="str">
        <f t="shared" ref="C8" si="106">TEXT(AN8,"mmm-yy")</f>
        <v>May-26</v>
      </c>
      <c r="D8" s="125">
        <v>46168</v>
      </c>
      <c r="E8" s="126" t="s">
        <v>376</v>
      </c>
      <c r="F8" s="126" t="s">
        <v>254</v>
      </c>
      <c r="G8" s="126" t="s">
        <v>279</v>
      </c>
      <c r="H8" s="127" t="s">
        <v>377</v>
      </c>
      <c r="I8" s="125">
        <v>46168</v>
      </c>
      <c r="J8" s="126" t="s">
        <v>378</v>
      </c>
      <c r="K8" s="125">
        <v>46168</v>
      </c>
      <c r="L8" s="126" t="s">
        <v>281</v>
      </c>
      <c r="M8" s="126" t="s">
        <v>379</v>
      </c>
      <c r="N8" s="127" t="s">
        <v>283</v>
      </c>
      <c r="O8" s="126">
        <v>13870</v>
      </c>
      <c r="P8" s="280">
        <v>12</v>
      </c>
      <c r="Q8" s="128">
        <f t="shared" ref="Q8" si="107">O8*P8</f>
        <v>166440</v>
      </c>
      <c r="R8" s="129">
        <v>0</v>
      </c>
      <c r="S8" s="128">
        <f t="shared" ref="S8" si="108">O8-R8</f>
        <v>13870</v>
      </c>
      <c r="T8" s="129">
        <v>0</v>
      </c>
      <c r="U8" s="130">
        <v>0</v>
      </c>
      <c r="V8" s="131">
        <v>0</v>
      </c>
      <c r="W8" s="130">
        <v>0</v>
      </c>
      <c r="X8" s="130">
        <v>0</v>
      </c>
      <c r="Y8" s="130">
        <v>0</v>
      </c>
      <c r="Z8" s="130">
        <v>0</v>
      </c>
      <c r="AA8" s="129">
        <v>0</v>
      </c>
      <c r="AB8" s="133">
        <f t="shared" ref="AB8" si="109">Y8+AA8+Z8</f>
        <v>0</v>
      </c>
      <c r="AC8" s="133">
        <v>0</v>
      </c>
      <c r="AD8" s="129">
        <v>0</v>
      </c>
      <c r="AE8" s="130">
        <v>0</v>
      </c>
      <c r="AF8" s="130">
        <v>0</v>
      </c>
      <c r="AG8" s="336">
        <v>0</v>
      </c>
      <c r="AH8" s="130">
        <v>0</v>
      </c>
      <c r="AI8" s="131">
        <v>0</v>
      </c>
      <c r="AJ8" s="130">
        <v>0</v>
      </c>
      <c r="AK8" s="130">
        <v>0</v>
      </c>
      <c r="AL8" s="130">
        <v>0</v>
      </c>
      <c r="AM8" s="134">
        <f t="shared" ref="AM8" si="110">Q8+AB8+AL8+AK8+AJ8+T8+AE8</f>
        <v>166440</v>
      </c>
      <c r="AN8" s="135">
        <v>46168</v>
      </c>
      <c r="AO8" s="136" t="s">
        <v>380</v>
      </c>
      <c r="AP8" s="137" t="s">
        <v>285</v>
      </c>
      <c r="AQ8" s="138" t="s">
        <v>239</v>
      </c>
      <c r="AR8" s="138" t="s">
        <v>221</v>
      </c>
      <c r="AS8" s="126" t="s">
        <v>356</v>
      </c>
      <c r="AT8" s="139" t="s">
        <v>287</v>
      </c>
      <c r="AU8" s="140" t="s">
        <v>288</v>
      </c>
      <c r="AV8" s="140" t="s">
        <v>240</v>
      </c>
      <c r="AW8" s="138">
        <v>13870</v>
      </c>
      <c r="AX8" s="326">
        <v>12.66</v>
      </c>
      <c r="AY8" s="138">
        <f t="shared" ref="AY8" si="111">AW8*AX8</f>
        <v>175594.2</v>
      </c>
      <c r="AZ8" s="141" t="b">
        <f t="shared" ref="AZ8" si="112">AW8=O8</f>
        <v>1</v>
      </c>
      <c r="BA8" s="128">
        <v>0</v>
      </c>
      <c r="BB8" s="142">
        <f t="shared" ref="BB8" si="113">AW8-BA8</f>
        <v>13870</v>
      </c>
      <c r="BC8" s="143">
        <v>0</v>
      </c>
      <c r="BD8" s="142" t="s">
        <v>115</v>
      </c>
      <c r="BE8" s="143">
        <v>0</v>
      </c>
      <c r="BF8" s="142">
        <v>0</v>
      </c>
      <c r="BG8" s="143">
        <v>0</v>
      </c>
      <c r="BH8" s="131">
        <v>0</v>
      </c>
      <c r="BI8" s="337">
        <v>0</v>
      </c>
      <c r="BJ8" s="131">
        <v>0</v>
      </c>
      <c r="BK8" s="128">
        <v>0</v>
      </c>
      <c r="BL8" s="138">
        <v>0</v>
      </c>
      <c r="BM8" s="138">
        <v>0</v>
      </c>
      <c r="BN8" s="144">
        <v>0</v>
      </c>
      <c r="BO8" s="129">
        <f t="shared" ref="BO8" si="114">AY8+BL8+BM8+BN8+BC8+BG8</f>
        <v>175594.2</v>
      </c>
      <c r="BP8" s="134">
        <f>BO8-AM8</f>
        <v>9154.2000000000116</v>
      </c>
      <c r="BQ8" s="143" t="str">
        <f t="shared" ref="BQ8" si="115">IF(BP8&gt;=0,"Positive Margin","Negative Margin")</f>
        <v>Positive Margin</v>
      </c>
      <c r="BR8" s="145" t="s">
        <v>448</v>
      </c>
      <c r="BS8" s="128">
        <f t="shared" ref="BS8" si="116">AY8-Y8-Q8-AA8-T8+BC8</f>
        <v>9154.2000000000116</v>
      </c>
      <c r="BT8" s="146" t="str">
        <f t="shared" ref="BT8" si="117">IF(BS8&lt;0, "Negative Margin at Inception", "Positive Margin at Inception")</f>
        <v>Positive Margin at Inception</v>
      </c>
      <c r="BU8" s="147">
        <f t="shared" ref="BU8" si="118">IFERROR(BP8/BO8,"0")</f>
        <v>5.2132701421801007E-2</v>
      </c>
      <c r="BV8" s="146" t="str">
        <f t="shared" ref="BV8" si="119">IF(BU8&lt;1%,"Less Than 1%",IF(BU8&gt;2%,"More than 2%",IF(BU8&gt;=1%,"1% - 2%")))</f>
        <v>More than 2%</v>
      </c>
      <c r="BW8" s="128">
        <f t="shared" ref="BW8" si="120">BM8+BN8</f>
        <v>0</v>
      </c>
      <c r="BX8" s="129">
        <f t="shared" ref="BX8" si="121">AL8+AK8</f>
        <v>0</v>
      </c>
      <c r="BY8" s="128">
        <f t="shared" ref="BY8" si="122">BW8-BX8</f>
        <v>0</v>
      </c>
      <c r="BZ8" s="148">
        <f t="shared" ref="BZ8" si="123">BM8</f>
        <v>0</v>
      </c>
      <c r="CA8" s="148">
        <f t="shared" ref="CA8" si="124">AK8</f>
        <v>0</v>
      </c>
      <c r="CB8" s="130">
        <f t="shared" ref="CB8" si="125">BZ8-CA8</f>
        <v>0</v>
      </c>
      <c r="CC8" s="148" t="s">
        <v>222</v>
      </c>
      <c r="CD8" s="130">
        <v>0</v>
      </c>
      <c r="CE8" s="130" t="str">
        <f t="shared" ref="CE8" si="126">TEXT(AN8,"mmm-yy")</f>
        <v>May-26</v>
      </c>
      <c r="CF8" s="130">
        <f t="shared" ref="CF8" si="127">AM8-AL8-AA8</f>
        <v>166440</v>
      </c>
      <c r="CG8" s="130">
        <f t="shared" ref="CG8" si="128">BO8-BN8</f>
        <v>175594.2</v>
      </c>
      <c r="CH8" s="130">
        <f t="shared" ref="CH8" si="129">INT((D8- IF(MONTH(D8) &gt;= 4, DATE(YEAR(D8), 4, 1), DATE(YEAR(D8)-1, 4, 1))) / 7) + 1</f>
        <v>8</v>
      </c>
      <c r="CI8" s="149" t="s">
        <v>223</v>
      </c>
      <c r="CJ8" s="130" t="s">
        <v>223</v>
      </c>
      <c r="CK8" s="130">
        <v>0</v>
      </c>
      <c r="CL8" s="130">
        <f t="shared" ref="CL8" si="130">AY8-Q8</f>
        <v>9154.2000000000116</v>
      </c>
      <c r="CM8" s="130">
        <f t="shared" ref="CM8" si="131">CL8-Y8+Z8</f>
        <v>9154.2000000000116</v>
      </c>
      <c r="CN8" s="130">
        <f t="shared" ref="CN8" si="132">BO8-AM8</f>
        <v>9154.2000000000116</v>
      </c>
      <c r="CO8" s="130">
        <f t="shared" ref="CO8" si="133">AY8*118%</f>
        <v>207201.15600000002</v>
      </c>
      <c r="CP8" s="130">
        <f t="shared" ref="CP8" si="134">-Q8*118%</f>
        <v>-196399.19999999998</v>
      </c>
      <c r="CQ8" s="130">
        <f t="shared" ref="CQ8" si="135">-BZ8*118%</f>
        <v>0</v>
      </c>
      <c r="CR8" s="130">
        <f t="shared" ref="CR8" si="136">-CA8*118%</f>
        <v>0</v>
      </c>
      <c r="CS8" s="130">
        <f t="shared" ref="CS8" si="137">SUM(CO8:CR8)</f>
        <v>10801.956000000035</v>
      </c>
      <c r="CT8" s="130" t="s">
        <v>214</v>
      </c>
      <c r="CU8" s="130" t="s">
        <v>214</v>
      </c>
      <c r="CV8" s="144" t="str">
        <f t="shared" ref="CV8" si="138">MID(G8,3,10)</f>
        <v>ANHPG0363J</v>
      </c>
      <c r="CW8" s="144" t="str">
        <f t="shared" ref="CW8" si="139">MID(AR8,3,10)</f>
        <v>AAACM4154G</v>
      </c>
    </row>
    <row r="9" spans="2:101" s="151" customFormat="1" ht="11.85" customHeight="1" x14ac:dyDescent="0.25">
      <c r="B9" s="123" t="str">
        <f t="shared" ref="B9:B13" si="140">"Q" &amp; IF(ROUNDUP(MONTH(D9)/3,0)-1=0,4,ROUNDUP(MONTH(D9)/3,0)-1)</f>
        <v>Q1</v>
      </c>
      <c r="C9" s="124" t="str">
        <f t="shared" ref="C9:C13" si="141">TEXT(AN9,"mmm-yy")</f>
        <v>Jun-26</v>
      </c>
      <c r="D9" s="125">
        <v>46174</v>
      </c>
      <c r="E9" s="126" t="s">
        <v>387</v>
      </c>
      <c r="F9" s="126" t="s">
        <v>253</v>
      </c>
      <c r="G9" s="126" t="s">
        <v>348</v>
      </c>
      <c r="H9" s="127" t="s">
        <v>388</v>
      </c>
      <c r="I9" s="125">
        <v>46174</v>
      </c>
      <c r="J9" s="126" t="s">
        <v>389</v>
      </c>
      <c r="K9" s="125">
        <v>46174</v>
      </c>
      <c r="L9" s="126" t="s">
        <v>281</v>
      </c>
      <c r="M9" s="126" t="s">
        <v>390</v>
      </c>
      <c r="N9" s="127" t="s">
        <v>391</v>
      </c>
      <c r="O9" s="126">
        <v>11960</v>
      </c>
      <c r="P9" s="280">
        <v>3.4</v>
      </c>
      <c r="Q9" s="128">
        <f t="shared" ref="Q9:Q13" si="142">O9*P9</f>
        <v>40664</v>
      </c>
      <c r="R9" s="129">
        <v>0</v>
      </c>
      <c r="S9" s="128">
        <f t="shared" ref="S9:S13" si="143">O9-R9</f>
        <v>11960</v>
      </c>
      <c r="T9" s="129">
        <v>0</v>
      </c>
      <c r="U9" s="130">
        <v>0</v>
      </c>
      <c r="V9" s="131">
        <v>0</v>
      </c>
      <c r="W9" s="130">
        <v>0</v>
      </c>
      <c r="X9" s="130">
        <v>0</v>
      </c>
      <c r="Y9" s="130">
        <v>0</v>
      </c>
      <c r="Z9" s="130">
        <v>0</v>
      </c>
      <c r="AA9" s="129">
        <v>0</v>
      </c>
      <c r="AB9" s="133">
        <f t="shared" ref="AB9:AB13" si="144">Y9+AA9+Z9</f>
        <v>0</v>
      </c>
      <c r="AC9" s="133">
        <v>0</v>
      </c>
      <c r="AD9" s="129">
        <v>0</v>
      </c>
      <c r="AE9" s="130">
        <v>0</v>
      </c>
      <c r="AF9" s="130" t="s">
        <v>478</v>
      </c>
      <c r="AG9" s="325">
        <v>46196</v>
      </c>
      <c r="AH9" s="130">
        <v>0</v>
      </c>
      <c r="AI9" s="131">
        <v>0</v>
      </c>
      <c r="AJ9" s="130">
        <v>-40664</v>
      </c>
      <c r="AK9" s="130">
        <v>0</v>
      </c>
      <c r="AL9" s="130">
        <v>0</v>
      </c>
      <c r="AM9" s="134">
        <f t="shared" ref="AM9:AM13" si="145">Q9+AB9+AL9+AK9+AJ9+T9+AE9</f>
        <v>0</v>
      </c>
      <c r="AN9" s="135">
        <v>46174</v>
      </c>
      <c r="AO9" s="136" t="s">
        <v>408</v>
      </c>
      <c r="AP9" s="137" t="s">
        <v>409</v>
      </c>
      <c r="AQ9" s="138" t="s">
        <v>410</v>
      </c>
      <c r="AR9" s="138" t="s">
        <v>411</v>
      </c>
      <c r="AS9" s="126" t="s">
        <v>412</v>
      </c>
      <c r="AT9" s="139" t="s">
        <v>413</v>
      </c>
      <c r="AU9" s="140" t="s">
        <v>414</v>
      </c>
      <c r="AV9" s="140" t="s">
        <v>240</v>
      </c>
      <c r="AW9" s="138">
        <v>11960</v>
      </c>
      <c r="AX9" s="326">
        <v>3.7</v>
      </c>
      <c r="AY9" s="138">
        <f t="shared" ref="AY9:AY13" si="146">AW9*AX9</f>
        <v>44252</v>
      </c>
      <c r="AZ9" s="141" t="b">
        <f t="shared" ref="AZ9:AZ13" si="147">AW9=O9</f>
        <v>1</v>
      </c>
      <c r="BA9" s="126">
        <v>11960</v>
      </c>
      <c r="BB9" s="142">
        <f t="shared" ref="BB9:BB13" si="148">AW9-BA9</f>
        <v>0</v>
      </c>
      <c r="BC9" s="143">
        <v>0</v>
      </c>
      <c r="BD9" s="142" t="s">
        <v>115</v>
      </c>
      <c r="BE9" s="143">
        <v>0</v>
      </c>
      <c r="BF9" s="142">
        <v>0</v>
      </c>
      <c r="BG9" s="143">
        <v>0</v>
      </c>
      <c r="BH9" s="131" t="s">
        <v>479</v>
      </c>
      <c r="BI9" s="314">
        <v>46196</v>
      </c>
      <c r="BJ9" s="131">
        <v>0</v>
      </c>
      <c r="BK9" s="128">
        <v>0</v>
      </c>
      <c r="BL9" s="138">
        <v>-44252</v>
      </c>
      <c r="BM9" s="138">
        <v>0</v>
      </c>
      <c r="BN9" s="144">
        <v>0</v>
      </c>
      <c r="BO9" s="129">
        <f t="shared" ref="BO9:BO13" si="149">AY9+BL9+BM9+BN9+BC9+BG9</f>
        <v>0</v>
      </c>
      <c r="BP9" s="134">
        <f t="shared" ref="BP9:BP13" si="150">BO9-AM9</f>
        <v>0</v>
      </c>
      <c r="BQ9" s="143" t="str">
        <f t="shared" ref="BQ9:BQ13" si="151">IF(BP9&gt;=0,"Positive Margin","Negative Margin")</f>
        <v>Positive Margin</v>
      </c>
      <c r="BR9" s="145" t="s">
        <v>202</v>
      </c>
      <c r="BS9" s="128">
        <f t="shared" ref="BS9:BS13" si="152">AY9-Y9-Q9-AA9-T9+BC9</f>
        <v>3588</v>
      </c>
      <c r="BT9" s="146" t="str">
        <f t="shared" ref="BT9:BT13" si="153">IF(BS9&lt;0, "Negative Margin at Inception", "Positive Margin at Inception")</f>
        <v>Positive Margin at Inception</v>
      </c>
      <c r="BU9" s="147" t="str">
        <f t="shared" ref="BU9:BU13" si="154">IFERROR(BP9/BO9,"0")</f>
        <v>0</v>
      </c>
      <c r="BV9" s="146" t="str">
        <f t="shared" ref="BV9:BV13" si="155">IF(BU9&lt;1%,"Less Than 1%",IF(BU9&gt;2%,"More than 2%",IF(BU9&gt;=1%,"1% - 2%")))</f>
        <v>More than 2%</v>
      </c>
      <c r="BW9" s="128">
        <f t="shared" ref="BW9:BW13" si="156">BM9+BN9</f>
        <v>0</v>
      </c>
      <c r="BX9" s="129">
        <f t="shared" ref="BX9:BX13" si="157">AL9+AK9</f>
        <v>0</v>
      </c>
      <c r="BY9" s="128">
        <f t="shared" ref="BY9:BY13" si="158">BW9-BX9</f>
        <v>0</v>
      </c>
      <c r="BZ9" s="148">
        <f t="shared" ref="BZ9:BZ13" si="159">BM9</f>
        <v>0</v>
      </c>
      <c r="CA9" s="148">
        <f t="shared" ref="CA9:CA13" si="160">AK9</f>
        <v>0</v>
      </c>
      <c r="CB9" s="130">
        <f t="shared" ref="CB9:CB13" si="161">BZ9-CA9</f>
        <v>0</v>
      </c>
      <c r="CC9" s="148" t="s">
        <v>222</v>
      </c>
      <c r="CD9" s="130">
        <v>0</v>
      </c>
      <c r="CE9" s="130" t="str">
        <f t="shared" ref="CE9:CE13" si="162">TEXT(AN9,"mmm-yy")</f>
        <v>Jun-26</v>
      </c>
      <c r="CF9" s="130">
        <f t="shared" ref="CF9:CF13" si="163">AM9-AL9-AA9</f>
        <v>0</v>
      </c>
      <c r="CG9" s="130">
        <f t="shared" ref="CG9:CG13" si="164">BO9-BN9</f>
        <v>0</v>
      </c>
      <c r="CH9" s="130">
        <f t="shared" ref="CH9:CH13" si="165">INT((D9- IF(MONTH(D9) &gt;= 4, DATE(YEAR(D9), 4, 1), DATE(YEAR(D9)-1, 4, 1))) / 7) + 1</f>
        <v>9</v>
      </c>
      <c r="CI9" s="149" t="s">
        <v>223</v>
      </c>
      <c r="CJ9" s="130" t="s">
        <v>223</v>
      </c>
      <c r="CK9" s="130">
        <v>0</v>
      </c>
      <c r="CL9" s="130">
        <f t="shared" ref="CL9:CL13" si="166">AY9-Q9</f>
        <v>3588</v>
      </c>
      <c r="CM9" s="130">
        <f t="shared" ref="CM9:CM13" si="167">CL9-Y9+Z9</f>
        <v>3588</v>
      </c>
      <c r="CN9" s="130">
        <f t="shared" ref="CN9:CN13" si="168">BO9-AM9</f>
        <v>0</v>
      </c>
      <c r="CO9" s="130">
        <f t="shared" ref="CO9:CO13" si="169">AY9*118%</f>
        <v>52217.36</v>
      </c>
      <c r="CP9" s="130">
        <f t="shared" ref="CP9:CP13" si="170">-Q9*118%</f>
        <v>-47983.519999999997</v>
      </c>
      <c r="CQ9" s="130">
        <f t="shared" ref="CQ9:CQ13" si="171">-BZ9*118%</f>
        <v>0</v>
      </c>
      <c r="CR9" s="130">
        <f t="shared" ref="CR9:CR13" si="172">-CA9*118%</f>
        <v>0</v>
      </c>
      <c r="CS9" s="130">
        <f t="shared" ref="CS9:CS13" si="173">SUM(CO9:CR9)</f>
        <v>4233.8400000000038</v>
      </c>
      <c r="CT9" s="130" t="s">
        <v>214</v>
      </c>
      <c r="CU9" s="130" t="s">
        <v>214</v>
      </c>
      <c r="CV9" s="144" t="str">
        <f t="shared" ref="CV9:CV13" si="174">MID(G9,3,10)</f>
        <v>AGCPV7437N</v>
      </c>
      <c r="CW9" s="144" t="str">
        <f t="shared" ref="CW9:CW13" si="175">MID(AR9,3,10)</f>
        <v>AAACL6442L</v>
      </c>
    </row>
    <row r="10" spans="2:101" s="151" customFormat="1" ht="11.85" customHeight="1" x14ac:dyDescent="0.25">
      <c r="B10" s="123" t="str">
        <f t="shared" si="140"/>
        <v>Q1</v>
      </c>
      <c r="C10" s="124" t="str">
        <f t="shared" si="141"/>
        <v>Jun-26</v>
      </c>
      <c r="D10" s="125">
        <v>46176</v>
      </c>
      <c r="E10" s="126" t="s">
        <v>392</v>
      </c>
      <c r="F10" s="126" t="s">
        <v>253</v>
      </c>
      <c r="G10" s="126" t="s">
        <v>348</v>
      </c>
      <c r="H10" s="127" t="s">
        <v>393</v>
      </c>
      <c r="I10" s="125">
        <v>46176</v>
      </c>
      <c r="J10" s="126" t="s">
        <v>394</v>
      </c>
      <c r="K10" s="125">
        <v>46176</v>
      </c>
      <c r="L10" s="126" t="s">
        <v>281</v>
      </c>
      <c r="M10" s="126" t="s">
        <v>395</v>
      </c>
      <c r="N10" s="127" t="s">
        <v>391</v>
      </c>
      <c r="O10" s="126">
        <v>12010</v>
      </c>
      <c r="P10" s="280">
        <v>3.4</v>
      </c>
      <c r="Q10" s="128">
        <f t="shared" si="142"/>
        <v>40834</v>
      </c>
      <c r="R10" s="129">
        <v>0</v>
      </c>
      <c r="S10" s="128">
        <f t="shared" si="143"/>
        <v>12010</v>
      </c>
      <c r="T10" s="129">
        <v>0</v>
      </c>
      <c r="U10" s="130">
        <v>0</v>
      </c>
      <c r="V10" s="131">
        <v>0</v>
      </c>
      <c r="W10" s="130">
        <v>0</v>
      </c>
      <c r="X10" s="130">
        <v>0</v>
      </c>
      <c r="Y10" s="130">
        <v>0</v>
      </c>
      <c r="Z10" s="130">
        <v>0</v>
      </c>
      <c r="AA10" s="129">
        <v>0</v>
      </c>
      <c r="AB10" s="133">
        <f t="shared" si="144"/>
        <v>0</v>
      </c>
      <c r="AC10" s="133">
        <v>0</v>
      </c>
      <c r="AD10" s="129">
        <v>0</v>
      </c>
      <c r="AE10" s="130">
        <v>0</v>
      </c>
      <c r="AF10" s="130" t="s">
        <v>472</v>
      </c>
      <c r="AG10" s="325">
        <v>46196</v>
      </c>
      <c r="AH10" s="130">
        <v>0</v>
      </c>
      <c r="AI10" s="131">
        <v>0</v>
      </c>
      <c r="AJ10" s="130">
        <v>-40834</v>
      </c>
      <c r="AK10" s="130">
        <v>0</v>
      </c>
      <c r="AL10" s="130">
        <v>0</v>
      </c>
      <c r="AM10" s="134">
        <f t="shared" si="145"/>
        <v>0</v>
      </c>
      <c r="AN10" s="135">
        <v>46176</v>
      </c>
      <c r="AO10" s="136" t="s">
        <v>418</v>
      </c>
      <c r="AP10" s="137" t="s">
        <v>409</v>
      </c>
      <c r="AQ10" s="138" t="s">
        <v>410</v>
      </c>
      <c r="AR10" s="138" t="s">
        <v>411</v>
      </c>
      <c r="AS10" s="126" t="s">
        <v>419</v>
      </c>
      <c r="AT10" s="139" t="s">
        <v>413</v>
      </c>
      <c r="AU10" s="140" t="s">
        <v>414</v>
      </c>
      <c r="AV10" s="140" t="s">
        <v>240</v>
      </c>
      <c r="AW10" s="138">
        <v>12010</v>
      </c>
      <c r="AX10" s="326">
        <v>3.7</v>
      </c>
      <c r="AY10" s="138">
        <f t="shared" si="146"/>
        <v>44437</v>
      </c>
      <c r="AZ10" s="141" t="b">
        <f t="shared" si="147"/>
        <v>1</v>
      </c>
      <c r="BA10" s="126">
        <v>12010</v>
      </c>
      <c r="BB10" s="142">
        <f t="shared" si="148"/>
        <v>0</v>
      </c>
      <c r="BC10" s="143">
        <v>0</v>
      </c>
      <c r="BD10" s="142" t="s">
        <v>115</v>
      </c>
      <c r="BE10" s="143">
        <v>0</v>
      </c>
      <c r="BF10" s="142">
        <v>0</v>
      </c>
      <c r="BG10" s="143">
        <v>0</v>
      </c>
      <c r="BH10" s="131" t="s">
        <v>473</v>
      </c>
      <c r="BI10" s="314">
        <v>46196</v>
      </c>
      <c r="BJ10" s="131">
        <v>0</v>
      </c>
      <c r="BK10" s="128">
        <v>0</v>
      </c>
      <c r="BL10" s="138">
        <v>-44437</v>
      </c>
      <c r="BM10" s="138">
        <v>0</v>
      </c>
      <c r="BN10" s="144">
        <v>0</v>
      </c>
      <c r="BO10" s="129">
        <f t="shared" si="149"/>
        <v>0</v>
      </c>
      <c r="BP10" s="134">
        <f t="shared" si="150"/>
        <v>0</v>
      </c>
      <c r="BQ10" s="143" t="str">
        <f t="shared" si="151"/>
        <v>Positive Margin</v>
      </c>
      <c r="BR10" s="145" t="s">
        <v>202</v>
      </c>
      <c r="BS10" s="128">
        <f t="shared" si="152"/>
        <v>3603</v>
      </c>
      <c r="BT10" s="146" t="str">
        <f t="shared" si="153"/>
        <v>Positive Margin at Inception</v>
      </c>
      <c r="BU10" s="147" t="str">
        <f t="shared" si="154"/>
        <v>0</v>
      </c>
      <c r="BV10" s="146" t="str">
        <f t="shared" si="155"/>
        <v>More than 2%</v>
      </c>
      <c r="BW10" s="128">
        <f t="shared" si="156"/>
        <v>0</v>
      </c>
      <c r="BX10" s="129">
        <f t="shared" si="157"/>
        <v>0</v>
      </c>
      <c r="BY10" s="128">
        <f t="shared" si="158"/>
        <v>0</v>
      </c>
      <c r="BZ10" s="148">
        <f t="shared" si="159"/>
        <v>0</v>
      </c>
      <c r="CA10" s="148">
        <f t="shared" si="160"/>
        <v>0</v>
      </c>
      <c r="CB10" s="130">
        <f t="shared" si="161"/>
        <v>0</v>
      </c>
      <c r="CC10" s="148" t="s">
        <v>222</v>
      </c>
      <c r="CD10" s="130">
        <v>0</v>
      </c>
      <c r="CE10" s="130" t="str">
        <f t="shared" si="162"/>
        <v>Jun-26</v>
      </c>
      <c r="CF10" s="130">
        <f t="shared" si="163"/>
        <v>0</v>
      </c>
      <c r="CG10" s="130">
        <f t="shared" si="164"/>
        <v>0</v>
      </c>
      <c r="CH10" s="130">
        <f t="shared" si="165"/>
        <v>10</v>
      </c>
      <c r="CI10" s="149" t="s">
        <v>223</v>
      </c>
      <c r="CJ10" s="130" t="s">
        <v>223</v>
      </c>
      <c r="CK10" s="130">
        <v>0</v>
      </c>
      <c r="CL10" s="130">
        <f t="shared" si="166"/>
        <v>3603</v>
      </c>
      <c r="CM10" s="130">
        <f t="shared" si="167"/>
        <v>3603</v>
      </c>
      <c r="CN10" s="130">
        <f t="shared" si="168"/>
        <v>0</v>
      </c>
      <c r="CO10" s="130">
        <f t="shared" si="169"/>
        <v>52435.659999999996</v>
      </c>
      <c r="CP10" s="130">
        <f t="shared" si="170"/>
        <v>-48184.119999999995</v>
      </c>
      <c r="CQ10" s="130">
        <f t="shared" si="171"/>
        <v>0</v>
      </c>
      <c r="CR10" s="130">
        <f t="shared" si="172"/>
        <v>0</v>
      </c>
      <c r="CS10" s="130">
        <f t="shared" si="173"/>
        <v>4251.5400000000009</v>
      </c>
      <c r="CT10" s="130" t="s">
        <v>214</v>
      </c>
      <c r="CU10" s="130" t="s">
        <v>214</v>
      </c>
      <c r="CV10" s="144" t="str">
        <f t="shared" si="174"/>
        <v>AGCPV7437N</v>
      </c>
      <c r="CW10" s="144" t="str">
        <f t="shared" si="175"/>
        <v>AAACL6442L</v>
      </c>
    </row>
    <row r="11" spans="2:101" s="151" customFormat="1" ht="11.85" customHeight="1" x14ac:dyDescent="0.25">
      <c r="B11" s="123" t="str">
        <f t="shared" si="140"/>
        <v>Q1</v>
      </c>
      <c r="C11" s="124" t="str">
        <f t="shared" si="141"/>
        <v>Jun-26</v>
      </c>
      <c r="D11" s="125">
        <v>46176</v>
      </c>
      <c r="E11" s="126" t="s">
        <v>396</v>
      </c>
      <c r="F11" s="126" t="s">
        <v>253</v>
      </c>
      <c r="G11" s="126" t="s">
        <v>348</v>
      </c>
      <c r="H11" s="127" t="s">
        <v>397</v>
      </c>
      <c r="I11" s="125">
        <v>46176</v>
      </c>
      <c r="J11" s="126" t="s">
        <v>398</v>
      </c>
      <c r="K11" s="125">
        <v>46176</v>
      </c>
      <c r="L11" s="126" t="s">
        <v>281</v>
      </c>
      <c r="M11" s="126" t="s">
        <v>399</v>
      </c>
      <c r="N11" s="127" t="s">
        <v>391</v>
      </c>
      <c r="O11" s="126">
        <v>12015</v>
      </c>
      <c r="P11" s="280">
        <v>3.4</v>
      </c>
      <c r="Q11" s="128">
        <f t="shared" si="142"/>
        <v>40851</v>
      </c>
      <c r="R11" s="129">
        <v>0</v>
      </c>
      <c r="S11" s="128">
        <f t="shared" si="143"/>
        <v>12015</v>
      </c>
      <c r="T11" s="129">
        <v>0</v>
      </c>
      <c r="U11" s="130">
        <v>0</v>
      </c>
      <c r="V11" s="131">
        <v>0</v>
      </c>
      <c r="W11" s="130">
        <v>0</v>
      </c>
      <c r="X11" s="130">
        <v>0</v>
      </c>
      <c r="Y11" s="130">
        <v>0</v>
      </c>
      <c r="Z11" s="130">
        <v>0</v>
      </c>
      <c r="AA11" s="129">
        <v>0</v>
      </c>
      <c r="AB11" s="133">
        <f t="shared" si="144"/>
        <v>0</v>
      </c>
      <c r="AC11" s="133">
        <v>0</v>
      </c>
      <c r="AD11" s="129">
        <v>0</v>
      </c>
      <c r="AE11" s="130">
        <v>0</v>
      </c>
      <c r="AF11" s="130" t="s">
        <v>474</v>
      </c>
      <c r="AG11" s="325">
        <v>46196</v>
      </c>
      <c r="AH11" s="130">
        <v>0</v>
      </c>
      <c r="AI11" s="131">
        <v>0</v>
      </c>
      <c r="AJ11" s="130">
        <v>-40851</v>
      </c>
      <c r="AK11" s="130">
        <v>0</v>
      </c>
      <c r="AL11" s="130">
        <v>0</v>
      </c>
      <c r="AM11" s="134">
        <f t="shared" si="145"/>
        <v>0</v>
      </c>
      <c r="AN11" s="135">
        <v>46176</v>
      </c>
      <c r="AO11" s="136" t="s">
        <v>416</v>
      </c>
      <c r="AP11" s="137" t="s">
        <v>409</v>
      </c>
      <c r="AQ11" s="138" t="s">
        <v>410</v>
      </c>
      <c r="AR11" s="138" t="s">
        <v>411</v>
      </c>
      <c r="AS11" s="126" t="s">
        <v>412</v>
      </c>
      <c r="AT11" s="139" t="s">
        <v>413</v>
      </c>
      <c r="AU11" s="140" t="s">
        <v>414</v>
      </c>
      <c r="AV11" s="140" t="s">
        <v>240</v>
      </c>
      <c r="AW11" s="138">
        <v>12015</v>
      </c>
      <c r="AX11" s="326">
        <v>3.7</v>
      </c>
      <c r="AY11" s="138">
        <f t="shared" si="146"/>
        <v>44455.5</v>
      </c>
      <c r="AZ11" s="141" t="b">
        <f t="shared" si="147"/>
        <v>1</v>
      </c>
      <c r="BA11" s="126">
        <v>12015</v>
      </c>
      <c r="BB11" s="142">
        <f t="shared" si="148"/>
        <v>0</v>
      </c>
      <c r="BC11" s="143">
        <v>0</v>
      </c>
      <c r="BD11" s="142" t="s">
        <v>115</v>
      </c>
      <c r="BE11" s="143">
        <v>0</v>
      </c>
      <c r="BF11" s="142">
        <v>0</v>
      </c>
      <c r="BG11" s="143">
        <v>0</v>
      </c>
      <c r="BH11" s="131" t="s">
        <v>475</v>
      </c>
      <c r="BI11" s="314">
        <v>46196</v>
      </c>
      <c r="BJ11" s="131">
        <v>0</v>
      </c>
      <c r="BK11" s="128">
        <v>0</v>
      </c>
      <c r="BL11" s="138">
        <v>-44455.5</v>
      </c>
      <c r="BM11" s="138">
        <v>0</v>
      </c>
      <c r="BN11" s="144">
        <v>0</v>
      </c>
      <c r="BO11" s="129">
        <f t="shared" si="149"/>
        <v>0</v>
      </c>
      <c r="BP11" s="134">
        <f t="shared" si="150"/>
        <v>0</v>
      </c>
      <c r="BQ11" s="143" t="str">
        <f t="shared" si="151"/>
        <v>Positive Margin</v>
      </c>
      <c r="BR11" s="145" t="s">
        <v>202</v>
      </c>
      <c r="BS11" s="128">
        <f t="shared" si="152"/>
        <v>3604.5</v>
      </c>
      <c r="BT11" s="146" t="str">
        <f t="shared" si="153"/>
        <v>Positive Margin at Inception</v>
      </c>
      <c r="BU11" s="147" t="str">
        <f t="shared" si="154"/>
        <v>0</v>
      </c>
      <c r="BV11" s="146" t="str">
        <f t="shared" si="155"/>
        <v>More than 2%</v>
      </c>
      <c r="BW11" s="128">
        <f t="shared" si="156"/>
        <v>0</v>
      </c>
      <c r="BX11" s="129">
        <f t="shared" si="157"/>
        <v>0</v>
      </c>
      <c r="BY11" s="128">
        <f t="shared" si="158"/>
        <v>0</v>
      </c>
      <c r="BZ11" s="148">
        <f t="shared" si="159"/>
        <v>0</v>
      </c>
      <c r="CA11" s="148">
        <f t="shared" si="160"/>
        <v>0</v>
      </c>
      <c r="CB11" s="130">
        <f t="shared" si="161"/>
        <v>0</v>
      </c>
      <c r="CC11" s="148" t="s">
        <v>222</v>
      </c>
      <c r="CD11" s="130">
        <v>0</v>
      </c>
      <c r="CE11" s="130" t="str">
        <f t="shared" si="162"/>
        <v>Jun-26</v>
      </c>
      <c r="CF11" s="130">
        <f t="shared" si="163"/>
        <v>0</v>
      </c>
      <c r="CG11" s="130">
        <f t="shared" si="164"/>
        <v>0</v>
      </c>
      <c r="CH11" s="130">
        <f t="shared" si="165"/>
        <v>10</v>
      </c>
      <c r="CI11" s="149" t="s">
        <v>223</v>
      </c>
      <c r="CJ11" s="130" t="s">
        <v>223</v>
      </c>
      <c r="CK11" s="130">
        <v>0</v>
      </c>
      <c r="CL11" s="130">
        <f t="shared" si="166"/>
        <v>3604.5</v>
      </c>
      <c r="CM11" s="130">
        <f t="shared" si="167"/>
        <v>3604.5</v>
      </c>
      <c r="CN11" s="130">
        <f t="shared" si="168"/>
        <v>0</v>
      </c>
      <c r="CO11" s="130">
        <f t="shared" si="169"/>
        <v>52457.49</v>
      </c>
      <c r="CP11" s="130">
        <f t="shared" si="170"/>
        <v>-48204.18</v>
      </c>
      <c r="CQ11" s="130">
        <f t="shared" si="171"/>
        <v>0</v>
      </c>
      <c r="CR11" s="130">
        <f t="shared" si="172"/>
        <v>0</v>
      </c>
      <c r="CS11" s="130">
        <f t="shared" si="173"/>
        <v>4253.3099999999977</v>
      </c>
      <c r="CT11" s="130" t="s">
        <v>214</v>
      </c>
      <c r="CU11" s="130" t="s">
        <v>214</v>
      </c>
      <c r="CV11" s="144" t="str">
        <f t="shared" si="174"/>
        <v>AGCPV7437N</v>
      </c>
      <c r="CW11" s="144" t="str">
        <f t="shared" si="175"/>
        <v>AAACL6442L</v>
      </c>
    </row>
    <row r="12" spans="2:101" s="151" customFormat="1" ht="11.85" customHeight="1" x14ac:dyDescent="0.25">
      <c r="B12" s="123" t="str">
        <f t="shared" si="140"/>
        <v>Q1</v>
      </c>
      <c r="C12" s="124" t="str">
        <f t="shared" si="141"/>
        <v>Jun-26</v>
      </c>
      <c r="D12" s="125">
        <v>46177</v>
      </c>
      <c r="E12" s="126" t="s">
        <v>400</v>
      </c>
      <c r="F12" s="126" t="s">
        <v>254</v>
      </c>
      <c r="G12" s="126" t="s">
        <v>279</v>
      </c>
      <c r="H12" s="127" t="s">
        <v>401</v>
      </c>
      <c r="I12" s="125">
        <v>46177</v>
      </c>
      <c r="J12" s="126" t="s">
        <v>402</v>
      </c>
      <c r="K12" s="125">
        <v>46177</v>
      </c>
      <c r="L12" s="126" t="s">
        <v>281</v>
      </c>
      <c r="M12" s="126" t="s">
        <v>403</v>
      </c>
      <c r="N12" s="127" t="s">
        <v>283</v>
      </c>
      <c r="O12" s="126">
        <v>10380</v>
      </c>
      <c r="P12" s="280">
        <v>12</v>
      </c>
      <c r="Q12" s="128">
        <f t="shared" si="142"/>
        <v>124560</v>
      </c>
      <c r="R12" s="129">
        <v>0</v>
      </c>
      <c r="S12" s="128">
        <f t="shared" si="143"/>
        <v>10380</v>
      </c>
      <c r="T12" s="129">
        <v>0</v>
      </c>
      <c r="U12" s="130">
        <v>0</v>
      </c>
      <c r="V12" s="131">
        <v>0</v>
      </c>
      <c r="W12" s="130">
        <v>0</v>
      </c>
      <c r="X12" s="130">
        <v>0</v>
      </c>
      <c r="Y12" s="130">
        <v>0</v>
      </c>
      <c r="Z12" s="130">
        <v>0</v>
      </c>
      <c r="AA12" s="129">
        <v>0</v>
      </c>
      <c r="AB12" s="133">
        <f t="shared" si="144"/>
        <v>0</v>
      </c>
      <c r="AC12" s="133">
        <v>0</v>
      </c>
      <c r="AD12" s="129">
        <v>0</v>
      </c>
      <c r="AE12" s="130">
        <v>0</v>
      </c>
      <c r="AF12" s="130" t="s">
        <v>482</v>
      </c>
      <c r="AG12" s="325">
        <v>46198</v>
      </c>
      <c r="AH12" s="130">
        <v>0</v>
      </c>
      <c r="AI12" s="131">
        <v>0</v>
      </c>
      <c r="AJ12" s="130">
        <v>0</v>
      </c>
      <c r="AK12" s="130">
        <v>-1320</v>
      </c>
      <c r="AL12" s="130">
        <v>0</v>
      </c>
      <c r="AM12" s="134">
        <f t="shared" si="145"/>
        <v>123240</v>
      </c>
      <c r="AN12" s="135">
        <v>46177</v>
      </c>
      <c r="AO12" s="136" t="s">
        <v>415</v>
      </c>
      <c r="AP12" s="137" t="s">
        <v>285</v>
      </c>
      <c r="AQ12" s="138" t="s">
        <v>239</v>
      </c>
      <c r="AR12" s="138" t="s">
        <v>221</v>
      </c>
      <c r="AS12" s="126" t="s">
        <v>356</v>
      </c>
      <c r="AT12" s="139" t="s">
        <v>287</v>
      </c>
      <c r="AU12" s="140" t="s">
        <v>288</v>
      </c>
      <c r="AV12" s="140" t="s">
        <v>240</v>
      </c>
      <c r="AW12" s="138">
        <v>10380</v>
      </c>
      <c r="AX12" s="326">
        <v>12.66</v>
      </c>
      <c r="AY12" s="138">
        <f t="shared" si="146"/>
        <v>131410.79999999999</v>
      </c>
      <c r="AZ12" s="141" t="b">
        <f t="shared" si="147"/>
        <v>1</v>
      </c>
      <c r="BA12" s="128">
        <v>0</v>
      </c>
      <c r="BB12" s="142">
        <f t="shared" si="148"/>
        <v>10380</v>
      </c>
      <c r="BC12" s="143">
        <v>0</v>
      </c>
      <c r="BD12" s="142" t="s">
        <v>115</v>
      </c>
      <c r="BE12" s="143">
        <v>0</v>
      </c>
      <c r="BF12" s="142">
        <v>0</v>
      </c>
      <c r="BG12" s="143">
        <v>0</v>
      </c>
      <c r="BH12" s="131" t="s">
        <v>483</v>
      </c>
      <c r="BI12" s="314">
        <v>46198</v>
      </c>
      <c r="BJ12" s="131">
        <v>0</v>
      </c>
      <c r="BK12" s="128">
        <v>0</v>
      </c>
      <c r="BL12" s="138">
        <v>0</v>
      </c>
      <c r="BM12" s="138">
        <v>-1392.6</v>
      </c>
      <c r="BN12" s="144">
        <v>0</v>
      </c>
      <c r="BO12" s="129">
        <f t="shared" si="149"/>
        <v>130018.19999999998</v>
      </c>
      <c r="BP12" s="134">
        <f t="shared" si="150"/>
        <v>6778.1999999999825</v>
      </c>
      <c r="BQ12" s="143" t="str">
        <f t="shared" si="151"/>
        <v>Positive Margin</v>
      </c>
      <c r="BR12" s="145" t="s">
        <v>383</v>
      </c>
      <c r="BS12" s="128">
        <f t="shared" si="152"/>
        <v>6850.7999999999884</v>
      </c>
      <c r="BT12" s="146" t="str">
        <f t="shared" si="153"/>
        <v>Positive Margin at Inception</v>
      </c>
      <c r="BU12" s="147">
        <f t="shared" si="154"/>
        <v>5.213270142180082E-2</v>
      </c>
      <c r="BV12" s="146" t="str">
        <f t="shared" si="155"/>
        <v>More than 2%</v>
      </c>
      <c r="BW12" s="128">
        <f t="shared" si="156"/>
        <v>-1392.6</v>
      </c>
      <c r="BX12" s="129">
        <f t="shared" si="157"/>
        <v>-1320</v>
      </c>
      <c r="BY12" s="128">
        <f t="shared" si="158"/>
        <v>-72.599999999999909</v>
      </c>
      <c r="BZ12" s="148">
        <f t="shared" si="159"/>
        <v>-1392.6</v>
      </c>
      <c r="CA12" s="148">
        <f t="shared" si="160"/>
        <v>-1320</v>
      </c>
      <c r="CB12" s="130">
        <f t="shared" si="161"/>
        <v>-72.599999999999909</v>
      </c>
      <c r="CC12" s="148" t="s">
        <v>222</v>
      </c>
      <c r="CD12" s="130">
        <v>0</v>
      </c>
      <c r="CE12" s="130" t="str">
        <f t="shared" si="162"/>
        <v>Jun-26</v>
      </c>
      <c r="CF12" s="130">
        <f t="shared" si="163"/>
        <v>123240</v>
      </c>
      <c r="CG12" s="130">
        <f t="shared" si="164"/>
        <v>130018.19999999998</v>
      </c>
      <c r="CH12" s="130">
        <f t="shared" si="165"/>
        <v>10</v>
      </c>
      <c r="CI12" s="149" t="s">
        <v>223</v>
      </c>
      <c r="CJ12" s="130" t="s">
        <v>223</v>
      </c>
      <c r="CK12" s="130">
        <v>0</v>
      </c>
      <c r="CL12" s="130">
        <f t="shared" si="166"/>
        <v>6850.7999999999884</v>
      </c>
      <c r="CM12" s="130">
        <f t="shared" si="167"/>
        <v>6850.7999999999884</v>
      </c>
      <c r="CN12" s="130">
        <f t="shared" si="168"/>
        <v>6778.1999999999825</v>
      </c>
      <c r="CO12" s="130">
        <f t="shared" si="169"/>
        <v>155064.74399999998</v>
      </c>
      <c r="CP12" s="130">
        <f t="shared" si="170"/>
        <v>-146980.79999999999</v>
      </c>
      <c r="CQ12" s="130">
        <f t="shared" si="171"/>
        <v>1643.2679999999998</v>
      </c>
      <c r="CR12" s="130">
        <f t="shared" si="172"/>
        <v>1557.6</v>
      </c>
      <c r="CS12" s="130">
        <f t="shared" si="173"/>
        <v>11284.811999999989</v>
      </c>
      <c r="CT12" s="130" t="s">
        <v>214</v>
      </c>
      <c r="CU12" s="130" t="s">
        <v>214</v>
      </c>
      <c r="CV12" s="144" t="str">
        <f t="shared" si="174"/>
        <v>ANHPG0363J</v>
      </c>
      <c r="CW12" s="144" t="str">
        <f t="shared" si="175"/>
        <v>AAACM4154G</v>
      </c>
    </row>
    <row r="13" spans="2:101" s="151" customFormat="1" ht="11.85" customHeight="1" x14ac:dyDescent="0.25">
      <c r="B13" s="123" t="str">
        <f t="shared" si="140"/>
        <v>Q1</v>
      </c>
      <c r="C13" s="124" t="str">
        <f t="shared" si="141"/>
        <v>Jun-26</v>
      </c>
      <c r="D13" s="125">
        <v>46180</v>
      </c>
      <c r="E13" s="126" t="s">
        <v>404</v>
      </c>
      <c r="F13" s="126" t="s">
        <v>254</v>
      </c>
      <c r="G13" s="126" t="s">
        <v>279</v>
      </c>
      <c r="H13" s="127" t="s">
        <v>405</v>
      </c>
      <c r="I13" s="125">
        <v>46180</v>
      </c>
      <c r="J13" s="126" t="s">
        <v>406</v>
      </c>
      <c r="K13" s="125">
        <v>46180</v>
      </c>
      <c r="L13" s="126" t="s">
        <v>281</v>
      </c>
      <c r="M13" s="126" t="s">
        <v>407</v>
      </c>
      <c r="N13" s="127" t="s">
        <v>283</v>
      </c>
      <c r="O13" s="126">
        <v>14380</v>
      </c>
      <c r="P13" s="280">
        <v>12</v>
      </c>
      <c r="Q13" s="128">
        <f t="shared" si="142"/>
        <v>172560</v>
      </c>
      <c r="R13" s="129">
        <v>0</v>
      </c>
      <c r="S13" s="128">
        <f t="shared" si="143"/>
        <v>14380</v>
      </c>
      <c r="T13" s="129">
        <v>0</v>
      </c>
      <c r="U13" s="130">
        <v>0</v>
      </c>
      <c r="V13" s="131">
        <v>0</v>
      </c>
      <c r="W13" s="130">
        <v>0</v>
      </c>
      <c r="X13" s="130">
        <v>0</v>
      </c>
      <c r="Y13" s="130">
        <v>0</v>
      </c>
      <c r="Z13" s="130">
        <v>0</v>
      </c>
      <c r="AA13" s="129">
        <v>0</v>
      </c>
      <c r="AB13" s="133">
        <f t="shared" si="144"/>
        <v>0</v>
      </c>
      <c r="AC13" s="133">
        <v>0</v>
      </c>
      <c r="AD13" s="129">
        <v>0</v>
      </c>
      <c r="AE13" s="130">
        <v>0</v>
      </c>
      <c r="AF13" s="130" t="s">
        <v>484</v>
      </c>
      <c r="AG13" s="325">
        <v>46198</v>
      </c>
      <c r="AH13" s="130">
        <v>0</v>
      </c>
      <c r="AI13" s="131">
        <v>0</v>
      </c>
      <c r="AJ13" s="130">
        <v>0</v>
      </c>
      <c r="AK13" s="130">
        <v>-1800</v>
      </c>
      <c r="AL13" s="130">
        <v>0</v>
      </c>
      <c r="AM13" s="134">
        <f t="shared" si="145"/>
        <v>170760</v>
      </c>
      <c r="AN13" s="135">
        <v>46180</v>
      </c>
      <c r="AO13" s="136" t="s">
        <v>417</v>
      </c>
      <c r="AP13" s="137" t="s">
        <v>285</v>
      </c>
      <c r="AQ13" s="138" t="s">
        <v>239</v>
      </c>
      <c r="AR13" s="138" t="s">
        <v>221</v>
      </c>
      <c r="AS13" s="126" t="s">
        <v>356</v>
      </c>
      <c r="AT13" s="139" t="s">
        <v>287</v>
      </c>
      <c r="AU13" s="140" t="s">
        <v>288</v>
      </c>
      <c r="AV13" s="140" t="s">
        <v>240</v>
      </c>
      <c r="AW13" s="138">
        <v>14380</v>
      </c>
      <c r="AX13" s="326">
        <v>12.66</v>
      </c>
      <c r="AY13" s="138">
        <f t="shared" si="146"/>
        <v>182050.8</v>
      </c>
      <c r="AZ13" s="141" t="b">
        <f t="shared" si="147"/>
        <v>1</v>
      </c>
      <c r="BA13" s="128">
        <v>0</v>
      </c>
      <c r="BB13" s="142">
        <f t="shared" si="148"/>
        <v>14380</v>
      </c>
      <c r="BC13" s="143">
        <v>0</v>
      </c>
      <c r="BD13" s="142" t="s">
        <v>115</v>
      </c>
      <c r="BE13" s="143">
        <v>0</v>
      </c>
      <c r="BF13" s="142">
        <v>0</v>
      </c>
      <c r="BG13" s="143">
        <v>0</v>
      </c>
      <c r="BH13" s="131" t="s">
        <v>485</v>
      </c>
      <c r="BI13" s="314">
        <v>46198</v>
      </c>
      <c r="BJ13" s="131">
        <v>0</v>
      </c>
      <c r="BK13" s="128">
        <v>0</v>
      </c>
      <c r="BL13" s="138">
        <v>0</v>
      </c>
      <c r="BM13" s="138">
        <v>-1899</v>
      </c>
      <c r="BN13" s="144">
        <v>0</v>
      </c>
      <c r="BO13" s="129">
        <f t="shared" si="149"/>
        <v>180151.8</v>
      </c>
      <c r="BP13" s="134">
        <f t="shared" si="150"/>
        <v>9391.7999999999884</v>
      </c>
      <c r="BQ13" s="143" t="str">
        <f t="shared" si="151"/>
        <v>Positive Margin</v>
      </c>
      <c r="BR13" s="145" t="s">
        <v>383</v>
      </c>
      <c r="BS13" s="128">
        <f t="shared" si="152"/>
        <v>9490.7999999999884</v>
      </c>
      <c r="BT13" s="146" t="str">
        <f t="shared" si="153"/>
        <v>Positive Margin at Inception</v>
      </c>
      <c r="BU13" s="147">
        <f t="shared" si="154"/>
        <v>5.2132701421800889E-2</v>
      </c>
      <c r="BV13" s="146" t="str">
        <f t="shared" si="155"/>
        <v>More than 2%</v>
      </c>
      <c r="BW13" s="128">
        <f t="shared" si="156"/>
        <v>-1899</v>
      </c>
      <c r="BX13" s="129">
        <f t="shared" si="157"/>
        <v>-1800</v>
      </c>
      <c r="BY13" s="128">
        <f t="shared" si="158"/>
        <v>-99</v>
      </c>
      <c r="BZ13" s="148">
        <f t="shared" si="159"/>
        <v>-1899</v>
      </c>
      <c r="CA13" s="148">
        <f t="shared" si="160"/>
        <v>-1800</v>
      </c>
      <c r="CB13" s="130">
        <f t="shared" si="161"/>
        <v>-99</v>
      </c>
      <c r="CC13" s="148" t="s">
        <v>222</v>
      </c>
      <c r="CD13" s="130">
        <v>0</v>
      </c>
      <c r="CE13" s="130" t="str">
        <f t="shared" si="162"/>
        <v>Jun-26</v>
      </c>
      <c r="CF13" s="130">
        <f t="shared" si="163"/>
        <v>170760</v>
      </c>
      <c r="CG13" s="130">
        <f t="shared" si="164"/>
        <v>180151.8</v>
      </c>
      <c r="CH13" s="130">
        <f t="shared" si="165"/>
        <v>10</v>
      </c>
      <c r="CI13" s="149" t="s">
        <v>223</v>
      </c>
      <c r="CJ13" s="130" t="s">
        <v>223</v>
      </c>
      <c r="CK13" s="130">
        <v>0</v>
      </c>
      <c r="CL13" s="130">
        <f t="shared" si="166"/>
        <v>9490.7999999999884</v>
      </c>
      <c r="CM13" s="130">
        <f t="shared" si="167"/>
        <v>9490.7999999999884</v>
      </c>
      <c r="CN13" s="130">
        <f t="shared" si="168"/>
        <v>9391.7999999999884</v>
      </c>
      <c r="CO13" s="130">
        <f t="shared" si="169"/>
        <v>214819.94399999999</v>
      </c>
      <c r="CP13" s="130">
        <f t="shared" si="170"/>
        <v>-203620.8</v>
      </c>
      <c r="CQ13" s="130">
        <f t="shared" si="171"/>
        <v>2240.8199999999997</v>
      </c>
      <c r="CR13" s="130">
        <f t="shared" si="172"/>
        <v>2124</v>
      </c>
      <c r="CS13" s="130">
        <f t="shared" si="173"/>
        <v>15563.964</v>
      </c>
      <c r="CT13" s="130" t="s">
        <v>214</v>
      </c>
      <c r="CU13" s="130" t="s">
        <v>214</v>
      </c>
      <c r="CV13" s="144" t="str">
        <f t="shared" si="174"/>
        <v>ANHPG0363J</v>
      </c>
      <c r="CW13" s="144" t="str">
        <f t="shared" si="175"/>
        <v>AAACM4154G</v>
      </c>
    </row>
    <row r="14" spans="2:101" s="151" customFormat="1" ht="11.85" customHeight="1" x14ac:dyDescent="0.25">
      <c r="B14" s="123" t="str">
        <f t="shared" ref="B14:B16" si="176">"Q" &amp; IF(ROUNDUP(MONTH(D14)/3,0)-1=0,4,ROUNDUP(MONTH(D14)/3,0)-1)</f>
        <v>Q1</v>
      </c>
      <c r="C14" s="124" t="str">
        <f t="shared" ref="C14:C16" si="177">TEXT(AN14,"mmm-yy")</f>
        <v>Jun-26</v>
      </c>
      <c r="D14" s="125">
        <v>46181</v>
      </c>
      <c r="E14" s="126" t="s">
        <v>421</v>
      </c>
      <c r="F14" s="126" t="s">
        <v>253</v>
      </c>
      <c r="G14" s="126" t="s">
        <v>348</v>
      </c>
      <c r="H14" s="127" t="s">
        <v>422</v>
      </c>
      <c r="I14" s="125">
        <v>46181</v>
      </c>
      <c r="J14" s="126" t="s">
        <v>423</v>
      </c>
      <c r="K14" s="125">
        <v>46181</v>
      </c>
      <c r="L14" s="126" t="s">
        <v>281</v>
      </c>
      <c r="M14" s="126" t="s">
        <v>424</v>
      </c>
      <c r="N14" s="127" t="s">
        <v>391</v>
      </c>
      <c r="O14" s="126">
        <v>8815</v>
      </c>
      <c r="P14" s="280">
        <v>3.4</v>
      </c>
      <c r="Q14" s="128">
        <f t="shared" ref="Q14:Q16" si="178">O14*P14</f>
        <v>29971</v>
      </c>
      <c r="R14" s="129">
        <v>0</v>
      </c>
      <c r="S14" s="128">
        <f t="shared" ref="S14:S16" si="179">O14-R14</f>
        <v>8815</v>
      </c>
      <c r="T14" s="129">
        <v>0</v>
      </c>
      <c r="U14" s="130">
        <v>0</v>
      </c>
      <c r="V14" s="131">
        <v>0</v>
      </c>
      <c r="W14" s="130">
        <v>0</v>
      </c>
      <c r="X14" s="130">
        <v>0</v>
      </c>
      <c r="Y14" s="130">
        <v>0</v>
      </c>
      <c r="Z14" s="130">
        <v>0</v>
      </c>
      <c r="AA14" s="129">
        <v>0</v>
      </c>
      <c r="AB14" s="133">
        <f t="shared" ref="AB14:AB16" si="180">Y14+AA14+Z14</f>
        <v>0</v>
      </c>
      <c r="AC14" s="133">
        <v>0</v>
      </c>
      <c r="AD14" s="129">
        <v>0</v>
      </c>
      <c r="AE14" s="130">
        <v>0</v>
      </c>
      <c r="AF14" s="130" t="s">
        <v>476</v>
      </c>
      <c r="AG14" s="325">
        <v>46196</v>
      </c>
      <c r="AH14" s="130">
        <v>0</v>
      </c>
      <c r="AI14" s="131">
        <v>0</v>
      </c>
      <c r="AJ14" s="130">
        <v>-29971</v>
      </c>
      <c r="AK14" s="130">
        <v>0</v>
      </c>
      <c r="AL14" s="130">
        <v>0</v>
      </c>
      <c r="AM14" s="134">
        <f t="shared" ref="AM14:AM16" si="181">Q14+AB14+AL14+AK14+AJ14+T14+AE14</f>
        <v>0</v>
      </c>
      <c r="AN14" s="135">
        <v>46181</v>
      </c>
      <c r="AO14" s="136" t="s">
        <v>433</v>
      </c>
      <c r="AP14" s="137" t="s">
        <v>409</v>
      </c>
      <c r="AQ14" s="138" t="s">
        <v>410</v>
      </c>
      <c r="AR14" s="138" t="s">
        <v>411</v>
      </c>
      <c r="AS14" s="126" t="s">
        <v>412</v>
      </c>
      <c r="AT14" s="139" t="s">
        <v>413</v>
      </c>
      <c r="AU14" s="140" t="s">
        <v>414</v>
      </c>
      <c r="AV14" s="140" t="s">
        <v>240</v>
      </c>
      <c r="AW14" s="138">
        <v>8815</v>
      </c>
      <c r="AX14" s="326">
        <v>3.7</v>
      </c>
      <c r="AY14" s="138">
        <f t="shared" ref="AY14:AY16" si="182">AW14*AX14</f>
        <v>32615.5</v>
      </c>
      <c r="AZ14" s="141" t="b">
        <f t="shared" ref="AZ14:AZ16" si="183">AW14=O14</f>
        <v>1</v>
      </c>
      <c r="BA14" s="126">
        <v>8815</v>
      </c>
      <c r="BB14" s="142">
        <f t="shared" ref="BB14:BB16" si="184">AW14-BA14</f>
        <v>0</v>
      </c>
      <c r="BC14" s="143">
        <v>0</v>
      </c>
      <c r="BD14" s="142" t="s">
        <v>115</v>
      </c>
      <c r="BE14" s="143">
        <v>0</v>
      </c>
      <c r="BF14" s="142">
        <v>0</v>
      </c>
      <c r="BG14" s="143">
        <v>0</v>
      </c>
      <c r="BH14" s="131" t="s">
        <v>477</v>
      </c>
      <c r="BI14" s="314">
        <v>46196</v>
      </c>
      <c r="BJ14" s="131">
        <v>0</v>
      </c>
      <c r="BK14" s="128">
        <v>0</v>
      </c>
      <c r="BL14" s="138">
        <v>-32615.5</v>
      </c>
      <c r="BM14" s="138">
        <v>0</v>
      </c>
      <c r="BN14" s="144">
        <v>0</v>
      </c>
      <c r="BO14" s="129">
        <f t="shared" ref="BO14:BO16" si="185">AY14+BL14+BM14+BN14+BC14+BG14</f>
        <v>0</v>
      </c>
      <c r="BP14" s="134">
        <f t="shared" ref="BP14:BP16" si="186">BO14-AM14</f>
        <v>0</v>
      </c>
      <c r="BQ14" s="143" t="str">
        <f t="shared" ref="BQ14:BQ16" si="187">IF(BP14&gt;=0,"Positive Margin","Negative Margin")</f>
        <v>Positive Margin</v>
      </c>
      <c r="BR14" s="145" t="s">
        <v>202</v>
      </c>
      <c r="BS14" s="128">
        <f t="shared" ref="BS14:BS16" si="188">AY14-Y14-Q14-AA14-T14+BC14</f>
        <v>2644.5</v>
      </c>
      <c r="BT14" s="146" t="str">
        <f t="shared" ref="BT14:BT16" si="189">IF(BS14&lt;0, "Negative Margin at Inception", "Positive Margin at Inception")</f>
        <v>Positive Margin at Inception</v>
      </c>
      <c r="BU14" s="147" t="str">
        <f t="shared" ref="BU14:BU16" si="190">IFERROR(BP14/BO14,"0")</f>
        <v>0</v>
      </c>
      <c r="BV14" s="146" t="str">
        <f t="shared" ref="BV14:BV16" si="191">IF(BU14&lt;1%,"Less Than 1%",IF(BU14&gt;2%,"More than 2%",IF(BU14&gt;=1%,"1% - 2%")))</f>
        <v>More than 2%</v>
      </c>
      <c r="BW14" s="128">
        <f t="shared" ref="BW14:BW16" si="192">BM14+BN14</f>
        <v>0</v>
      </c>
      <c r="BX14" s="129">
        <f t="shared" ref="BX14:BX16" si="193">AL14+AK14</f>
        <v>0</v>
      </c>
      <c r="BY14" s="128">
        <f t="shared" ref="BY14:BY16" si="194">BW14-BX14</f>
        <v>0</v>
      </c>
      <c r="BZ14" s="148">
        <f t="shared" ref="BZ14:BZ16" si="195">BM14</f>
        <v>0</v>
      </c>
      <c r="CA14" s="148">
        <f t="shared" ref="CA14:CA16" si="196">AK14</f>
        <v>0</v>
      </c>
      <c r="CB14" s="130">
        <f t="shared" ref="CB14:CB16" si="197">BZ14-CA14</f>
        <v>0</v>
      </c>
      <c r="CC14" s="148" t="s">
        <v>222</v>
      </c>
      <c r="CD14" s="130">
        <v>0</v>
      </c>
      <c r="CE14" s="130" t="str">
        <f t="shared" ref="CE14:CE16" si="198">TEXT(AN14,"mmm-yy")</f>
        <v>Jun-26</v>
      </c>
      <c r="CF14" s="130">
        <f t="shared" ref="CF14:CF16" si="199">AM14-AL14-AA14</f>
        <v>0</v>
      </c>
      <c r="CG14" s="130">
        <f t="shared" ref="CG14:CG16" si="200">BO14-BN14</f>
        <v>0</v>
      </c>
      <c r="CH14" s="130">
        <f t="shared" ref="CH14:CH16" si="201">INT((D14- IF(MONTH(D14) &gt;= 4, DATE(YEAR(D14), 4, 1), DATE(YEAR(D14)-1, 4, 1))) / 7) + 1</f>
        <v>10</v>
      </c>
      <c r="CI14" s="149" t="s">
        <v>223</v>
      </c>
      <c r="CJ14" s="130" t="s">
        <v>223</v>
      </c>
      <c r="CK14" s="130">
        <v>0</v>
      </c>
      <c r="CL14" s="130">
        <f t="shared" ref="CL14:CL16" si="202">AY14-Q14</f>
        <v>2644.5</v>
      </c>
      <c r="CM14" s="130">
        <f t="shared" ref="CM14:CM16" si="203">CL14-Y14+Z14</f>
        <v>2644.5</v>
      </c>
      <c r="CN14" s="130">
        <f t="shared" ref="CN14:CN16" si="204">BO14-AM14</f>
        <v>0</v>
      </c>
      <c r="CO14" s="130">
        <f t="shared" ref="CO14:CO16" si="205">AY14*118%</f>
        <v>38486.29</v>
      </c>
      <c r="CP14" s="130">
        <f t="shared" ref="CP14:CP16" si="206">-Q14*118%</f>
        <v>-35365.78</v>
      </c>
      <c r="CQ14" s="130">
        <f t="shared" ref="CQ14:CQ16" si="207">-BZ14*118%</f>
        <v>0</v>
      </c>
      <c r="CR14" s="130">
        <f t="shared" ref="CR14:CR16" si="208">-CA14*118%</f>
        <v>0</v>
      </c>
      <c r="CS14" s="130">
        <f t="shared" ref="CS14:CS16" si="209">SUM(CO14:CR14)</f>
        <v>3120.510000000002</v>
      </c>
      <c r="CT14" s="130" t="s">
        <v>214</v>
      </c>
      <c r="CU14" s="130" t="s">
        <v>214</v>
      </c>
      <c r="CV14" s="144" t="str">
        <f t="shared" ref="CV14:CV16" si="210">MID(G14,3,10)</f>
        <v>AGCPV7437N</v>
      </c>
      <c r="CW14" s="144" t="str">
        <f t="shared" ref="CW14:CW16" si="211">MID(AR14,3,10)</f>
        <v>AAACL6442L</v>
      </c>
    </row>
    <row r="15" spans="2:101" s="151" customFormat="1" ht="11.85" customHeight="1" x14ac:dyDescent="0.25">
      <c r="B15" s="123" t="str">
        <f t="shared" si="176"/>
        <v>Q1</v>
      </c>
      <c r="C15" s="124" t="str">
        <f t="shared" si="177"/>
        <v>Jun-26</v>
      </c>
      <c r="D15" s="125">
        <v>46181</v>
      </c>
      <c r="E15" s="126" t="s">
        <v>425</v>
      </c>
      <c r="F15" s="126" t="s">
        <v>254</v>
      </c>
      <c r="G15" s="126" t="s">
        <v>279</v>
      </c>
      <c r="H15" s="127" t="s">
        <v>426</v>
      </c>
      <c r="I15" s="125">
        <v>46181</v>
      </c>
      <c r="J15" s="126" t="s">
        <v>427</v>
      </c>
      <c r="K15" s="125">
        <v>46181</v>
      </c>
      <c r="L15" s="126" t="s">
        <v>281</v>
      </c>
      <c r="M15" s="126" t="s">
        <v>428</v>
      </c>
      <c r="N15" s="127" t="s">
        <v>283</v>
      </c>
      <c r="O15" s="126">
        <v>13000</v>
      </c>
      <c r="P15" s="280">
        <v>12</v>
      </c>
      <c r="Q15" s="128">
        <f t="shared" si="178"/>
        <v>156000</v>
      </c>
      <c r="R15" s="129">
        <v>0</v>
      </c>
      <c r="S15" s="128">
        <f t="shared" si="179"/>
        <v>13000</v>
      </c>
      <c r="T15" s="129">
        <v>0</v>
      </c>
      <c r="U15" s="130">
        <v>0</v>
      </c>
      <c r="V15" s="131">
        <v>0</v>
      </c>
      <c r="W15" s="130">
        <v>0</v>
      </c>
      <c r="X15" s="130">
        <v>0</v>
      </c>
      <c r="Y15" s="130">
        <v>0</v>
      </c>
      <c r="Z15" s="130">
        <v>0</v>
      </c>
      <c r="AA15" s="129">
        <v>0</v>
      </c>
      <c r="AB15" s="133">
        <f t="shared" si="180"/>
        <v>0</v>
      </c>
      <c r="AC15" s="133">
        <v>0</v>
      </c>
      <c r="AD15" s="129">
        <v>0</v>
      </c>
      <c r="AE15" s="130">
        <v>0</v>
      </c>
      <c r="AF15" s="130" t="s">
        <v>486</v>
      </c>
      <c r="AG15" s="325">
        <v>46198</v>
      </c>
      <c r="AH15" s="130">
        <v>0</v>
      </c>
      <c r="AI15" s="131">
        <v>0</v>
      </c>
      <c r="AJ15" s="130">
        <v>0</v>
      </c>
      <c r="AK15" s="130">
        <v>-840</v>
      </c>
      <c r="AL15" s="130">
        <v>0</v>
      </c>
      <c r="AM15" s="134">
        <f t="shared" si="181"/>
        <v>155160</v>
      </c>
      <c r="AN15" s="135">
        <v>46181</v>
      </c>
      <c r="AO15" s="136" t="s">
        <v>434</v>
      </c>
      <c r="AP15" s="137" t="s">
        <v>285</v>
      </c>
      <c r="AQ15" s="138" t="s">
        <v>239</v>
      </c>
      <c r="AR15" s="138" t="s">
        <v>221</v>
      </c>
      <c r="AS15" s="126" t="s">
        <v>356</v>
      </c>
      <c r="AT15" s="139" t="s">
        <v>287</v>
      </c>
      <c r="AU15" s="140" t="s">
        <v>288</v>
      </c>
      <c r="AV15" s="140" t="s">
        <v>240</v>
      </c>
      <c r="AW15" s="138">
        <v>13000</v>
      </c>
      <c r="AX15" s="326">
        <v>12.66</v>
      </c>
      <c r="AY15" s="138">
        <f t="shared" si="182"/>
        <v>164580</v>
      </c>
      <c r="AZ15" s="141" t="b">
        <f t="shared" si="183"/>
        <v>1</v>
      </c>
      <c r="BA15" s="128">
        <v>0</v>
      </c>
      <c r="BB15" s="142">
        <f t="shared" si="184"/>
        <v>13000</v>
      </c>
      <c r="BC15" s="143">
        <v>0</v>
      </c>
      <c r="BD15" s="142" t="s">
        <v>115</v>
      </c>
      <c r="BE15" s="143">
        <v>0</v>
      </c>
      <c r="BF15" s="142">
        <v>0</v>
      </c>
      <c r="BG15" s="143">
        <v>0</v>
      </c>
      <c r="BH15" s="131" t="s">
        <v>487</v>
      </c>
      <c r="BI15" s="314">
        <v>46198</v>
      </c>
      <c r="BJ15" s="131">
        <v>0</v>
      </c>
      <c r="BK15" s="128">
        <v>0</v>
      </c>
      <c r="BL15" s="138">
        <v>0</v>
      </c>
      <c r="BM15" s="138">
        <v>-886.2</v>
      </c>
      <c r="BN15" s="144">
        <v>0</v>
      </c>
      <c r="BO15" s="129">
        <f t="shared" si="185"/>
        <v>163693.79999999999</v>
      </c>
      <c r="BP15" s="134">
        <f t="shared" si="186"/>
        <v>8533.7999999999884</v>
      </c>
      <c r="BQ15" s="143" t="str">
        <f t="shared" si="187"/>
        <v>Positive Margin</v>
      </c>
      <c r="BR15" s="145" t="s">
        <v>383</v>
      </c>
      <c r="BS15" s="128">
        <f t="shared" si="188"/>
        <v>8580</v>
      </c>
      <c r="BT15" s="146" t="str">
        <f t="shared" si="189"/>
        <v>Positive Margin at Inception</v>
      </c>
      <c r="BU15" s="147">
        <f t="shared" si="190"/>
        <v>5.2132701421800882E-2</v>
      </c>
      <c r="BV15" s="146" t="str">
        <f t="shared" si="191"/>
        <v>More than 2%</v>
      </c>
      <c r="BW15" s="128">
        <f t="shared" si="192"/>
        <v>-886.2</v>
      </c>
      <c r="BX15" s="129">
        <f t="shared" si="193"/>
        <v>-840</v>
      </c>
      <c r="BY15" s="128">
        <f t="shared" si="194"/>
        <v>-46.200000000000045</v>
      </c>
      <c r="BZ15" s="148">
        <f t="shared" si="195"/>
        <v>-886.2</v>
      </c>
      <c r="CA15" s="148">
        <f t="shared" si="196"/>
        <v>-840</v>
      </c>
      <c r="CB15" s="130">
        <f t="shared" si="197"/>
        <v>-46.200000000000045</v>
      </c>
      <c r="CC15" s="148" t="s">
        <v>222</v>
      </c>
      <c r="CD15" s="130">
        <v>0</v>
      </c>
      <c r="CE15" s="130" t="str">
        <f t="shared" si="198"/>
        <v>Jun-26</v>
      </c>
      <c r="CF15" s="130">
        <f t="shared" si="199"/>
        <v>155160</v>
      </c>
      <c r="CG15" s="130">
        <f t="shared" si="200"/>
        <v>163693.79999999999</v>
      </c>
      <c r="CH15" s="130">
        <f t="shared" si="201"/>
        <v>10</v>
      </c>
      <c r="CI15" s="149" t="s">
        <v>223</v>
      </c>
      <c r="CJ15" s="130" t="s">
        <v>223</v>
      </c>
      <c r="CK15" s="130">
        <v>0</v>
      </c>
      <c r="CL15" s="130">
        <f t="shared" si="202"/>
        <v>8580</v>
      </c>
      <c r="CM15" s="130">
        <f t="shared" si="203"/>
        <v>8580</v>
      </c>
      <c r="CN15" s="130">
        <f t="shared" si="204"/>
        <v>8533.7999999999884</v>
      </c>
      <c r="CO15" s="130">
        <f t="shared" si="205"/>
        <v>194204.4</v>
      </c>
      <c r="CP15" s="130">
        <f t="shared" si="206"/>
        <v>-184080</v>
      </c>
      <c r="CQ15" s="130">
        <f t="shared" si="207"/>
        <v>1045.7159999999999</v>
      </c>
      <c r="CR15" s="130">
        <f t="shared" si="208"/>
        <v>991.19999999999993</v>
      </c>
      <c r="CS15" s="130">
        <f t="shared" si="209"/>
        <v>12161.315999999995</v>
      </c>
      <c r="CT15" s="130" t="s">
        <v>214</v>
      </c>
      <c r="CU15" s="130" t="s">
        <v>214</v>
      </c>
      <c r="CV15" s="144" t="str">
        <f t="shared" si="210"/>
        <v>ANHPG0363J</v>
      </c>
      <c r="CW15" s="144" t="str">
        <f t="shared" si="211"/>
        <v>AAACM4154G</v>
      </c>
    </row>
    <row r="16" spans="2:101" s="151" customFormat="1" ht="11.85" customHeight="1" x14ac:dyDescent="0.25">
      <c r="B16" s="123" t="str">
        <f t="shared" si="176"/>
        <v>Q1</v>
      </c>
      <c r="C16" s="124" t="str">
        <f t="shared" si="177"/>
        <v>Jun-26</v>
      </c>
      <c r="D16" s="125">
        <v>46186</v>
      </c>
      <c r="E16" s="126" t="s">
        <v>429</v>
      </c>
      <c r="F16" s="126" t="s">
        <v>254</v>
      </c>
      <c r="G16" s="126" t="s">
        <v>279</v>
      </c>
      <c r="H16" s="127" t="s">
        <v>430</v>
      </c>
      <c r="I16" s="125">
        <v>46186</v>
      </c>
      <c r="J16" s="126" t="s">
        <v>431</v>
      </c>
      <c r="K16" s="125">
        <v>46186</v>
      </c>
      <c r="L16" s="126" t="s">
        <v>281</v>
      </c>
      <c r="M16" s="126" t="s">
        <v>432</v>
      </c>
      <c r="N16" s="127" t="s">
        <v>283</v>
      </c>
      <c r="O16" s="126">
        <v>15220</v>
      </c>
      <c r="P16" s="280">
        <v>12</v>
      </c>
      <c r="Q16" s="128">
        <f t="shared" si="178"/>
        <v>182640</v>
      </c>
      <c r="R16" s="129">
        <v>0</v>
      </c>
      <c r="S16" s="128">
        <f t="shared" si="179"/>
        <v>15220</v>
      </c>
      <c r="T16" s="129">
        <v>0</v>
      </c>
      <c r="U16" s="130">
        <v>0</v>
      </c>
      <c r="V16" s="131">
        <v>0</v>
      </c>
      <c r="W16" s="130">
        <v>0</v>
      </c>
      <c r="X16" s="130">
        <v>0</v>
      </c>
      <c r="Y16" s="130">
        <v>0</v>
      </c>
      <c r="Z16" s="130">
        <v>0</v>
      </c>
      <c r="AA16" s="129">
        <v>0</v>
      </c>
      <c r="AB16" s="133">
        <f t="shared" si="180"/>
        <v>0</v>
      </c>
      <c r="AC16" s="133">
        <v>0</v>
      </c>
      <c r="AD16" s="129">
        <v>0</v>
      </c>
      <c r="AE16" s="130">
        <v>0</v>
      </c>
      <c r="AF16" s="130">
        <v>0</v>
      </c>
      <c r="AG16" s="336">
        <v>0</v>
      </c>
      <c r="AH16" s="130">
        <v>0</v>
      </c>
      <c r="AI16" s="131">
        <v>0</v>
      </c>
      <c r="AJ16" s="130">
        <v>0</v>
      </c>
      <c r="AK16" s="130">
        <v>0</v>
      </c>
      <c r="AL16" s="130">
        <v>0</v>
      </c>
      <c r="AM16" s="134">
        <f t="shared" si="181"/>
        <v>182640</v>
      </c>
      <c r="AN16" s="135">
        <v>46186</v>
      </c>
      <c r="AO16" s="136" t="s">
        <v>435</v>
      </c>
      <c r="AP16" s="137" t="s">
        <v>285</v>
      </c>
      <c r="AQ16" s="138" t="s">
        <v>239</v>
      </c>
      <c r="AR16" s="138" t="s">
        <v>221</v>
      </c>
      <c r="AS16" s="126" t="s">
        <v>436</v>
      </c>
      <c r="AT16" s="139" t="s">
        <v>287</v>
      </c>
      <c r="AU16" s="140" t="s">
        <v>288</v>
      </c>
      <c r="AV16" s="140" t="s">
        <v>240</v>
      </c>
      <c r="AW16" s="138">
        <v>15220</v>
      </c>
      <c r="AX16" s="326">
        <v>12.66</v>
      </c>
      <c r="AY16" s="138">
        <f t="shared" si="182"/>
        <v>192685.2</v>
      </c>
      <c r="AZ16" s="141" t="b">
        <f t="shared" si="183"/>
        <v>1</v>
      </c>
      <c r="BA16" s="128">
        <v>0</v>
      </c>
      <c r="BB16" s="142">
        <f t="shared" si="184"/>
        <v>15220</v>
      </c>
      <c r="BC16" s="143">
        <v>0</v>
      </c>
      <c r="BD16" s="142" t="s">
        <v>115</v>
      </c>
      <c r="BE16" s="143">
        <v>0</v>
      </c>
      <c r="BF16" s="142">
        <v>0</v>
      </c>
      <c r="BG16" s="143">
        <v>0</v>
      </c>
      <c r="BH16" s="131">
        <v>0</v>
      </c>
      <c r="BI16" s="337">
        <v>0</v>
      </c>
      <c r="BJ16" s="131">
        <v>0</v>
      </c>
      <c r="BK16" s="128">
        <v>0</v>
      </c>
      <c r="BL16" s="138">
        <v>0</v>
      </c>
      <c r="BM16" s="138">
        <v>0</v>
      </c>
      <c r="BN16" s="144">
        <v>0</v>
      </c>
      <c r="BO16" s="129">
        <f t="shared" si="185"/>
        <v>192685.2</v>
      </c>
      <c r="BP16" s="134">
        <f t="shared" si="186"/>
        <v>10045.200000000012</v>
      </c>
      <c r="BQ16" s="143" t="str">
        <f t="shared" si="187"/>
        <v>Positive Margin</v>
      </c>
      <c r="BR16" s="145" t="s">
        <v>289</v>
      </c>
      <c r="BS16" s="128">
        <f t="shared" si="188"/>
        <v>10045.200000000012</v>
      </c>
      <c r="BT16" s="146" t="str">
        <f t="shared" si="189"/>
        <v>Positive Margin at Inception</v>
      </c>
      <c r="BU16" s="147">
        <f t="shared" si="190"/>
        <v>5.2132701421801007E-2</v>
      </c>
      <c r="BV16" s="146" t="str">
        <f t="shared" si="191"/>
        <v>More than 2%</v>
      </c>
      <c r="BW16" s="128">
        <f t="shared" si="192"/>
        <v>0</v>
      </c>
      <c r="BX16" s="129">
        <f t="shared" si="193"/>
        <v>0</v>
      </c>
      <c r="BY16" s="128">
        <f t="shared" si="194"/>
        <v>0</v>
      </c>
      <c r="BZ16" s="148">
        <f t="shared" si="195"/>
        <v>0</v>
      </c>
      <c r="CA16" s="148">
        <f t="shared" si="196"/>
        <v>0</v>
      </c>
      <c r="CB16" s="130">
        <f t="shared" si="197"/>
        <v>0</v>
      </c>
      <c r="CC16" s="148" t="s">
        <v>222</v>
      </c>
      <c r="CD16" s="130">
        <v>0</v>
      </c>
      <c r="CE16" s="130" t="str">
        <f t="shared" si="198"/>
        <v>Jun-26</v>
      </c>
      <c r="CF16" s="130">
        <f t="shared" si="199"/>
        <v>182640</v>
      </c>
      <c r="CG16" s="130">
        <f t="shared" si="200"/>
        <v>192685.2</v>
      </c>
      <c r="CH16" s="130">
        <f t="shared" si="201"/>
        <v>11</v>
      </c>
      <c r="CI16" s="149" t="s">
        <v>223</v>
      </c>
      <c r="CJ16" s="130" t="s">
        <v>223</v>
      </c>
      <c r="CK16" s="130">
        <v>0</v>
      </c>
      <c r="CL16" s="130">
        <f t="shared" si="202"/>
        <v>10045.200000000012</v>
      </c>
      <c r="CM16" s="130">
        <f t="shared" si="203"/>
        <v>10045.200000000012</v>
      </c>
      <c r="CN16" s="130">
        <f t="shared" si="204"/>
        <v>10045.200000000012</v>
      </c>
      <c r="CO16" s="130">
        <f t="shared" si="205"/>
        <v>227368.53599999999</v>
      </c>
      <c r="CP16" s="130">
        <f t="shared" si="206"/>
        <v>-215515.19999999998</v>
      </c>
      <c r="CQ16" s="130">
        <f t="shared" si="207"/>
        <v>0</v>
      </c>
      <c r="CR16" s="130">
        <f t="shared" si="208"/>
        <v>0</v>
      </c>
      <c r="CS16" s="130">
        <f t="shared" si="209"/>
        <v>11853.33600000001</v>
      </c>
      <c r="CT16" s="130" t="s">
        <v>214</v>
      </c>
      <c r="CU16" s="130" t="s">
        <v>214</v>
      </c>
      <c r="CV16" s="144" t="str">
        <f t="shared" si="210"/>
        <v>ANHPG0363J</v>
      </c>
      <c r="CW16" s="144" t="str">
        <f t="shared" si="211"/>
        <v>AAACM4154G</v>
      </c>
    </row>
    <row r="17" spans="2:101" s="151" customFormat="1" ht="11.85" customHeight="1" x14ac:dyDescent="0.25">
      <c r="B17" s="123" t="str">
        <f t="shared" ref="B17" si="212">"Q" &amp; IF(ROUNDUP(MONTH(D17)/3,0)-1=0,4,ROUNDUP(MONTH(D17)/3,0)-1)</f>
        <v>Q1</v>
      </c>
      <c r="C17" s="124" t="str">
        <f t="shared" ref="C17" si="213">TEXT(AN17,"mmm-yy")</f>
        <v>Jun-26</v>
      </c>
      <c r="D17" s="125">
        <v>46191</v>
      </c>
      <c r="E17" s="126" t="s">
        <v>449</v>
      </c>
      <c r="F17" s="126" t="s">
        <v>254</v>
      </c>
      <c r="G17" s="126" t="s">
        <v>279</v>
      </c>
      <c r="H17" s="127" t="s">
        <v>450</v>
      </c>
      <c r="I17" s="125">
        <v>46191</v>
      </c>
      <c r="J17" s="126" t="s">
        <v>451</v>
      </c>
      <c r="K17" s="125">
        <v>46191</v>
      </c>
      <c r="L17" s="126" t="s">
        <v>281</v>
      </c>
      <c r="M17" s="126" t="s">
        <v>452</v>
      </c>
      <c r="N17" s="127" t="s">
        <v>283</v>
      </c>
      <c r="O17" s="126">
        <v>15130</v>
      </c>
      <c r="P17" s="280">
        <v>12</v>
      </c>
      <c r="Q17" s="128">
        <f t="shared" ref="Q17" si="214">O17*P17</f>
        <v>181560</v>
      </c>
      <c r="R17" s="129">
        <v>0</v>
      </c>
      <c r="S17" s="128">
        <f t="shared" ref="S17" si="215">O17-R17</f>
        <v>15130</v>
      </c>
      <c r="T17" s="129">
        <v>0</v>
      </c>
      <c r="U17" s="130">
        <v>0</v>
      </c>
      <c r="V17" s="131">
        <v>0</v>
      </c>
      <c r="W17" s="130">
        <v>0</v>
      </c>
      <c r="X17" s="130">
        <v>0</v>
      </c>
      <c r="Y17" s="130">
        <v>0</v>
      </c>
      <c r="Z17" s="130">
        <v>0</v>
      </c>
      <c r="AA17" s="129">
        <v>0</v>
      </c>
      <c r="AB17" s="133">
        <f t="shared" ref="AB17" si="216">Y17+AA17+Z17</f>
        <v>0</v>
      </c>
      <c r="AC17" s="133">
        <v>0</v>
      </c>
      <c r="AD17" s="129">
        <v>0</v>
      </c>
      <c r="AE17" s="130">
        <v>0</v>
      </c>
      <c r="AF17" s="130">
        <v>0</v>
      </c>
      <c r="AG17" s="336">
        <v>0</v>
      </c>
      <c r="AH17" s="130">
        <v>0</v>
      </c>
      <c r="AI17" s="131">
        <v>0</v>
      </c>
      <c r="AJ17" s="130">
        <v>0</v>
      </c>
      <c r="AK17" s="130">
        <v>0</v>
      </c>
      <c r="AL17" s="130">
        <v>0</v>
      </c>
      <c r="AM17" s="134">
        <f t="shared" ref="AM17" si="217">Q17+AB17+AL17+AK17+AJ17+T17+AE17</f>
        <v>181560</v>
      </c>
      <c r="AN17" s="135">
        <v>46191</v>
      </c>
      <c r="AO17" s="136" t="s">
        <v>453</v>
      </c>
      <c r="AP17" s="137" t="s">
        <v>285</v>
      </c>
      <c r="AQ17" s="138" t="s">
        <v>239</v>
      </c>
      <c r="AR17" s="138" t="s">
        <v>221</v>
      </c>
      <c r="AS17" s="126" t="s">
        <v>356</v>
      </c>
      <c r="AT17" s="139" t="s">
        <v>287</v>
      </c>
      <c r="AU17" s="140" t="s">
        <v>288</v>
      </c>
      <c r="AV17" s="140" t="s">
        <v>240</v>
      </c>
      <c r="AW17" s="138">
        <v>15130</v>
      </c>
      <c r="AX17" s="326">
        <v>12.66</v>
      </c>
      <c r="AY17" s="138">
        <f t="shared" ref="AY17" si="218">AW17*AX17</f>
        <v>191545.8</v>
      </c>
      <c r="AZ17" s="141" t="b">
        <f t="shared" ref="AZ17" si="219">AW17=O17</f>
        <v>1</v>
      </c>
      <c r="BA17" s="128">
        <v>0</v>
      </c>
      <c r="BB17" s="142">
        <f t="shared" ref="BB17" si="220">AW17-BA17</f>
        <v>15130</v>
      </c>
      <c r="BC17" s="143">
        <v>0</v>
      </c>
      <c r="BD17" s="142" t="s">
        <v>115</v>
      </c>
      <c r="BE17" s="143">
        <v>0</v>
      </c>
      <c r="BF17" s="142">
        <v>0</v>
      </c>
      <c r="BG17" s="143">
        <v>0</v>
      </c>
      <c r="BH17" s="131">
        <v>0</v>
      </c>
      <c r="BI17" s="337">
        <v>0</v>
      </c>
      <c r="BJ17" s="131">
        <v>0</v>
      </c>
      <c r="BK17" s="128">
        <v>0</v>
      </c>
      <c r="BL17" s="138">
        <v>0</v>
      </c>
      <c r="BM17" s="138">
        <v>0</v>
      </c>
      <c r="BN17" s="144">
        <v>0</v>
      </c>
      <c r="BO17" s="129">
        <f t="shared" ref="BO17" si="221">AY17+BL17+BM17+BN17+BC17+BG17</f>
        <v>191545.8</v>
      </c>
      <c r="BP17" s="134">
        <f t="shared" ref="BP17" si="222">BO17-AM17</f>
        <v>9985.7999999999884</v>
      </c>
      <c r="BQ17" s="143" t="str">
        <f t="shared" ref="BQ17" si="223">IF(BP17&gt;=0,"Positive Margin","Negative Margin")</f>
        <v>Positive Margin</v>
      </c>
      <c r="BR17" s="145" t="s">
        <v>289</v>
      </c>
      <c r="BS17" s="128">
        <f t="shared" ref="BS17" si="224">AY17-Y17-Q17-AA17-T17+BC17</f>
        <v>9985.7999999999884</v>
      </c>
      <c r="BT17" s="146" t="str">
        <f t="shared" ref="BT17" si="225">IF(BS17&lt;0, "Negative Margin at Inception", "Positive Margin at Inception")</f>
        <v>Positive Margin at Inception</v>
      </c>
      <c r="BU17" s="147">
        <f t="shared" ref="BU17" si="226">IFERROR(BP17/BO17,"0")</f>
        <v>5.2132701421800889E-2</v>
      </c>
      <c r="BV17" s="146" t="str">
        <f t="shared" ref="BV17" si="227">IF(BU17&lt;1%,"Less Than 1%",IF(BU17&gt;2%,"More than 2%",IF(BU17&gt;=1%,"1% - 2%")))</f>
        <v>More than 2%</v>
      </c>
      <c r="BW17" s="128">
        <f t="shared" ref="BW17" si="228">BM17+BN17</f>
        <v>0</v>
      </c>
      <c r="BX17" s="129">
        <f t="shared" ref="BX17" si="229">AL17+AK17</f>
        <v>0</v>
      </c>
      <c r="BY17" s="128">
        <f t="shared" ref="BY17" si="230">BW17-BX17</f>
        <v>0</v>
      </c>
      <c r="BZ17" s="148">
        <f t="shared" ref="BZ17" si="231">BM17</f>
        <v>0</v>
      </c>
      <c r="CA17" s="148">
        <f t="shared" ref="CA17" si="232">AK17</f>
        <v>0</v>
      </c>
      <c r="CB17" s="130">
        <f t="shared" ref="CB17" si="233">BZ17-CA17</f>
        <v>0</v>
      </c>
      <c r="CC17" s="148" t="s">
        <v>222</v>
      </c>
      <c r="CD17" s="130">
        <v>0</v>
      </c>
      <c r="CE17" s="130" t="str">
        <f t="shared" ref="CE17" si="234">TEXT(AN17,"mmm-yy")</f>
        <v>Jun-26</v>
      </c>
      <c r="CF17" s="130">
        <f t="shared" ref="CF17" si="235">AM17-AL17-AA17</f>
        <v>181560</v>
      </c>
      <c r="CG17" s="130">
        <f t="shared" ref="CG17" si="236">BO17-BN17</f>
        <v>191545.8</v>
      </c>
      <c r="CH17" s="130">
        <f t="shared" ref="CH17" si="237">INT((D17- IF(MONTH(D17) &gt;= 4, DATE(YEAR(D17), 4, 1), DATE(YEAR(D17)-1, 4, 1))) / 7) + 1</f>
        <v>12</v>
      </c>
      <c r="CI17" s="149" t="s">
        <v>223</v>
      </c>
      <c r="CJ17" s="130" t="s">
        <v>223</v>
      </c>
      <c r="CK17" s="130">
        <v>0</v>
      </c>
      <c r="CL17" s="130">
        <f t="shared" ref="CL17" si="238">AY17-Q17</f>
        <v>9985.7999999999884</v>
      </c>
      <c r="CM17" s="130">
        <f t="shared" ref="CM17" si="239">CL17-Y17+Z17</f>
        <v>9985.7999999999884</v>
      </c>
      <c r="CN17" s="130">
        <f t="shared" ref="CN17" si="240">BO17-AM17</f>
        <v>9985.7999999999884</v>
      </c>
      <c r="CO17" s="130">
        <f t="shared" ref="CO17" si="241">AY17*118%</f>
        <v>226024.04399999997</v>
      </c>
      <c r="CP17" s="130">
        <f t="shared" ref="CP17" si="242">-Q17*118%</f>
        <v>-214240.8</v>
      </c>
      <c r="CQ17" s="130">
        <f t="shared" ref="CQ17" si="243">-BZ17*118%</f>
        <v>0</v>
      </c>
      <c r="CR17" s="130">
        <f t="shared" ref="CR17" si="244">-CA17*118%</f>
        <v>0</v>
      </c>
      <c r="CS17" s="130">
        <f t="shared" ref="CS17" si="245">SUM(CO17:CR17)</f>
        <v>11783.243999999977</v>
      </c>
      <c r="CT17" s="130" t="s">
        <v>214</v>
      </c>
      <c r="CU17" s="130" t="s">
        <v>214</v>
      </c>
      <c r="CV17" s="144" t="str">
        <f t="shared" ref="CV17" si="246">MID(G17,3,10)</f>
        <v>ANHPG0363J</v>
      </c>
      <c r="CW17" s="144" t="str">
        <f t="shared" ref="CW17" si="247">MID(AR17,3,10)</f>
        <v>AAACM4154G</v>
      </c>
    </row>
    <row r="18" spans="2:101" s="151" customFormat="1" ht="11.85" customHeight="1" x14ac:dyDescent="0.25">
      <c r="B18" s="123" t="str">
        <f t="shared" ref="B18:B20" si="248">"Q" &amp; IF(ROUNDUP(MONTH(D18)/3,0)-1=0,4,ROUNDUP(MONTH(D18)/3,0)-1)</f>
        <v>Q1</v>
      </c>
      <c r="C18" s="124" t="str">
        <f t="shared" ref="C18:C20" si="249">TEXT(AN18,"mmm-yy")</f>
        <v>Jun-26</v>
      </c>
      <c r="D18" s="125">
        <v>46195</v>
      </c>
      <c r="E18" s="126" t="s">
        <v>457</v>
      </c>
      <c r="F18" s="126" t="s">
        <v>254</v>
      </c>
      <c r="G18" s="126" t="s">
        <v>279</v>
      </c>
      <c r="H18" s="127" t="s">
        <v>458</v>
      </c>
      <c r="I18" s="125">
        <v>46195</v>
      </c>
      <c r="J18" s="126" t="s">
        <v>459</v>
      </c>
      <c r="K18" s="125">
        <v>46196</v>
      </c>
      <c r="L18" s="126" t="s">
        <v>281</v>
      </c>
      <c r="M18" s="126" t="s">
        <v>452</v>
      </c>
      <c r="N18" s="127" t="s">
        <v>283</v>
      </c>
      <c r="O18" s="126">
        <v>14660</v>
      </c>
      <c r="P18" s="280">
        <v>12</v>
      </c>
      <c r="Q18" s="128">
        <f t="shared" ref="Q18:Q20" si="250">O18*P18</f>
        <v>175920</v>
      </c>
      <c r="R18" s="129">
        <v>0</v>
      </c>
      <c r="S18" s="128">
        <f t="shared" ref="S18:S20" si="251">O18-R18</f>
        <v>14660</v>
      </c>
      <c r="T18" s="129">
        <v>0</v>
      </c>
      <c r="U18" s="130">
        <v>0</v>
      </c>
      <c r="V18" s="131">
        <v>0</v>
      </c>
      <c r="W18" s="130">
        <v>0</v>
      </c>
      <c r="X18" s="130">
        <v>0</v>
      </c>
      <c r="Y18" s="130">
        <v>0</v>
      </c>
      <c r="Z18" s="130">
        <v>0</v>
      </c>
      <c r="AA18" s="129">
        <v>0</v>
      </c>
      <c r="AB18" s="133">
        <f t="shared" ref="AB18:AB20" si="252">Y18+AA18+Z18</f>
        <v>0</v>
      </c>
      <c r="AC18" s="133">
        <v>0</v>
      </c>
      <c r="AD18" s="129">
        <v>0</v>
      </c>
      <c r="AE18" s="130">
        <v>0</v>
      </c>
      <c r="AF18" s="130">
        <v>0</v>
      </c>
      <c r="AG18" s="336">
        <v>0</v>
      </c>
      <c r="AH18" s="130">
        <v>0</v>
      </c>
      <c r="AI18" s="131">
        <v>0</v>
      </c>
      <c r="AJ18" s="130">
        <v>0</v>
      </c>
      <c r="AK18" s="130">
        <v>0</v>
      </c>
      <c r="AL18" s="130">
        <v>0</v>
      </c>
      <c r="AM18" s="134">
        <f t="shared" ref="AM18:AM20" si="253">Q18+AB18+AL18+AK18+AJ18+T18+AE18</f>
        <v>175920</v>
      </c>
      <c r="AN18" s="135">
        <v>46196</v>
      </c>
      <c r="AO18" s="136" t="s">
        <v>468</v>
      </c>
      <c r="AP18" s="137" t="s">
        <v>285</v>
      </c>
      <c r="AQ18" s="138" t="s">
        <v>239</v>
      </c>
      <c r="AR18" s="138" t="s">
        <v>221</v>
      </c>
      <c r="AS18" s="126" t="s">
        <v>356</v>
      </c>
      <c r="AT18" s="139" t="s">
        <v>287</v>
      </c>
      <c r="AU18" s="140" t="s">
        <v>288</v>
      </c>
      <c r="AV18" s="140" t="s">
        <v>240</v>
      </c>
      <c r="AW18" s="138">
        <v>14660</v>
      </c>
      <c r="AX18" s="326">
        <v>12.66</v>
      </c>
      <c r="AY18" s="138">
        <f t="shared" ref="AY18:AY20" si="254">AW18*AX18</f>
        <v>185595.6</v>
      </c>
      <c r="AZ18" s="141" t="b">
        <f t="shared" ref="AZ18:AZ20" si="255">AW18=O18</f>
        <v>1</v>
      </c>
      <c r="BA18" s="128">
        <v>0</v>
      </c>
      <c r="BB18" s="142">
        <f t="shared" ref="BB18:BB20" si="256">AW18-BA18</f>
        <v>14660</v>
      </c>
      <c r="BC18" s="143">
        <v>0</v>
      </c>
      <c r="BD18" s="142" t="s">
        <v>115</v>
      </c>
      <c r="BE18" s="143">
        <v>0</v>
      </c>
      <c r="BF18" s="142">
        <v>0</v>
      </c>
      <c r="BG18" s="143">
        <v>0</v>
      </c>
      <c r="BH18" s="131">
        <v>0</v>
      </c>
      <c r="BI18" s="337">
        <v>0</v>
      </c>
      <c r="BJ18" s="131">
        <v>0</v>
      </c>
      <c r="BK18" s="128">
        <v>0</v>
      </c>
      <c r="BL18" s="138">
        <v>0</v>
      </c>
      <c r="BM18" s="138">
        <v>0</v>
      </c>
      <c r="BN18" s="144">
        <v>0</v>
      </c>
      <c r="BO18" s="129">
        <f t="shared" ref="BO18:BO20" si="257">AY18+BL18+BM18+BN18+BC18+BG18</f>
        <v>185595.6</v>
      </c>
      <c r="BP18" s="134">
        <f t="shared" ref="BP18:BP20" si="258">BO18-AM18</f>
        <v>9675.6000000000058</v>
      </c>
      <c r="BQ18" s="143" t="str">
        <f t="shared" ref="BQ18:BQ20" si="259">IF(BP18&gt;=0,"Positive Margin","Negative Margin")</f>
        <v>Positive Margin</v>
      </c>
      <c r="BR18" s="145" t="s">
        <v>289</v>
      </c>
      <c r="BS18" s="128">
        <f t="shared" ref="BS18:BS20" si="260">AY18-Y18-Q18-AA18-T18+BC18</f>
        <v>9675.6000000000058</v>
      </c>
      <c r="BT18" s="146" t="str">
        <f t="shared" ref="BT18:BT20" si="261">IF(BS18&lt;0, "Negative Margin at Inception", "Positive Margin at Inception")</f>
        <v>Positive Margin at Inception</v>
      </c>
      <c r="BU18" s="147">
        <f t="shared" ref="BU18:BU20" si="262">IFERROR(BP18/BO18,"0")</f>
        <v>5.213270142180098E-2</v>
      </c>
      <c r="BV18" s="146" t="str">
        <f t="shared" ref="BV18:BV20" si="263">IF(BU18&lt;1%,"Less Than 1%",IF(BU18&gt;2%,"More than 2%",IF(BU18&gt;=1%,"1% - 2%")))</f>
        <v>More than 2%</v>
      </c>
      <c r="BW18" s="128">
        <f t="shared" ref="BW18:BW20" si="264">BM18+BN18</f>
        <v>0</v>
      </c>
      <c r="BX18" s="129">
        <f t="shared" ref="BX18:BX20" si="265">AL18+AK18</f>
        <v>0</v>
      </c>
      <c r="BY18" s="128">
        <f t="shared" ref="BY18:BY20" si="266">BW18-BX18</f>
        <v>0</v>
      </c>
      <c r="BZ18" s="148">
        <f t="shared" ref="BZ18:BZ20" si="267">BM18</f>
        <v>0</v>
      </c>
      <c r="CA18" s="148">
        <f t="shared" ref="CA18:CA20" si="268">AK18</f>
        <v>0</v>
      </c>
      <c r="CB18" s="130">
        <f t="shared" ref="CB18:CB20" si="269">BZ18-CA18</f>
        <v>0</v>
      </c>
      <c r="CC18" s="148" t="s">
        <v>222</v>
      </c>
      <c r="CD18" s="130">
        <v>0</v>
      </c>
      <c r="CE18" s="130" t="str">
        <f t="shared" ref="CE18:CE20" si="270">TEXT(AN18,"mmm-yy")</f>
        <v>Jun-26</v>
      </c>
      <c r="CF18" s="130">
        <f t="shared" ref="CF18:CF20" si="271">AM18-AL18-AA18</f>
        <v>175920</v>
      </c>
      <c r="CG18" s="130">
        <f t="shared" ref="CG18:CG20" si="272">BO18-BN18</f>
        <v>185595.6</v>
      </c>
      <c r="CH18" s="130">
        <f t="shared" ref="CH18:CH20" si="273">INT((D18- IF(MONTH(D18) &gt;= 4, DATE(YEAR(D18), 4, 1), DATE(YEAR(D18)-1, 4, 1))) / 7) + 1</f>
        <v>12</v>
      </c>
      <c r="CI18" s="149" t="s">
        <v>223</v>
      </c>
      <c r="CJ18" s="130" t="s">
        <v>223</v>
      </c>
      <c r="CK18" s="130">
        <v>0</v>
      </c>
      <c r="CL18" s="130">
        <f t="shared" ref="CL18:CL20" si="274">AY18-Q18</f>
        <v>9675.6000000000058</v>
      </c>
      <c r="CM18" s="130">
        <f t="shared" ref="CM18:CM20" si="275">CL18-Y18+Z18</f>
        <v>9675.6000000000058</v>
      </c>
      <c r="CN18" s="130">
        <f t="shared" ref="CN18:CN20" si="276">BO18-AM18</f>
        <v>9675.6000000000058</v>
      </c>
      <c r="CO18" s="130">
        <f t="shared" ref="CO18:CO20" si="277">AY18*118%</f>
        <v>219002.80799999999</v>
      </c>
      <c r="CP18" s="130">
        <f t="shared" ref="CP18:CP20" si="278">-Q18*118%</f>
        <v>-207585.59999999998</v>
      </c>
      <c r="CQ18" s="130">
        <f t="shared" ref="CQ18:CQ20" si="279">-BZ18*118%</f>
        <v>0</v>
      </c>
      <c r="CR18" s="130">
        <f t="shared" ref="CR18:CR20" si="280">-CA18*118%</f>
        <v>0</v>
      </c>
      <c r="CS18" s="130">
        <f t="shared" ref="CS18:CS20" si="281">SUM(CO18:CR18)</f>
        <v>11417.208000000013</v>
      </c>
      <c r="CT18" s="130" t="s">
        <v>214</v>
      </c>
      <c r="CU18" s="130" t="s">
        <v>214</v>
      </c>
      <c r="CV18" s="144" t="str">
        <f t="shared" ref="CV18:CV20" si="282">MID(G18,3,10)</f>
        <v>ANHPG0363J</v>
      </c>
      <c r="CW18" s="144" t="str">
        <f t="shared" ref="CW18:CW20" si="283">MID(AR18,3,10)</f>
        <v>AAACM4154G</v>
      </c>
    </row>
    <row r="19" spans="2:101" s="151" customFormat="1" ht="11.85" customHeight="1" x14ac:dyDescent="0.25">
      <c r="B19" s="123" t="str">
        <f t="shared" si="248"/>
        <v>Q1</v>
      </c>
      <c r="C19" s="124" t="str">
        <f t="shared" si="249"/>
        <v>Jun-26</v>
      </c>
      <c r="D19" s="125">
        <v>46197</v>
      </c>
      <c r="E19" s="126" t="s">
        <v>460</v>
      </c>
      <c r="F19" s="126" t="s">
        <v>253</v>
      </c>
      <c r="G19" s="126" t="s">
        <v>348</v>
      </c>
      <c r="H19" s="127" t="s">
        <v>461</v>
      </c>
      <c r="I19" s="125">
        <v>46197</v>
      </c>
      <c r="J19" s="126" t="s">
        <v>462</v>
      </c>
      <c r="K19" s="125">
        <v>46197</v>
      </c>
      <c r="L19" s="126" t="s">
        <v>281</v>
      </c>
      <c r="M19" s="126" t="s">
        <v>240</v>
      </c>
      <c r="N19" s="127" t="s">
        <v>463</v>
      </c>
      <c r="O19" s="126">
        <v>40900</v>
      </c>
      <c r="P19" s="280">
        <v>3.4</v>
      </c>
      <c r="Q19" s="128">
        <f t="shared" si="250"/>
        <v>139060</v>
      </c>
      <c r="R19" s="129">
        <v>0</v>
      </c>
      <c r="S19" s="128">
        <f t="shared" si="251"/>
        <v>40900</v>
      </c>
      <c r="T19" s="129">
        <v>0</v>
      </c>
      <c r="U19" s="130">
        <v>0</v>
      </c>
      <c r="V19" s="131">
        <v>0</v>
      </c>
      <c r="W19" s="130">
        <v>0</v>
      </c>
      <c r="X19" s="130">
        <v>0</v>
      </c>
      <c r="Y19" s="130">
        <v>0</v>
      </c>
      <c r="Z19" s="130">
        <v>0</v>
      </c>
      <c r="AA19" s="129">
        <v>0</v>
      </c>
      <c r="AB19" s="133">
        <f t="shared" si="252"/>
        <v>0</v>
      </c>
      <c r="AC19" s="133">
        <v>0</v>
      </c>
      <c r="AD19" s="129">
        <v>0</v>
      </c>
      <c r="AE19" s="130">
        <v>0</v>
      </c>
      <c r="AF19" s="130" t="s">
        <v>480</v>
      </c>
      <c r="AG19" s="325">
        <v>46197</v>
      </c>
      <c r="AH19" s="130">
        <v>0</v>
      </c>
      <c r="AI19" s="131">
        <v>0</v>
      </c>
      <c r="AJ19" s="130">
        <v>0</v>
      </c>
      <c r="AK19" s="130">
        <v>-23217</v>
      </c>
      <c r="AL19" s="130">
        <v>0</v>
      </c>
      <c r="AM19" s="134">
        <f t="shared" si="253"/>
        <v>115843</v>
      </c>
      <c r="AN19" s="135">
        <v>46197</v>
      </c>
      <c r="AO19" s="136" t="s">
        <v>469</v>
      </c>
      <c r="AP19" s="137" t="s">
        <v>409</v>
      </c>
      <c r="AQ19" s="138" t="s">
        <v>410</v>
      </c>
      <c r="AR19" s="138" t="s">
        <v>411</v>
      </c>
      <c r="AS19" s="126" t="s">
        <v>419</v>
      </c>
      <c r="AT19" s="139" t="s">
        <v>470</v>
      </c>
      <c r="AU19" s="140" t="s">
        <v>414</v>
      </c>
      <c r="AV19" s="140" t="s">
        <v>240</v>
      </c>
      <c r="AW19" s="138">
        <v>40900</v>
      </c>
      <c r="AX19" s="326">
        <v>3.7</v>
      </c>
      <c r="AY19" s="138">
        <f t="shared" si="254"/>
        <v>151330</v>
      </c>
      <c r="AZ19" s="141" t="b">
        <f t="shared" si="255"/>
        <v>1</v>
      </c>
      <c r="BA19" s="128">
        <v>0</v>
      </c>
      <c r="BB19" s="142">
        <f t="shared" si="256"/>
        <v>40900</v>
      </c>
      <c r="BC19" s="143">
        <v>0</v>
      </c>
      <c r="BD19" s="142" t="s">
        <v>115</v>
      </c>
      <c r="BE19" s="143">
        <v>0</v>
      </c>
      <c r="BF19" s="142">
        <v>0</v>
      </c>
      <c r="BG19" s="143">
        <v>0</v>
      </c>
      <c r="BH19" s="131" t="s">
        <v>481</v>
      </c>
      <c r="BI19" s="314">
        <v>46197</v>
      </c>
      <c r="BJ19" s="131">
        <v>0</v>
      </c>
      <c r="BK19" s="128">
        <v>0</v>
      </c>
      <c r="BL19" s="138">
        <v>0</v>
      </c>
      <c r="BM19" s="138">
        <v>-23217</v>
      </c>
      <c r="BN19" s="144">
        <v>0</v>
      </c>
      <c r="BO19" s="129">
        <f t="shared" si="257"/>
        <v>128113</v>
      </c>
      <c r="BP19" s="134">
        <f t="shared" si="258"/>
        <v>12270</v>
      </c>
      <c r="BQ19" s="143" t="str">
        <f t="shared" si="259"/>
        <v>Positive Margin</v>
      </c>
      <c r="BR19" s="145" t="s">
        <v>383</v>
      </c>
      <c r="BS19" s="128">
        <f t="shared" si="260"/>
        <v>12270</v>
      </c>
      <c r="BT19" s="146" t="str">
        <f t="shared" si="261"/>
        <v>Positive Margin at Inception</v>
      </c>
      <c r="BU19" s="147">
        <f t="shared" si="262"/>
        <v>9.5774823788374319E-2</v>
      </c>
      <c r="BV19" s="146" t="str">
        <f t="shared" si="263"/>
        <v>More than 2%</v>
      </c>
      <c r="BW19" s="128">
        <f t="shared" si="264"/>
        <v>-23217</v>
      </c>
      <c r="BX19" s="129">
        <f t="shared" si="265"/>
        <v>-23217</v>
      </c>
      <c r="BY19" s="128">
        <f t="shared" si="266"/>
        <v>0</v>
      </c>
      <c r="BZ19" s="148">
        <f t="shared" si="267"/>
        <v>-23217</v>
      </c>
      <c r="CA19" s="148">
        <f t="shared" si="268"/>
        <v>-23217</v>
      </c>
      <c r="CB19" s="130">
        <f t="shared" si="269"/>
        <v>0</v>
      </c>
      <c r="CC19" s="148" t="s">
        <v>222</v>
      </c>
      <c r="CD19" s="130">
        <v>0</v>
      </c>
      <c r="CE19" s="130" t="str">
        <f t="shared" si="270"/>
        <v>Jun-26</v>
      </c>
      <c r="CF19" s="130">
        <f t="shared" si="271"/>
        <v>115843</v>
      </c>
      <c r="CG19" s="130">
        <f t="shared" si="272"/>
        <v>128113</v>
      </c>
      <c r="CH19" s="130">
        <f t="shared" si="273"/>
        <v>13</v>
      </c>
      <c r="CI19" s="149" t="s">
        <v>223</v>
      </c>
      <c r="CJ19" s="130" t="s">
        <v>223</v>
      </c>
      <c r="CK19" s="130">
        <v>0</v>
      </c>
      <c r="CL19" s="130">
        <f t="shared" si="274"/>
        <v>12270</v>
      </c>
      <c r="CM19" s="130">
        <f t="shared" si="275"/>
        <v>12270</v>
      </c>
      <c r="CN19" s="130">
        <f t="shared" si="276"/>
        <v>12270</v>
      </c>
      <c r="CO19" s="130">
        <f t="shared" si="277"/>
        <v>178569.4</v>
      </c>
      <c r="CP19" s="130">
        <f t="shared" si="278"/>
        <v>-164090.79999999999</v>
      </c>
      <c r="CQ19" s="130">
        <f t="shared" si="279"/>
        <v>27396.059999999998</v>
      </c>
      <c r="CR19" s="130">
        <f t="shared" si="280"/>
        <v>27396.059999999998</v>
      </c>
      <c r="CS19" s="130">
        <f t="shared" si="281"/>
        <v>69270.720000000001</v>
      </c>
      <c r="CT19" s="130" t="s">
        <v>214</v>
      </c>
      <c r="CU19" s="130" t="s">
        <v>214</v>
      </c>
      <c r="CV19" s="144" t="str">
        <f t="shared" si="282"/>
        <v>AGCPV7437N</v>
      </c>
      <c r="CW19" s="144" t="str">
        <f t="shared" si="283"/>
        <v>AAACL6442L</v>
      </c>
    </row>
    <row r="20" spans="2:101" s="151" customFormat="1" ht="11.85" customHeight="1" x14ac:dyDescent="0.25">
      <c r="B20" s="123" t="str">
        <f t="shared" si="248"/>
        <v>Q1</v>
      </c>
      <c r="C20" s="124" t="str">
        <f t="shared" si="249"/>
        <v>Jun-26</v>
      </c>
      <c r="D20" s="125">
        <v>46197</v>
      </c>
      <c r="E20" s="126" t="s">
        <v>464</v>
      </c>
      <c r="F20" s="126" t="s">
        <v>254</v>
      </c>
      <c r="G20" s="126" t="s">
        <v>279</v>
      </c>
      <c r="H20" s="127" t="s">
        <v>465</v>
      </c>
      <c r="I20" s="125">
        <v>46197</v>
      </c>
      <c r="J20" s="126" t="s">
        <v>466</v>
      </c>
      <c r="K20" s="125">
        <v>46197</v>
      </c>
      <c r="L20" s="126" t="s">
        <v>281</v>
      </c>
      <c r="M20" s="126" t="s">
        <v>467</v>
      </c>
      <c r="N20" s="127" t="s">
        <v>283</v>
      </c>
      <c r="O20" s="126">
        <v>15160</v>
      </c>
      <c r="P20" s="280">
        <v>12</v>
      </c>
      <c r="Q20" s="128">
        <f t="shared" si="250"/>
        <v>181920</v>
      </c>
      <c r="R20" s="129">
        <v>0</v>
      </c>
      <c r="S20" s="128">
        <f t="shared" si="251"/>
        <v>15160</v>
      </c>
      <c r="T20" s="129">
        <v>0</v>
      </c>
      <c r="U20" s="130">
        <v>0</v>
      </c>
      <c r="V20" s="131">
        <v>0</v>
      </c>
      <c r="W20" s="130">
        <v>0</v>
      </c>
      <c r="X20" s="130">
        <v>0</v>
      </c>
      <c r="Y20" s="130">
        <v>0</v>
      </c>
      <c r="Z20" s="130">
        <v>0</v>
      </c>
      <c r="AA20" s="129">
        <v>0</v>
      </c>
      <c r="AB20" s="133">
        <f t="shared" si="252"/>
        <v>0</v>
      </c>
      <c r="AC20" s="133">
        <v>0</v>
      </c>
      <c r="AD20" s="129">
        <v>0</v>
      </c>
      <c r="AE20" s="130">
        <v>0</v>
      </c>
      <c r="AF20" s="130">
        <v>0</v>
      </c>
      <c r="AG20" s="336">
        <v>0</v>
      </c>
      <c r="AH20" s="130">
        <v>0</v>
      </c>
      <c r="AI20" s="131">
        <v>0</v>
      </c>
      <c r="AJ20" s="130">
        <v>0</v>
      </c>
      <c r="AK20" s="130">
        <v>0</v>
      </c>
      <c r="AL20" s="130">
        <v>0</v>
      </c>
      <c r="AM20" s="134">
        <f t="shared" si="253"/>
        <v>181920</v>
      </c>
      <c r="AN20" s="135">
        <v>46197</v>
      </c>
      <c r="AO20" s="136" t="s">
        <v>471</v>
      </c>
      <c r="AP20" s="137" t="s">
        <v>285</v>
      </c>
      <c r="AQ20" s="138" t="s">
        <v>239</v>
      </c>
      <c r="AR20" s="138" t="s">
        <v>221</v>
      </c>
      <c r="AS20" s="126" t="s">
        <v>356</v>
      </c>
      <c r="AT20" s="139" t="s">
        <v>287</v>
      </c>
      <c r="AU20" s="140" t="s">
        <v>288</v>
      </c>
      <c r="AV20" s="140" t="s">
        <v>240</v>
      </c>
      <c r="AW20" s="138">
        <v>15160</v>
      </c>
      <c r="AX20" s="326">
        <v>12.66</v>
      </c>
      <c r="AY20" s="138">
        <f t="shared" si="254"/>
        <v>191925.6</v>
      </c>
      <c r="AZ20" s="141" t="b">
        <f t="shared" si="255"/>
        <v>1</v>
      </c>
      <c r="BA20" s="128">
        <v>0</v>
      </c>
      <c r="BB20" s="142">
        <f t="shared" si="256"/>
        <v>15160</v>
      </c>
      <c r="BC20" s="143">
        <v>0</v>
      </c>
      <c r="BD20" s="142" t="s">
        <v>115</v>
      </c>
      <c r="BE20" s="143">
        <v>0</v>
      </c>
      <c r="BF20" s="142">
        <v>0</v>
      </c>
      <c r="BG20" s="143">
        <v>0</v>
      </c>
      <c r="BH20" s="131">
        <v>0</v>
      </c>
      <c r="BI20" s="337">
        <v>0</v>
      </c>
      <c r="BJ20" s="131">
        <v>0</v>
      </c>
      <c r="BK20" s="128">
        <v>0</v>
      </c>
      <c r="BL20" s="138">
        <v>0</v>
      </c>
      <c r="BM20" s="138">
        <v>0</v>
      </c>
      <c r="BN20" s="144">
        <v>0</v>
      </c>
      <c r="BO20" s="129">
        <f t="shared" si="257"/>
        <v>191925.6</v>
      </c>
      <c r="BP20" s="134">
        <f t="shared" si="258"/>
        <v>10005.600000000006</v>
      </c>
      <c r="BQ20" s="143" t="str">
        <f t="shared" si="259"/>
        <v>Positive Margin</v>
      </c>
      <c r="BR20" s="145" t="s">
        <v>289</v>
      </c>
      <c r="BS20" s="128">
        <f t="shared" si="260"/>
        <v>10005.600000000006</v>
      </c>
      <c r="BT20" s="146" t="str">
        <f t="shared" si="261"/>
        <v>Positive Margin at Inception</v>
      </c>
      <c r="BU20" s="147">
        <f t="shared" si="262"/>
        <v>5.213270142180098E-2</v>
      </c>
      <c r="BV20" s="146" t="str">
        <f t="shared" si="263"/>
        <v>More than 2%</v>
      </c>
      <c r="BW20" s="128">
        <f t="shared" si="264"/>
        <v>0</v>
      </c>
      <c r="BX20" s="129">
        <f t="shared" si="265"/>
        <v>0</v>
      </c>
      <c r="BY20" s="128">
        <f t="shared" si="266"/>
        <v>0</v>
      </c>
      <c r="BZ20" s="148">
        <f t="shared" si="267"/>
        <v>0</v>
      </c>
      <c r="CA20" s="148">
        <f t="shared" si="268"/>
        <v>0</v>
      </c>
      <c r="CB20" s="130">
        <f t="shared" si="269"/>
        <v>0</v>
      </c>
      <c r="CC20" s="148" t="s">
        <v>222</v>
      </c>
      <c r="CD20" s="130">
        <v>0</v>
      </c>
      <c r="CE20" s="130" t="str">
        <f t="shared" si="270"/>
        <v>Jun-26</v>
      </c>
      <c r="CF20" s="130">
        <f t="shared" si="271"/>
        <v>181920</v>
      </c>
      <c r="CG20" s="130">
        <f t="shared" si="272"/>
        <v>191925.6</v>
      </c>
      <c r="CH20" s="130">
        <f t="shared" si="273"/>
        <v>13</v>
      </c>
      <c r="CI20" s="149" t="s">
        <v>223</v>
      </c>
      <c r="CJ20" s="130" t="s">
        <v>223</v>
      </c>
      <c r="CK20" s="130">
        <v>0</v>
      </c>
      <c r="CL20" s="130">
        <f t="shared" si="274"/>
        <v>10005.600000000006</v>
      </c>
      <c r="CM20" s="130">
        <f t="shared" si="275"/>
        <v>10005.600000000006</v>
      </c>
      <c r="CN20" s="130">
        <f t="shared" si="276"/>
        <v>10005.600000000006</v>
      </c>
      <c r="CO20" s="130">
        <f t="shared" si="277"/>
        <v>226472.20799999998</v>
      </c>
      <c r="CP20" s="130">
        <f t="shared" si="278"/>
        <v>-214665.59999999998</v>
      </c>
      <c r="CQ20" s="130">
        <f t="shared" si="279"/>
        <v>0</v>
      </c>
      <c r="CR20" s="130">
        <f t="shared" si="280"/>
        <v>0</v>
      </c>
      <c r="CS20" s="130">
        <f t="shared" si="281"/>
        <v>11806.608000000007</v>
      </c>
      <c r="CT20" s="130" t="s">
        <v>214</v>
      </c>
      <c r="CU20" s="130" t="s">
        <v>214</v>
      </c>
      <c r="CV20" s="144" t="str">
        <f t="shared" si="282"/>
        <v>ANHPG0363J</v>
      </c>
      <c r="CW20" s="144" t="str">
        <f t="shared" si="283"/>
        <v>AAACM4154G</v>
      </c>
    </row>
    <row r="21" spans="2:101" s="151" customFormat="1" ht="11.85" customHeight="1" x14ac:dyDescent="0.25">
      <c r="B21" s="123" t="str">
        <f t="shared" ref="B21" si="284">"Q" &amp; IF(ROUNDUP(MONTH(D21)/3,0)-1=0,4,ROUNDUP(MONTH(D21)/3,0)-1)</f>
        <v>Q1</v>
      </c>
      <c r="C21" s="124" t="str">
        <f t="shared" ref="C21" si="285">TEXT(AN21,"mmm-yy")</f>
        <v>Jun-26</v>
      </c>
      <c r="D21" s="125">
        <v>46200</v>
      </c>
      <c r="E21" s="126" t="s">
        <v>495</v>
      </c>
      <c r="F21" s="126" t="s">
        <v>254</v>
      </c>
      <c r="G21" s="126" t="s">
        <v>279</v>
      </c>
      <c r="H21" s="127" t="s">
        <v>498</v>
      </c>
      <c r="I21" s="125">
        <v>46200</v>
      </c>
      <c r="J21" s="126" t="s">
        <v>499</v>
      </c>
      <c r="K21" s="125">
        <v>46202</v>
      </c>
      <c r="L21" s="126" t="s">
        <v>281</v>
      </c>
      <c r="M21" s="126" t="s">
        <v>500</v>
      </c>
      <c r="N21" s="127" t="s">
        <v>283</v>
      </c>
      <c r="O21" s="126">
        <v>15460</v>
      </c>
      <c r="P21" s="280">
        <v>12</v>
      </c>
      <c r="Q21" s="128">
        <f t="shared" ref="Q21" si="286">O21*P21</f>
        <v>185520</v>
      </c>
      <c r="R21" s="129">
        <v>0</v>
      </c>
      <c r="S21" s="128">
        <f t="shared" ref="S21" si="287">O21-R21</f>
        <v>15460</v>
      </c>
      <c r="T21" s="129">
        <v>0</v>
      </c>
      <c r="U21" s="130">
        <v>0</v>
      </c>
      <c r="V21" s="131">
        <v>0</v>
      </c>
      <c r="W21" s="130">
        <v>0</v>
      </c>
      <c r="X21" s="130">
        <v>0</v>
      </c>
      <c r="Y21" s="130">
        <v>0</v>
      </c>
      <c r="Z21" s="130">
        <v>0</v>
      </c>
      <c r="AA21" s="129">
        <v>0</v>
      </c>
      <c r="AB21" s="133">
        <f t="shared" ref="AB21" si="288">Y21+AA21+Z21</f>
        <v>0</v>
      </c>
      <c r="AC21" s="133">
        <v>0</v>
      </c>
      <c r="AD21" s="129">
        <v>0</v>
      </c>
      <c r="AE21" s="130">
        <v>0</v>
      </c>
      <c r="AF21" s="130">
        <v>0</v>
      </c>
      <c r="AG21" s="336">
        <v>0</v>
      </c>
      <c r="AH21" s="130">
        <v>0</v>
      </c>
      <c r="AI21" s="131">
        <v>0</v>
      </c>
      <c r="AJ21" s="130">
        <v>0</v>
      </c>
      <c r="AK21" s="130">
        <v>0</v>
      </c>
      <c r="AL21" s="130">
        <v>0</v>
      </c>
      <c r="AM21" s="134">
        <f t="shared" ref="AM21" si="289">Q21+AB21+AL21+AK21+AJ21+T21+AE21</f>
        <v>185520</v>
      </c>
      <c r="AN21" s="135">
        <v>46200</v>
      </c>
      <c r="AO21" s="136" t="s">
        <v>497</v>
      </c>
      <c r="AP21" s="137" t="s">
        <v>285</v>
      </c>
      <c r="AQ21" s="138" t="s">
        <v>239</v>
      </c>
      <c r="AR21" s="138" t="s">
        <v>221</v>
      </c>
      <c r="AS21" s="126" t="s">
        <v>436</v>
      </c>
      <c r="AT21" s="139" t="s">
        <v>287</v>
      </c>
      <c r="AU21" s="140" t="s">
        <v>288</v>
      </c>
      <c r="AV21" s="140" t="s">
        <v>240</v>
      </c>
      <c r="AW21" s="138">
        <v>15460</v>
      </c>
      <c r="AX21" s="326">
        <v>12.66</v>
      </c>
      <c r="AY21" s="138">
        <f t="shared" ref="AY21" si="290">AW21*AX21</f>
        <v>195723.6</v>
      </c>
      <c r="AZ21" s="141" t="b">
        <f t="shared" ref="AZ21" si="291">AW21=O21</f>
        <v>1</v>
      </c>
      <c r="BA21" s="128">
        <v>0</v>
      </c>
      <c r="BB21" s="142">
        <f t="shared" ref="BB21" si="292">AW21-BA21</f>
        <v>15460</v>
      </c>
      <c r="BC21" s="143">
        <v>0</v>
      </c>
      <c r="BD21" s="142" t="s">
        <v>115</v>
      </c>
      <c r="BE21" s="143">
        <v>0</v>
      </c>
      <c r="BF21" s="142">
        <v>0</v>
      </c>
      <c r="BG21" s="143">
        <v>0</v>
      </c>
      <c r="BH21" s="131">
        <v>0</v>
      </c>
      <c r="BI21" s="337">
        <v>0</v>
      </c>
      <c r="BJ21" s="131">
        <v>0</v>
      </c>
      <c r="BK21" s="128">
        <v>0</v>
      </c>
      <c r="BL21" s="138">
        <v>0</v>
      </c>
      <c r="BM21" s="138">
        <v>0</v>
      </c>
      <c r="BN21" s="144">
        <v>0</v>
      </c>
      <c r="BO21" s="129">
        <f t="shared" ref="BO21" si="293">AY21+BL21+BM21+BN21+BC21+BG21</f>
        <v>195723.6</v>
      </c>
      <c r="BP21" s="134">
        <f t="shared" ref="BP21" si="294">BO21-AM21</f>
        <v>10203.600000000006</v>
      </c>
      <c r="BQ21" s="143" t="str">
        <f t="shared" ref="BQ21" si="295">IF(BP21&gt;=0,"Positive Margin","Negative Margin")</f>
        <v>Positive Margin</v>
      </c>
      <c r="BR21" s="145" t="s">
        <v>289</v>
      </c>
      <c r="BS21" s="128">
        <f t="shared" ref="BS21" si="296">AY21-Y21-Q21-AA21-T21+BC21</f>
        <v>10203.600000000006</v>
      </c>
      <c r="BT21" s="146" t="str">
        <f t="shared" ref="BT21" si="297">IF(BS21&lt;0, "Negative Margin at Inception", "Positive Margin at Inception")</f>
        <v>Positive Margin at Inception</v>
      </c>
      <c r="BU21" s="147">
        <f t="shared" ref="BU21" si="298">IFERROR(BP21/BO21,"0")</f>
        <v>5.2132701421800973E-2</v>
      </c>
      <c r="BV21" s="146" t="str">
        <f t="shared" ref="BV21" si="299">IF(BU21&lt;1%,"Less Than 1%",IF(BU21&gt;2%,"More than 2%",IF(BU21&gt;=1%,"1% - 2%")))</f>
        <v>More than 2%</v>
      </c>
      <c r="BW21" s="128">
        <f t="shared" ref="BW21" si="300">BM21+BN21</f>
        <v>0</v>
      </c>
      <c r="BX21" s="129">
        <f t="shared" ref="BX21" si="301">AL21+AK21</f>
        <v>0</v>
      </c>
      <c r="BY21" s="128">
        <f t="shared" ref="BY21" si="302">BW21-BX21</f>
        <v>0</v>
      </c>
      <c r="BZ21" s="148">
        <f t="shared" ref="BZ21" si="303">BM21</f>
        <v>0</v>
      </c>
      <c r="CA21" s="148">
        <f t="shared" ref="CA21" si="304">AK21</f>
        <v>0</v>
      </c>
      <c r="CB21" s="130">
        <f t="shared" ref="CB21" si="305">BZ21-CA21</f>
        <v>0</v>
      </c>
      <c r="CC21" s="148" t="s">
        <v>222</v>
      </c>
      <c r="CD21" s="130">
        <v>0</v>
      </c>
      <c r="CE21" s="130" t="str">
        <f t="shared" ref="CE21" si="306">TEXT(AN21,"mmm-yy")</f>
        <v>Jun-26</v>
      </c>
      <c r="CF21" s="130">
        <f t="shared" ref="CF21" si="307">AM21-AL21-AA21</f>
        <v>185520</v>
      </c>
      <c r="CG21" s="130">
        <f t="shared" ref="CG21" si="308">BO21-BN21</f>
        <v>195723.6</v>
      </c>
      <c r="CH21" s="130">
        <f t="shared" ref="CH21" si="309">INT((D21- IF(MONTH(D21) &gt;= 4, DATE(YEAR(D21), 4, 1), DATE(YEAR(D21)-1, 4, 1))) / 7) + 1</f>
        <v>13</v>
      </c>
      <c r="CI21" s="149" t="s">
        <v>223</v>
      </c>
      <c r="CJ21" s="130" t="s">
        <v>223</v>
      </c>
      <c r="CK21" s="130">
        <v>0</v>
      </c>
      <c r="CL21" s="130">
        <f t="shared" ref="CL21" si="310">AY21-Q21</f>
        <v>10203.600000000006</v>
      </c>
      <c r="CM21" s="130">
        <f t="shared" ref="CM21" si="311">CL21-Y21+Z21</f>
        <v>10203.600000000006</v>
      </c>
      <c r="CN21" s="130">
        <f t="shared" ref="CN21" si="312">BO21-AM21</f>
        <v>10203.600000000006</v>
      </c>
      <c r="CO21" s="130">
        <f t="shared" ref="CO21" si="313">AY21*118%</f>
        <v>230953.848</v>
      </c>
      <c r="CP21" s="130">
        <f t="shared" ref="CP21" si="314">-Q21*118%</f>
        <v>-218913.59999999998</v>
      </c>
      <c r="CQ21" s="130">
        <f t="shared" ref="CQ21" si="315">-BZ21*118%</f>
        <v>0</v>
      </c>
      <c r="CR21" s="130">
        <f t="shared" ref="CR21" si="316">-CA21*118%</f>
        <v>0</v>
      </c>
      <c r="CS21" s="130">
        <f t="shared" ref="CS21" si="317">SUM(CO21:CR21)</f>
        <v>12040.248000000021</v>
      </c>
      <c r="CT21" s="130" t="s">
        <v>214</v>
      </c>
      <c r="CU21" s="130" t="s">
        <v>214</v>
      </c>
      <c r="CV21" s="144" t="str">
        <f t="shared" ref="CV21" si="318">MID(G21,3,10)</f>
        <v>ANHPG0363J</v>
      </c>
      <c r="CW21" s="144" t="str">
        <f t="shared" ref="CW21" si="319">MID(AR21,3,10)</f>
        <v>AAACM4154G</v>
      </c>
    </row>
    <row r="22" spans="2:101" s="151" customFormat="1" ht="11.85" customHeight="1" thickBot="1" x14ac:dyDescent="0.3">
      <c r="B22" s="123"/>
      <c r="C22" s="124"/>
      <c r="D22" s="125"/>
      <c r="E22" s="126"/>
      <c r="F22" s="126"/>
      <c r="G22" s="126"/>
      <c r="H22" s="127"/>
      <c r="I22" s="152"/>
      <c r="J22" s="153"/>
      <c r="K22" s="152"/>
      <c r="L22" s="153"/>
      <c r="M22" s="126"/>
      <c r="N22" s="127"/>
      <c r="O22" s="126"/>
      <c r="P22" s="127"/>
      <c r="Q22" s="128"/>
      <c r="R22" s="129"/>
      <c r="S22" s="128"/>
      <c r="T22" s="129"/>
      <c r="U22" s="130"/>
      <c r="V22" s="131"/>
      <c r="W22" s="130"/>
      <c r="X22" s="132"/>
      <c r="Y22" s="130"/>
      <c r="Z22" s="130"/>
      <c r="AA22" s="129"/>
      <c r="AB22" s="128"/>
      <c r="AC22" s="128"/>
      <c r="AD22" s="129"/>
      <c r="AE22" s="130"/>
      <c r="AF22" s="130"/>
      <c r="AG22" s="130"/>
      <c r="AH22" s="130"/>
      <c r="AI22" s="131"/>
      <c r="AJ22" s="130"/>
      <c r="AK22" s="130"/>
      <c r="AL22" s="130"/>
      <c r="AM22" s="134"/>
      <c r="AN22" s="135"/>
      <c r="AO22" s="136"/>
      <c r="AP22" s="137"/>
      <c r="AQ22" s="154"/>
      <c r="AR22" s="138"/>
      <c r="AS22" s="126"/>
      <c r="AT22" s="139"/>
      <c r="AU22" s="140"/>
      <c r="AV22" s="140"/>
      <c r="AW22" s="138"/>
      <c r="AX22" s="140"/>
      <c r="AY22" s="138"/>
      <c r="AZ22" s="141"/>
      <c r="BA22" s="128"/>
      <c r="BB22" s="142"/>
      <c r="BC22" s="143"/>
      <c r="BD22" s="142"/>
      <c r="BE22" s="143"/>
      <c r="BF22" s="142"/>
      <c r="BG22" s="143"/>
      <c r="BH22" s="130"/>
      <c r="BI22" s="133"/>
      <c r="BJ22" s="131"/>
      <c r="BK22" s="128"/>
      <c r="BL22" s="138"/>
      <c r="BM22" s="154"/>
      <c r="BN22" s="155"/>
      <c r="BO22" s="129"/>
      <c r="BP22" s="134"/>
      <c r="BQ22" s="143"/>
      <c r="BR22" s="145"/>
      <c r="BS22" s="128"/>
      <c r="BT22" s="146"/>
      <c r="BU22" s="147"/>
      <c r="BV22" s="146"/>
      <c r="BW22" s="128"/>
      <c r="BX22" s="129"/>
      <c r="BY22" s="128"/>
      <c r="BZ22" s="148"/>
      <c r="CA22" s="148"/>
      <c r="CB22" s="130"/>
      <c r="CC22" s="148"/>
      <c r="CD22" s="130"/>
      <c r="CE22" s="130"/>
      <c r="CF22" s="130"/>
      <c r="CG22" s="130"/>
      <c r="CH22" s="130"/>
      <c r="CI22" s="149"/>
      <c r="CJ22" s="130"/>
      <c r="CK22" s="130"/>
      <c r="CL22" s="130"/>
      <c r="CM22" s="130"/>
      <c r="CN22" s="130"/>
      <c r="CO22" s="130"/>
      <c r="CP22" s="130"/>
      <c r="CQ22" s="130"/>
      <c r="CR22" s="130"/>
      <c r="CS22" s="130"/>
      <c r="CT22" s="130"/>
      <c r="CU22" s="130"/>
      <c r="CV22" s="144"/>
      <c r="CW22" s="144"/>
    </row>
    <row r="23" spans="2:101" s="169" customFormat="1" ht="12.6" thickBot="1" x14ac:dyDescent="0.3">
      <c r="B23" s="156"/>
      <c r="C23" s="157"/>
      <c r="D23" s="157"/>
      <c r="E23" s="157"/>
      <c r="F23" s="158" t="s">
        <v>62</v>
      </c>
      <c r="G23" s="157"/>
      <c r="H23" s="157"/>
      <c r="I23" s="159"/>
      <c r="J23" s="157"/>
      <c r="K23" s="159"/>
      <c r="L23" s="158"/>
      <c r="M23" s="160"/>
      <c r="N23" s="161"/>
      <c r="O23" s="162">
        <f>SUBTOTAL(9,O5:O22)</f>
        <v>274050</v>
      </c>
      <c r="P23" s="163"/>
      <c r="Q23" s="162">
        <f>SUBTOTAL(9,Q5:Q22)</f>
        <v>2533025</v>
      </c>
      <c r="R23" s="162"/>
      <c r="S23" s="162">
        <f>SUBTOTAL(9,S5:S22)</f>
        <v>274050</v>
      </c>
      <c r="T23" s="162">
        <f>SUBTOTAL(9,T5:T22)</f>
        <v>0</v>
      </c>
      <c r="U23" s="164"/>
      <c r="V23" s="164"/>
      <c r="W23" s="165"/>
      <c r="X23" s="165"/>
      <c r="Y23" s="162">
        <f>SUBTOTAL(9,Y5:Y22)</f>
        <v>0</v>
      </c>
      <c r="Z23" s="162">
        <f>SUBTOTAL(9,Z5:Z22)</f>
        <v>0</v>
      </c>
      <c r="AA23" s="162">
        <f>SUBTOTAL(9,AA5:AA22)</f>
        <v>0</v>
      </c>
      <c r="AB23" s="162">
        <f>SUBTOTAL(9,AB5:AB22)</f>
        <v>0</v>
      </c>
      <c r="AC23" s="162">
        <f>SUBTOTAL(9,AC5:AC22)</f>
        <v>0</v>
      </c>
      <c r="AD23" s="162">
        <f>SUBTOTAL(1,AD5:AD22)</f>
        <v>0</v>
      </c>
      <c r="AE23" s="162">
        <f>SUBTOTAL(9,AE5:AE22)</f>
        <v>0</v>
      </c>
      <c r="AF23" s="157"/>
      <c r="AG23" s="157"/>
      <c r="AH23" s="166"/>
      <c r="AI23" s="166"/>
      <c r="AJ23" s="162">
        <f>SUBTOTAL(9,AJ5:AJ22)</f>
        <v>-152320</v>
      </c>
      <c r="AK23" s="162">
        <f>SUBTOTAL(9,AK5:AK22)</f>
        <v>-27752</v>
      </c>
      <c r="AL23" s="162">
        <f>SUBTOTAL(9,AL5:AL22)</f>
        <v>0</v>
      </c>
      <c r="AM23" s="162">
        <f>SUBTOTAL(9,AM5:AM22)</f>
        <v>2352953</v>
      </c>
      <c r="AN23" s="163"/>
      <c r="AO23" s="163"/>
      <c r="AP23" s="163"/>
      <c r="AQ23" s="162"/>
      <c r="AR23" s="162"/>
      <c r="AS23" s="160"/>
      <c r="AT23" s="162"/>
      <c r="AU23" s="163"/>
      <c r="AV23" s="163"/>
      <c r="AW23" s="162">
        <f>SUBTOTAL(9,AW5:AW22)</f>
        <v>274050</v>
      </c>
      <c r="AX23" s="162">
        <f>SUBTOTAL(101,AX5:AX22)</f>
        <v>10.182352941176468</v>
      </c>
      <c r="AY23" s="162">
        <f>SUBTOTAL(9,AY5:AY22)</f>
        <v>2751328.4000000004</v>
      </c>
      <c r="AZ23" s="162"/>
      <c r="BA23" s="162">
        <f>SUBTOTAL(9,BA5:BA22)</f>
        <v>44800</v>
      </c>
      <c r="BB23" s="162">
        <f>SUBTOTAL(9,BB5:BB22)</f>
        <v>229250</v>
      </c>
      <c r="BC23" s="162">
        <f>SUBTOTAL(9,BC5:BC22)</f>
        <v>0</v>
      </c>
      <c r="BD23" s="162"/>
      <c r="BE23" s="162"/>
      <c r="BF23" s="162"/>
      <c r="BG23" s="162">
        <f>SUBTOTAL(9,BG5:BG22)</f>
        <v>0</v>
      </c>
      <c r="BH23" s="163"/>
      <c r="BI23" s="163"/>
      <c r="BJ23" s="163"/>
      <c r="BK23" s="163"/>
      <c r="BL23" s="162">
        <f>SUBTOTAL(9,BL5:BL22)</f>
        <v>-165760</v>
      </c>
      <c r="BM23" s="162">
        <f>SUBTOTAL(9,BM5:BM22)</f>
        <v>-28094.799999999999</v>
      </c>
      <c r="BN23" s="162">
        <f>SUBTOTAL(9,BN5:BN22)</f>
        <v>0</v>
      </c>
      <c r="BO23" s="162">
        <f>SUBTOTAL(9,BO5:BO22)</f>
        <v>2557473.6000000006</v>
      </c>
      <c r="BP23" s="162">
        <f>SUBTOTAL(9,BP5:BP22)</f>
        <v>204520.59999999998</v>
      </c>
      <c r="BQ23" s="162"/>
      <c r="BR23" s="162"/>
      <c r="BS23" s="162">
        <f>SUBTOTAL(9,BS5:BS22)</f>
        <v>218303.4</v>
      </c>
      <c r="BT23" s="162"/>
      <c r="BU23" s="162"/>
      <c r="BV23" s="157"/>
      <c r="BW23" s="162">
        <f t="shared" ref="BW23:CB23" si="320">SUBTOTAL(9,BV1:BV22)</f>
        <v>0</v>
      </c>
      <c r="BX23" s="162">
        <f t="shared" si="320"/>
        <v>-28094.799999999999</v>
      </c>
      <c r="BY23" s="162">
        <f t="shared" si="320"/>
        <v>-27752</v>
      </c>
      <c r="BZ23" s="162">
        <f t="shared" si="320"/>
        <v>-342.79999999999995</v>
      </c>
      <c r="CA23" s="162">
        <f t="shared" si="320"/>
        <v>-28094.799999999999</v>
      </c>
      <c r="CB23" s="167">
        <f t="shared" si="320"/>
        <v>-27752</v>
      </c>
      <c r="CC23" s="158"/>
      <c r="CD23" s="167"/>
      <c r="CE23" s="167"/>
      <c r="CF23" s="167">
        <f>SUBTOTAL(9,CE1:CE22)</f>
        <v>0</v>
      </c>
      <c r="CG23" s="167">
        <f>SUBTOTAL(9,CF1:CF22)</f>
        <v>2352953</v>
      </c>
      <c r="CH23" s="167"/>
      <c r="CI23" s="168"/>
      <c r="CJ23" s="167"/>
      <c r="CK23" s="167"/>
      <c r="CL23" s="167">
        <f t="shared" ref="CL23:CS23" si="321">SUBTOTAL(9,CK1:CK22)</f>
        <v>0</v>
      </c>
      <c r="CM23" s="167">
        <f t="shared" si="321"/>
        <v>218303.4</v>
      </c>
      <c r="CN23" s="167">
        <f t="shared" si="321"/>
        <v>218303.4</v>
      </c>
      <c r="CO23" s="167">
        <f t="shared" si="321"/>
        <v>204520.59999999998</v>
      </c>
      <c r="CP23" s="167">
        <f t="shared" si="321"/>
        <v>3246567.5119999992</v>
      </c>
      <c r="CQ23" s="167">
        <f t="shared" si="321"/>
        <v>-2988969.5</v>
      </c>
      <c r="CR23" s="167">
        <f t="shared" si="321"/>
        <v>33151.864000000001</v>
      </c>
      <c r="CS23" s="167">
        <f t="shared" si="321"/>
        <v>32747.359999999997</v>
      </c>
      <c r="CT23" s="167"/>
      <c r="CU23" s="167"/>
      <c r="CV23" s="167"/>
      <c r="CW23" s="167"/>
    </row>
    <row r="24" spans="2:101" s="170" customFormat="1" ht="12.6" thickBot="1" x14ac:dyDescent="0.3">
      <c r="D24" s="151"/>
      <c r="E24" s="171"/>
      <c r="F24" s="172"/>
      <c r="G24" s="171"/>
      <c r="H24" s="171"/>
      <c r="I24" s="173"/>
      <c r="J24" s="151"/>
      <c r="K24" s="173"/>
      <c r="L24" s="174"/>
      <c r="M24" s="174"/>
      <c r="N24" s="175">
        <f>O23-AW23</f>
        <v>0</v>
      </c>
      <c r="O24" s="176"/>
      <c r="P24" s="177">
        <f>Q23+AK23+AJ23+AL23+T23+AE23</f>
        <v>2352953</v>
      </c>
      <c r="Q24" s="178"/>
      <c r="R24" s="178"/>
      <c r="S24" s="178"/>
      <c r="T24" s="178"/>
      <c r="U24" s="174"/>
      <c r="V24" s="150"/>
      <c r="W24" s="150"/>
      <c r="X24" s="172"/>
      <c r="Y24" s="178"/>
      <c r="Z24" s="178"/>
      <c r="AA24" s="178">
        <f>AB23/AY23</f>
        <v>0</v>
      </c>
      <c r="AB24" s="178"/>
      <c r="AC24" s="178"/>
      <c r="AD24" s="179"/>
      <c r="AE24" s="179"/>
      <c r="AF24" s="180"/>
      <c r="AG24" s="180"/>
      <c r="AH24" s="172"/>
      <c r="AI24" s="178"/>
      <c r="AJ24" s="178"/>
      <c r="AK24" s="178"/>
      <c r="AL24" s="151"/>
      <c r="AM24" s="179"/>
      <c r="AN24" s="151"/>
      <c r="AO24" s="151"/>
      <c r="AP24" s="151"/>
      <c r="AQ24" s="151"/>
      <c r="AR24" s="181"/>
      <c r="AS24" s="151"/>
      <c r="AT24" s="151"/>
      <c r="AU24" s="151"/>
      <c r="AV24" s="151"/>
      <c r="AW24" s="151"/>
      <c r="AX24" s="151"/>
      <c r="AY24" s="151"/>
      <c r="AZ24" s="151"/>
      <c r="BA24" s="151"/>
      <c r="BB24" s="151"/>
      <c r="BC24" s="151"/>
      <c r="BD24" s="151"/>
      <c r="BE24" s="151"/>
      <c r="BF24" s="151"/>
      <c r="BG24" s="151"/>
      <c r="BH24" s="151"/>
      <c r="BI24" s="151"/>
      <c r="BJ24" s="151"/>
      <c r="BK24" s="182">
        <f>BK25/AY23</f>
        <v>0</v>
      </c>
      <c r="BL24" s="182"/>
      <c r="BM24" s="151"/>
      <c r="BN24" s="183">
        <f>BP23/BO23</f>
        <v>7.9969779551194553E-2</v>
      </c>
      <c r="BO24" s="178"/>
      <c r="BP24" s="151"/>
      <c r="BQ24" s="172"/>
      <c r="BR24" s="184">
        <f>BS23/AY23</f>
        <v>7.9344726714557223E-2</v>
      </c>
      <c r="BS24" s="178"/>
      <c r="BV24" s="151"/>
      <c r="BW24" s="178"/>
      <c r="BX24" s="218" t="e">
        <f>BX23/BW23</f>
        <v>#DIV/0!</v>
      </c>
      <c r="BY24" s="151"/>
      <c r="BZ24" s="151"/>
      <c r="CA24" s="219">
        <f>IFERROR(CA23/BZ23,0)</f>
        <v>81.956826137689617</v>
      </c>
      <c r="CB24" s="171"/>
      <c r="CC24" s="186"/>
      <c r="CD24" s="186" t="s">
        <v>167</v>
      </c>
      <c r="CE24" s="220">
        <f>CF23*118%</f>
        <v>0</v>
      </c>
      <c r="CF24" s="220">
        <f>CG23*118%</f>
        <v>2776484.54</v>
      </c>
      <c r="CH24" s="172"/>
      <c r="CW24" s="151"/>
    </row>
    <row r="25" spans="2:101" s="170" customFormat="1" ht="12" x14ac:dyDescent="0.25">
      <c r="D25" s="171"/>
      <c r="E25" s="171"/>
      <c r="F25" s="172"/>
      <c r="G25" s="171"/>
      <c r="H25" s="171"/>
      <c r="I25" s="173"/>
      <c r="J25" s="151"/>
      <c r="K25" s="173"/>
      <c r="L25" s="174"/>
      <c r="M25" s="172"/>
      <c r="N25" s="176"/>
      <c r="O25" s="176"/>
      <c r="P25" s="177"/>
      <c r="Q25" s="178"/>
      <c r="R25" s="178"/>
      <c r="S25" s="178"/>
      <c r="T25" s="178"/>
      <c r="U25" s="174"/>
      <c r="V25" s="150"/>
      <c r="W25" s="150"/>
      <c r="X25" s="172"/>
      <c r="Y25" s="178"/>
      <c r="Z25" s="178"/>
      <c r="AA25" s="151"/>
      <c r="AB25" s="151"/>
      <c r="AC25" s="187">
        <f>+AL23+AK23</f>
        <v>-27752</v>
      </c>
      <c r="AD25" s="179"/>
      <c r="AE25" s="179"/>
      <c r="AF25" s="180"/>
      <c r="AG25" s="180"/>
      <c r="AH25" s="172"/>
      <c r="AI25" s="178"/>
      <c r="AJ25" s="188"/>
      <c r="AK25" s="188"/>
      <c r="AL25" s="151"/>
      <c r="AM25" s="179"/>
      <c r="AN25" s="151"/>
      <c r="AO25" s="151"/>
      <c r="AP25" s="151"/>
      <c r="AQ25" s="151"/>
      <c r="AR25" s="189"/>
      <c r="AS25" s="151"/>
      <c r="AT25" s="151"/>
      <c r="AU25" s="151"/>
      <c r="AV25" s="151"/>
      <c r="AW25" s="151"/>
      <c r="AX25" s="151"/>
      <c r="AY25" s="151"/>
      <c r="AZ25" s="151"/>
      <c r="BA25" s="151"/>
      <c r="BB25" s="151"/>
      <c r="BC25" s="151"/>
      <c r="BD25" s="151"/>
      <c r="BE25" s="151"/>
      <c r="BF25" s="151"/>
      <c r="BG25" s="151"/>
      <c r="BH25" s="151"/>
      <c r="BI25" s="151"/>
      <c r="BJ25" s="186"/>
      <c r="BK25" s="186"/>
      <c r="BL25" s="190"/>
      <c r="BM25" s="191"/>
      <c r="BN25" s="178"/>
      <c r="BO25" s="178"/>
      <c r="BP25" s="151"/>
      <c r="BQ25" s="172"/>
      <c r="BR25" s="192"/>
      <c r="BS25" s="178"/>
      <c r="BV25" s="151"/>
      <c r="BW25" s="178"/>
      <c r="BX25" s="172"/>
      <c r="BY25" s="151"/>
      <c r="BZ25" s="151"/>
      <c r="CA25" s="151"/>
      <c r="CB25" s="171"/>
      <c r="CC25" s="151"/>
      <c r="CD25" s="151"/>
      <c r="CH25" s="172"/>
    </row>
    <row r="26" spans="2:101" s="170" customFormat="1" ht="12.6" thickBot="1" x14ac:dyDescent="0.3"/>
    <row r="27" spans="2:101" s="170" customFormat="1" ht="14.4" thickBot="1" x14ac:dyDescent="0.3">
      <c r="B27" s="115" t="s">
        <v>20</v>
      </c>
      <c r="C27" s="116" t="s">
        <v>19</v>
      </c>
      <c r="D27" s="115" t="s">
        <v>18</v>
      </c>
      <c r="E27" s="116" t="s">
        <v>171</v>
      </c>
      <c r="F27" s="116" t="s">
        <v>30</v>
      </c>
      <c r="G27" s="116" t="s">
        <v>21</v>
      </c>
      <c r="H27" s="117" t="s">
        <v>24</v>
      </c>
      <c r="I27" s="118" t="s">
        <v>25</v>
      </c>
      <c r="J27" s="116" t="s">
        <v>22</v>
      </c>
      <c r="K27" s="118" t="s">
        <v>23</v>
      </c>
      <c r="L27" s="116" t="s">
        <v>32</v>
      </c>
      <c r="M27" s="116" t="s">
        <v>34</v>
      </c>
      <c r="N27" s="117" t="s">
        <v>38</v>
      </c>
      <c r="O27" s="116" t="s">
        <v>40</v>
      </c>
      <c r="P27" s="117" t="s">
        <v>41</v>
      </c>
      <c r="Q27" s="116" t="s">
        <v>42</v>
      </c>
      <c r="R27" s="117" t="s">
        <v>111</v>
      </c>
      <c r="S27" s="116" t="s">
        <v>112</v>
      </c>
      <c r="T27" s="117" t="s">
        <v>105</v>
      </c>
      <c r="U27" s="116" t="s">
        <v>33</v>
      </c>
      <c r="V27" s="117" t="s">
        <v>35</v>
      </c>
      <c r="W27" s="116" t="s">
        <v>36</v>
      </c>
      <c r="X27" s="117" t="s">
        <v>37</v>
      </c>
      <c r="Y27" s="116" t="s">
        <v>43</v>
      </c>
      <c r="Z27" s="116" t="s">
        <v>67</v>
      </c>
      <c r="AA27" s="117" t="s">
        <v>44</v>
      </c>
      <c r="AB27" s="116" t="s">
        <v>45</v>
      </c>
      <c r="AC27" s="116" t="s">
        <v>218</v>
      </c>
      <c r="AD27" s="117" t="s">
        <v>46</v>
      </c>
      <c r="AE27" s="117" t="s">
        <v>113</v>
      </c>
      <c r="AF27" s="116" t="s">
        <v>26</v>
      </c>
      <c r="AG27" s="117" t="s">
        <v>27</v>
      </c>
      <c r="AH27" s="116" t="s">
        <v>28</v>
      </c>
      <c r="AI27" s="117" t="s">
        <v>29</v>
      </c>
      <c r="AJ27" s="116" t="s">
        <v>47</v>
      </c>
      <c r="AK27" s="116" t="s">
        <v>192</v>
      </c>
      <c r="AL27" s="116" t="s">
        <v>194</v>
      </c>
      <c r="AM27" s="116" t="s">
        <v>48</v>
      </c>
      <c r="AN27" s="117" t="s">
        <v>50</v>
      </c>
      <c r="AO27" s="116" t="s">
        <v>49</v>
      </c>
      <c r="AP27" s="117" t="s">
        <v>180</v>
      </c>
      <c r="AQ27" s="117" t="s">
        <v>51</v>
      </c>
      <c r="AR27" s="116" t="s">
        <v>146</v>
      </c>
      <c r="AS27" s="116" t="s">
        <v>31</v>
      </c>
      <c r="AT27" s="116" t="s">
        <v>52</v>
      </c>
      <c r="AU27" s="117" t="s">
        <v>53</v>
      </c>
      <c r="AV27" s="117" t="s">
        <v>290</v>
      </c>
      <c r="AW27" s="116" t="s">
        <v>54</v>
      </c>
      <c r="AX27" s="117" t="s">
        <v>55</v>
      </c>
      <c r="AY27" s="116" t="s">
        <v>56</v>
      </c>
      <c r="AZ27" s="117" t="s">
        <v>57</v>
      </c>
      <c r="BA27" s="116" t="s">
        <v>111</v>
      </c>
      <c r="BB27" s="117" t="s">
        <v>112</v>
      </c>
      <c r="BC27" s="116" t="s">
        <v>113</v>
      </c>
      <c r="BD27" s="117" t="s">
        <v>114</v>
      </c>
      <c r="BE27" s="116" t="s">
        <v>135</v>
      </c>
      <c r="BF27" s="117" t="s">
        <v>136</v>
      </c>
      <c r="BG27" s="116" t="s">
        <v>56</v>
      </c>
      <c r="BH27" s="116" t="s">
        <v>126</v>
      </c>
      <c r="BI27" s="116" t="s">
        <v>127</v>
      </c>
      <c r="BJ27" s="116" t="s">
        <v>128</v>
      </c>
      <c r="BK27" s="116" t="s">
        <v>129</v>
      </c>
      <c r="BL27" s="116" t="s">
        <v>131</v>
      </c>
      <c r="BM27" s="116" t="s">
        <v>191</v>
      </c>
      <c r="BN27" s="116" t="s">
        <v>193</v>
      </c>
      <c r="BO27" s="117" t="s">
        <v>58</v>
      </c>
      <c r="BP27" s="116" t="s">
        <v>59</v>
      </c>
      <c r="BQ27" s="116" t="s">
        <v>68</v>
      </c>
      <c r="BR27" s="117" t="s">
        <v>61</v>
      </c>
      <c r="BS27" s="116" t="s">
        <v>186</v>
      </c>
      <c r="BT27" s="119" t="s">
        <v>130</v>
      </c>
      <c r="BU27" s="116" t="s">
        <v>103</v>
      </c>
      <c r="BV27" s="116" t="s">
        <v>104</v>
      </c>
      <c r="BW27" s="116" t="s">
        <v>184</v>
      </c>
      <c r="BX27" s="116" t="s">
        <v>185</v>
      </c>
      <c r="BY27" s="116" t="s">
        <v>60</v>
      </c>
      <c r="BZ27" s="116" t="s">
        <v>124</v>
      </c>
      <c r="CA27" s="116" t="s">
        <v>125</v>
      </c>
      <c r="CB27" s="116" t="s">
        <v>60</v>
      </c>
      <c r="CC27" s="116" t="s">
        <v>39</v>
      </c>
      <c r="CD27" s="116" t="s">
        <v>159</v>
      </c>
      <c r="CE27" s="116" t="s">
        <v>19</v>
      </c>
      <c r="CF27" s="116" t="s">
        <v>165</v>
      </c>
      <c r="CG27" s="116" t="s">
        <v>150</v>
      </c>
      <c r="CH27" s="116" t="s">
        <v>176</v>
      </c>
      <c r="CI27" s="116" t="s">
        <v>158</v>
      </c>
      <c r="CJ27" s="116" t="s">
        <v>177</v>
      </c>
      <c r="CK27" s="120" t="s">
        <v>178</v>
      </c>
      <c r="CL27" s="121" t="s">
        <v>187</v>
      </c>
      <c r="CM27" s="120" t="s">
        <v>188</v>
      </c>
      <c r="CN27" s="120" t="s">
        <v>189</v>
      </c>
      <c r="CO27" s="120" t="s">
        <v>195</v>
      </c>
      <c r="CP27" s="120" t="s">
        <v>2</v>
      </c>
      <c r="CQ27" s="120" t="s">
        <v>196</v>
      </c>
      <c r="CR27" s="120" t="s">
        <v>197</v>
      </c>
      <c r="CS27" s="120" t="s">
        <v>59</v>
      </c>
      <c r="CT27" s="120" t="s">
        <v>212</v>
      </c>
      <c r="CU27" s="120" t="s">
        <v>213</v>
      </c>
      <c r="CV27" s="120" t="s">
        <v>168</v>
      </c>
      <c r="CW27" s="120" t="s">
        <v>169</v>
      </c>
    </row>
    <row r="28" spans="2:101" s="170" customFormat="1" ht="12" x14ac:dyDescent="0.25">
      <c r="B28" s="123" t="str">
        <f t="shared" ref="B28" si="322">"Q" &amp; IF(ROUNDUP(MONTH(D28)/3,0)-1=0,4,ROUNDUP(MONTH(D28)/3,0)-1)</f>
        <v>Q1</v>
      </c>
      <c r="C28" s="124" t="str">
        <f t="shared" ref="C28" si="323">TEXT(AN28,"mmm-yy")</f>
        <v>Apr-26</v>
      </c>
      <c r="D28" s="125">
        <v>46133</v>
      </c>
      <c r="E28" s="126" t="s">
        <v>240</v>
      </c>
      <c r="F28" s="126" t="s">
        <v>322</v>
      </c>
      <c r="G28" s="126" t="s">
        <v>323</v>
      </c>
      <c r="H28" s="127" t="s">
        <v>324</v>
      </c>
      <c r="I28" s="125">
        <v>46133</v>
      </c>
      <c r="J28" s="126" t="s">
        <v>325</v>
      </c>
      <c r="K28" s="125">
        <v>46133</v>
      </c>
      <c r="L28" s="126" t="s">
        <v>326</v>
      </c>
      <c r="M28" s="126" t="s">
        <v>240</v>
      </c>
      <c r="N28" s="127" t="s">
        <v>327</v>
      </c>
      <c r="O28" s="126">
        <v>4</v>
      </c>
      <c r="P28" s="280">
        <v>20000</v>
      </c>
      <c r="Q28" s="128">
        <f t="shared" ref="Q28:Q32" si="324">O28*P28</f>
        <v>80000</v>
      </c>
      <c r="R28" s="129">
        <v>0</v>
      </c>
      <c r="S28" s="128">
        <f t="shared" ref="S28" si="325">O28-R28</f>
        <v>4</v>
      </c>
      <c r="T28" s="129">
        <v>0</v>
      </c>
      <c r="U28" s="130">
        <v>0</v>
      </c>
      <c r="V28" s="131">
        <v>0</v>
      </c>
      <c r="W28" s="130">
        <v>0</v>
      </c>
      <c r="X28" s="130">
        <v>0</v>
      </c>
      <c r="Y28" s="130">
        <v>0</v>
      </c>
      <c r="Z28" s="130">
        <v>0</v>
      </c>
      <c r="AA28" s="129">
        <v>0</v>
      </c>
      <c r="AB28" s="133">
        <f t="shared" ref="AB28" si="326">Y28+AA28+Z28</f>
        <v>0</v>
      </c>
      <c r="AC28" s="133">
        <v>0</v>
      </c>
      <c r="AD28" s="129">
        <v>0</v>
      </c>
      <c r="AE28" s="130">
        <v>0</v>
      </c>
      <c r="AF28" s="130">
        <v>0</v>
      </c>
      <c r="AG28" s="336">
        <v>0</v>
      </c>
      <c r="AH28" s="130">
        <v>0</v>
      </c>
      <c r="AI28" s="131">
        <v>0</v>
      </c>
      <c r="AJ28" s="130">
        <v>0</v>
      </c>
      <c r="AK28" s="130">
        <v>0</v>
      </c>
      <c r="AL28" s="130">
        <v>0</v>
      </c>
      <c r="AM28" s="134">
        <f t="shared" ref="AM28" si="327">Q28+AB28+AL28+AK28+AJ28+T28+AE28</f>
        <v>80000</v>
      </c>
      <c r="AN28" s="135">
        <f>D28</f>
        <v>46133</v>
      </c>
      <c r="AO28" s="136">
        <v>0</v>
      </c>
      <c r="AP28" s="137">
        <v>0</v>
      </c>
      <c r="AQ28" s="138">
        <v>0</v>
      </c>
      <c r="AR28" s="138">
        <v>0</v>
      </c>
      <c r="AS28" s="126">
        <v>0</v>
      </c>
      <c r="AT28" s="139">
        <v>0</v>
      </c>
      <c r="AU28" s="140">
        <v>0</v>
      </c>
      <c r="AV28" s="140">
        <v>0</v>
      </c>
      <c r="AW28" s="138">
        <v>0</v>
      </c>
      <c r="AX28" s="326">
        <v>0</v>
      </c>
      <c r="AY28" s="138">
        <f t="shared" ref="AY28" si="328">AW28*AX28</f>
        <v>0</v>
      </c>
      <c r="AZ28" s="141" t="b">
        <f t="shared" ref="AZ28" si="329">AW28=O28</f>
        <v>0</v>
      </c>
      <c r="BA28" s="128">
        <v>0</v>
      </c>
      <c r="BB28" s="142">
        <f t="shared" ref="BB28" si="330">AW28-BA28</f>
        <v>0</v>
      </c>
      <c r="BC28" s="143">
        <v>0</v>
      </c>
      <c r="BD28" s="142" t="s">
        <v>115</v>
      </c>
      <c r="BE28" s="143">
        <v>0</v>
      </c>
      <c r="BF28" s="142">
        <v>0</v>
      </c>
      <c r="BG28" s="143">
        <v>0</v>
      </c>
      <c r="BH28" s="131">
        <v>0</v>
      </c>
      <c r="BI28" s="337">
        <v>0</v>
      </c>
      <c r="BJ28" s="131">
        <v>0</v>
      </c>
      <c r="BK28" s="128">
        <v>0</v>
      </c>
      <c r="BL28" s="138">
        <v>0</v>
      </c>
      <c r="BM28" s="138">
        <v>0</v>
      </c>
      <c r="BN28" s="144">
        <v>0</v>
      </c>
      <c r="BO28" s="129">
        <f t="shared" ref="BO28" si="331">AY28+BL28+BM28+BN28+BC28+BG28</f>
        <v>0</v>
      </c>
      <c r="BP28" s="134">
        <f>BO28-AM28</f>
        <v>-80000</v>
      </c>
      <c r="BQ28" s="143" t="str">
        <f t="shared" ref="BQ28" si="332">IF(BP28&gt;=0,"Positive Margin","Negative Margin")</f>
        <v>Negative Margin</v>
      </c>
      <c r="BR28" s="145" t="s">
        <v>289</v>
      </c>
      <c r="BS28" s="128">
        <f t="shared" ref="BS28" si="333">AY28-Y28-Q28-AA28-T28+BC28</f>
        <v>-80000</v>
      </c>
      <c r="BT28" s="146" t="str">
        <f t="shared" ref="BT28" si="334">IF(BS28&lt;0, "Negative Margin at Inception", "Positive Margin at Inception")</f>
        <v>Negative Margin at Inception</v>
      </c>
      <c r="BU28" s="147" t="str">
        <f t="shared" ref="BU28" si="335">IFERROR(BP28/BO28,"0")</f>
        <v>0</v>
      </c>
      <c r="BV28" s="146" t="str">
        <f t="shared" ref="BV28" si="336">IF(BU28&lt;1%,"Less Than 1%",IF(BU28&gt;2%,"More than 2%",IF(BU28&gt;=1%,"1% - 2%")))</f>
        <v>More than 2%</v>
      </c>
      <c r="BW28" s="128">
        <f t="shared" ref="BW28" si="337">BM28+BN28</f>
        <v>0</v>
      </c>
      <c r="BX28" s="129">
        <f t="shared" ref="BX28" si="338">AL28+AK28</f>
        <v>0</v>
      </c>
      <c r="BY28" s="128">
        <f t="shared" ref="BY28" si="339">BW28-BX28</f>
        <v>0</v>
      </c>
      <c r="BZ28" s="148">
        <f t="shared" ref="BZ28" si="340">BM28</f>
        <v>0</v>
      </c>
      <c r="CA28" s="148">
        <f t="shared" ref="CA28" si="341">AK28</f>
        <v>0</v>
      </c>
      <c r="CB28" s="130">
        <f t="shared" ref="CB28" si="342">BZ28-CA28</f>
        <v>0</v>
      </c>
      <c r="CC28" s="148" t="s">
        <v>222</v>
      </c>
      <c r="CD28" s="130">
        <v>0</v>
      </c>
      <c r="CE28" s="130" t="str">
        <f t="shared" ref="CE28" si="343">TEXT(AN28,"mmm-yy")</f>
        <v>Apr-26</v>
      </c>
      <c r="CF28" s="130">
        <f t="shared" ref="CF28" si="344">AM28-AL28-AA28</f>
        <v>80000</v>
      </c>
      <c r="CG28" s="130">
        <f t="shared" ref="CG28" si="345">BO28-BN28</f>
        <v>0</v>
      </c>
      <c r="CH28" s="130">
        <f t="shared" ref="CH28" si="346">INT((D28- IF(MONTH(D28) &gt;= 4, DATE(YEAR(D28), 4, 1), DATE(YEAR(D28)-1, 4, 1))) / 7) + 1</f>
        <v>3</v>
      </c>
      <c r="CI28" s="149" t="s">
        <v>223</v>
      </c>
      <c r="CJ28" s="130" t="s">
        <v>223</v>
      </c>
      <c r="CK28" s="130">
        <v>0</v>
      </c>
      <c r="CL28" s="130">
        <f t="shared" ref="CL28" si="347">AY28-Q28</f>
        <v>-80000</v>
      </c>
      <c r="CM28" s="130">
        <f t="shared" ref="CM28" si="348">CL28-Y28+Z28</f>
        <v>-80000</v>
      </c>
      <c r="CN28" s="130">
        <f t="shared" ref="CN28" si="349">BO28-AM28</f>
        <v>-80000</v>
      </c>
      <c r="CO28" s="130">
        <f t="shared" ref="CO28" si="350">AY28*118%</f>
        <v>0</v>
      </c>
      <c r="CP28" s="130">
        <f t="shared" ref="CP28" si="351">-Q28*118%</f>
        <v>-94400</v>
      </c>
      <c r="CQ28" s="130">
        <f t="shared" ref="CQ28" si="352">-BZ28*118%</f>
        <v>0</v>
      </c>
      <c r="CR28" s="130">
        <f t="shared" ref="CR28" si="353">-CA28*118%</f>
        <v>0</v>
      </c>
      <c r="CS28" s="130">
        <f t="shared" ref="CS28" si="354">SUM(CO28:CR28)</f>
        <v>-94400</v>
      </c>
      <c r="CT28" s="130" t="s">
        <v>214</v>
      </c>
      <c r="CU28" s="130" t="s">
        <v>214</v>
      </c>
      <c r="CV28" s="144" t="str">
        <f t="shared" ref="CV28" si="355">MID(G28,3,10)</f>
        <v>AAICT1418L</v>
      </c>
      <c r="CW28" s="144" t="str">
        <f t="shared" ref="CW28" si="356">MID(AR28,3,10)</f>
        <v/>
      </c>
    </row>
    <row r="29" spans="2:101" s="170" customFormat="1" ht="12" x14ac:dyDescent="0.25">
      <c r="B29" s="123" t="str">
        <f t="shared" ref="B29:B32" si="357">"Q" &amp; IF(ROUNDUP(MONTH(D29)/3,0)-1=0,4,ROUNDUP(MONTH(D29)/3,0)-1)</f>
        <v>Q1</v>
      </c>
      <c r="C29" s="124" t="str">
        <f t="shared" ref="C29:C32" si="358">TEXT(AN29,"mmm-yy")</f>
        <v>Apr-26</v>
      </c>
      <c r="D29" s="125">
        <v>46133</v>
      </c>
      <c r="E29" s="126" t="s">
        <v>240</v>
      </c>
      <c r="F29" s="126" t="s">
        <v>254</v>
      </c>
      <c r="G29" s="126" t="s">
        <v>279</v>
      </c>
      <c r="H29" s="127" t="s">
        <v>328</v>
      </c>
      <c r="I29" s="125">
        <v>46098</v>
      </c>
      <c r="J29" s="126" t="s">
        <v>329</v>
      </c>
      <c r="K29" s="125">
        <v>46133</v>
      </c>
      <c r="L29" s="126" t="s">
        <v>281</v>
      </c>
      <c r="M29" s="126" t="s">
        <v>240</v>
      </c>
      <c r="N29" s="127" t="s">
        <v>330</v>
      </c>
      <c r="O29" s="126">
        <v>1</v>
      </c>
      <c r="P29" s="280">
        <v>49905</v>
      </c>
      <c r="Q29" s="128">
        <f t="shared" si="324"/>
        <v>49905</v>
      </c>
      <c r="R29" s="129">
        <v>0</v>
      </c>
      <c r="S29" s="128">
        <f t="shared" ref="S29:S32" si="359">O29-R29</f>
        <v>1</v>
      </c>
      <c r="T29" s="129">
        <v>0</v>
      </c>
      <c r="U29" s="130">
        <v>0</v>
      </c>
      <c r="V29" s="131">
        <v>0</v>
      </c>
      <c r="W29" s="130">
        <v>0</v>
      </c>
      <c r="X29" s="130">
        <v>0</v>
      </c>
      <c r="Y29" s="130">
        <v>0</v>
      </c>
      <c r="Z29" s="130">
        <v>0</v>
      </c>
      <c r="AA29" s="129">
        <v>0</v>
      </c>
      <c r="AB29" s="133">
        <f t="shared" ref="AB29:AB32" si="360">Y29+AA29+Z29</f>
        <v>0</v>
      </c>
      <c r="AC29" s="133">
        <v>0</v>
      </c>
      <c r="AD29" s="129">
        <v>0</v>
      </c>
      <c r="AE29" s="130">
        <v>0</v>
      </c>
      <c r="AF29" s="130">
        <v>0</v>
      </c>
      <c r="AG29" s="336">
        <v>0</v>
      </c>
      <c r="AH29" s="130">
        <v>0</v>
      </c>
      <c r="AI29" s="131">
        <v>0</v>
      </c>
      <c r="AJ29" s="130">
        <v>0</v>
      </c>
      <c r="AK29" s="130">
        <v>0</v>
      </c>
      <c r="AL29" s="130">
        <v>0</v>
      </c>
      <c r="AM29" s="134">
        <f t="shared" ref="AM29:AM32" si="361">Q29+AB29+AL29+AK29+AJ29+T29+AE29</f>
        <v>49905</v>
      </c>
      <c r="AN29" s="135">
        <f t="shared" ref="AN29:AN32" si="362">D29</f>
        <v>46133</v>
      </c>
      <c r="AO29" s="136">
        <v>0</v>
      </c>
      <c r="AP29" s="137">
        <v>0</v>
      </c>
      <c r="AQ29" s="138">
        <v>0</v>
      </c>
      <c r="AR29" s="138">
        <v>0</v>
      </c>
      <c r="AS29" s="126">
        <v>0</v>
      </c>
      <c r="AT29" s="139">
        <v>0</v>
      </c>
      <c r="AU29" s="140">
        <v>0</v>
      </c>
      <c r="AV29" s="140">
        <v>0</v>
      </c>
      <c r="AW29" s="138">
        <v>0</v>
      </c>
      <c r="AX29" s="326">
        <v>0</v>
      </c>
      <c r="AY29" s="138">
        <f t="shared" ref="AY29:AY32" si="363">AW29*AX29</f>
        <v>0</v>
      </c>
      <c r="AZ29" s="141" t="b">
        <f t="shared" ref="AZ29:AZ32" si="364">AW29=O29</f>
        <v>0</v>
      </c>
      <c r="BA29" s="128">
        <v>0</v>
      </c>
      <c r="BB29" s="142">
        <f t="shared" ref="BB29:BB32" si="365">AW29-BA29</f>
        <v>0</v>
      </c>
      <c r="BC29" s="143">
        <v>0</v>
      </c>
      <c r="BD29" s="142" t="s">
        <v>115</v>
      </c>
      <c r="BE29" s="143">
        <v>0</v>
      </c>
      <c r="BF29" s="142">
        <v>0</v>
      </c>
      <c r="BG29" s="143">
        <v>0</v>
      </c>
      <c r="BH29" s="131">
        <v>0</v>
      </c>
      <c r="BI29" s="337">
        <v>0</v>
      </c>
      <c r="BJ29" s="131">
        <v>0</v>
      </c>
      <c r="BK29" s="128">
        <v>0</v>
      </c>
      <c r="BL29" s="138">
        <v>0</v>
      </c>
      <c r="BM29" s="138">
        <v>0</v>
      </c>
      <c r="BN29" s="144">
        <v>0</v>
      </c>
      <c r="BO29" s="129">
        <f t="shared" ref="BO29:BO32" si="366">AY29+BL29+BM29+BN29+BC29+BG29</f>
        <v>0</v>
      </c>
      <c r="BP29" s="134">
        <f t="shared" ref="BP29:BP32" si="367">BO29-AM29</f>
        <v>-49905</v>
      </c>
      <c r="BQ29" s="143" t="str">
        <f t="shared" ref="BQ29:BQ32" si="368">IF(BP29&gt;=0,"Positive Margin","Negative Margin")</f>
        <v>Negative Margin</v>
      </c>
      <c r="BR29" s="145" t="s">
        <v>289</v>
      </c>
      <c r="BS29" s="128">
        <f t="shared" ref="BS29:BS32" si="369">AY29-Y29-Q29-AA29-T29+BC29</f>
        <v>-49905</v>
      </c>
      <c r="BT29" s="146" t="str">
        <f t="shared" ref="BT29:BT32" si="370">IF(BS29&lt;0, "Negative Margin at Inception", "Positive Margin at Inception")</f>
        <v>Negative Margin at Inception</v>
      </c>
      <c r="BU29" s="147" t="str">
        <f t="shared" ref="BU29:BU32" si="371">IFERROR(BP29/BO29,"0")</f>
        <v>0</v>
      </c>
      <c r="BV29" s="146" t="str">
        <f t="shared" ref="BV29:BV32" si="372">IF(BU29&lt;1%,"Less Than 1%",IF(BU29&gt;2%,"More than 2%",IF(BU29&gt;=1%,"1% - 2%")))</f>
        <v>More than 2%</v>
      </c>
      <c r="BW29" s="128">
        <f t="shared" ref="BW29:BW32" si="373">BM29+BN29</f>
        <v>0</v>
      </c>
      <c r="BX29" s="129">
        <f t="shared" ref="BX29:BX32" si="374">AL29+AK29</f>
        <v>0</v>
      </c>
      <c r="BY29" s="128">
        <f t="shared" ref="BY29:BY32" si="375">BW29-BX29</f>
        <v>0</v>
      </c>
      <c r="BZ29" s="148">
        <f t="shared" ref="BZ29:BZ32" si="376">BM29</f>
        <v>0</v>
      </c>
      <c r="CA29" s="148">
        <f t="shared" ref="CA29:CA32" si="377">AK29</f>
        <v>0</v>
      </c>
      <c r="CB29" s="130">
        <f t="shared" ref="CB29:CB32" si="378">BZ29-CA29</f>
        <v>0</v>
      </c>
      <c r="CC29" s="148" t="s">
        <v>222</v>
      </c>
      <c r="CD29" s="130">
        <v>0</v>
      </c>
      <c r="CE29" s="130" t="str">
        <f t="shared" ref="CE29:CE32" si="379">TEXT(AN29,"mmm-yy")</f>
        <v>Apr-26</v>
      </c>
      <c r="CF29" s="130">
        <f t="shared" ref="CF29:CF32" si="380">AM29-AL29-AA29</f>
        <v>49905</v>
      </c>
      <c r="CG29" s="130">
        <f t="shared" ref="CG29:CG32" si="381">BO29-BN29</f>
        <v>0</v>
      </c>
      <c r="CH29" s="130">
        <f t="shared" ref="CH29:CH32" si="382">INT((D29- IF(MONTH(D29) &gt;= 4, DATE(YEAR(D29), 4, 1), DATE(YEAR(D29)-1, 4, 1))) / 7) + 1</f>
        <v>3</v>
      </c>
      <c r="CI29" s="149" t="s">
        <v>223</v>
      </c>
      <c r="CJ29" s="130" t="s">
        <v>223</v>
      </c>
      <c r="CK29" s="130">
        <v>0</v>
      </c>
      <c r="CL29" s="130">
        <f t="shared" ref="CL29:CL32" si="383">AY29-Q29</f>
        <v>-49905</v>
      </c>
      <c r="CM29" s="130">
        <f t="shared" ref="CM29:CM32" si="384">CL29-Y29+Z29</f>
        <v>-49905</v>
      </c>
      <c r="CN29" s="130">
        <f t="shared" ref="CN29:CN32" si="385">BO29-AM29</f>
        <v>-49905</v>
      </c>
      <c r="CO29" s="130">
        <f t="shared" ref="CO29:CO32" si="386">AY29*118%</f>
        <v>0</v>
      </c>
      <c r="CP29" s="130">
        <f t="shared" ref="CP29:CP32" si="387">-Q29*118%</f>
        <v>-58887.899999999994</v>
      </c>
      <c r="CQ29" s="130">
        <f t="shared" ref="CQ29:CQ32" si="388">-BZ29*118%</f>
        <v>0</v>
      </c>
      <c r="CR29" s="130">
        <f t="shared" ref="CR29:CR32" si="389">-CA29*118%</f>
        <v>0</v>
      </c>
      <c r="CS29" s="130">
        <f t="shared" ref="CS29:CS32" si="390">SUM(CO29:CR29)</f>
        <v>-58887.899999999994</v>
      </c>
      <c r="CT29" s="130" t="s">
        <v>214</v>
      </c>
      <c r="CU29" s="130" t="s">
        <v>214</v>
      </c>
      <c r="CV29" s="144" t="str">
        <f t="shared" ref="CV29:CV32" si="391">MID(G29,3,10)</f>
        <v>ANHPG0363J</v>
      </c>
      <c r="CW29" s="144" t="str">
        <f t="shared" ref="CW29:CW32" si="392">MID(AR29,3,10)</f>
        <v/>
      </c>
    </row>
    <row r="30" spans="2:101" s="170" customFormat="1" ht="12" x14ac:dyDescent="0.25">
      <c r="B30" s="123" t="str">
        <f t="shared" si="357"/>
        <v>Q1</v>
      </c>
      <c r="C30" s="124" t="str">
        <f t="shared" si="358"/>
        <v>Apr-26</v>
      </c>
      <c r="D30" s="125">
        <v>46133</v>
      </c>
      <c r="E30" s="126" t="s">
        <v>240</v>
      </c>
      <c r="F30" s="126" t="s">
        <v>254</v>
      </c>
      <c r="G30" s="126" t="s">
        <v>279</v>
      </c>
      <c r="H30" s="127" t="s">
        <v>331</v>
      </c>
      <c r="I30" s="125">
        <v>46098</v>
      </c>
      <c r="J30" s="126" t="s">
        <v>332</v>
      </c>
      <c r="K30" s="125">
        <v>46133</v>
      </c>
      <c r="L30" s="126" t="s">
        <v>281</v>
      </c>
      <c r="M30" s="126" t="s">
        <v>240</v>
      </c>
      <c r="N30" s="127" t="s">
        <v>333</v>
      </c>
      <c r="O30" s="126">
        <v>1</v>
      </c>
      <c r="P30" s="280">
        <v>133200</v>
      </c>
      <c r="Q30" s="128">
        <f t="shared" si="324"/>
        <v>133200</v>
      </c>
      <c r="R30" s="129">
        <v>0</v>
      </c>
      <c r="S30" s="128">
        <f t="shared" si="359"/>
        <v>1</v>
      </c>
      <c r="T30" s="129">
        <v>0</v>
      </c>
      <c r="U30" s="130">
        <v>0</v>
      </c>
      <c r="V30" s="131">
        <v>0</v>
      </c>
      <c r="W30" s="130">
        <v>0</v>
      </c>
      <c r="X30" s="130">
        <v>0</v>
      </c>
      <c r="Y30" s="130">
        <v>0</v>
      </c>
      <c r="Z30" s="130">
        <v>0</v>
      </c>
      <c r="AA30" s="129">
        <v>0</v>
      </c>
      <c r="AB30" s="133">
        <f t="shared" si="360"/>
        <v>0</v>
      </c>
      <c r="AC30" s="133">
        <v>0</v>
      </c>
      <c r="AD30" s="129">
        <v>0</v>
      </c>
      <c r="AE30" s="130">
        <v>0</v>
      </c>
      <c r="AF30" s="130">
        <v>0</v>
      </c>
      <c r="AG30" s="336">
        <v>0</v>
      </c>
      <c r="AH30" s="130">
        <v>0</v>
      </c>
      <c r="AI30" s="131">
        <v>0</v>
      </c>
      <c r="AJ30" s="130">
        <v>0</v>
      </c>
      <c r="AK30" s="130">
        <v>0</v>
      </c>
      <c r="AL30" s="130">
        <v>0</v>
      </c>
      <c r="AM30" s="134">
        <f t="shared" si="361"/>
        <v>133200</v>
      </c>
      <c r="AN30" s="135">
        <f t="shared" si="362"/>
        <v>46133</v>
      </c>
      <c r="AO30" s="136">
        <v>0</v>
      </c>
      <c r="AP30" s="137">
        <v>0</v>
      </c>
      <c r="AQ30" s="138">
        <v>0</v>
      </c>
      <c r="AR30" s="138">
        <v>0</v>
      </c>
      <c r="AS30" s="126">
        <v>0</v>
      </c>
      <c r="AT30" s="139">
        <v>0</v>
      </c>
      <c r="AU30" s="140">
        <v>0</v>
      </c>
      <c r="AV30" s="140">
        <v>0</v>
      </c>
      <c r="AW30" s="138">
        <v>0</v>
      </c>
      <c r="AX30" s="326">
        <v>0</v>
      </c>
      <c r="AY30" s="138">
        <f t="shared" si="363"/>
        <v>0</v>
      </c>
      <c r="AZ30" s="141" t="b">
        <f t="shared" si="364"/>
        <v>0</v>
      </c>
      <c r="BA30" s="128">
        <v>0</v>
      </c>
      <c r="BB30" s="142">
        <f t="shared" si="365"/>
        <v>0</v>
      </c>
      <c r="BC30" s="143">
        <v>0</v>
      </c>
      <c r="BD30" s="142" t="s">
        <v>115</v>
      </c>
      <c r="BE30" s="143">
        <v>0</v>
      </c>
      <c r="BF30" s="142">
        <v>0</v>
      </c>
      <c r="BG30" s="143">
        <v>0</v>
      </c>
      <c r="BH30" s="131">
        <v>0</v>
      </c>
      <c r="BI30" s="337">
        <v>0</v>
      </c>
      <c r="BJ30" s="131">
        <v>0</v>
      </c>
      <c r="BK30" s="128">
        <v>0</v>
      </c>
      <c r="BL30" s="138">
        <v>0</v>
      </c>
      <c r="BM30" s="138">
        <v>0</v>
      </c>
      <c r="BN30" s="144">
        <v>0</v>
      </c>
      <c r="BO30" s="129">
        <f t="shared" si="366"/>
        <v>0</v>
      </c>
      <c r="BP30" s="134">
        <f t="shared" si="367"/>
        <v>-133200</v>
      </c>
      <c r="BQ30" s="143" t="str">
        <f t="shared" si="368"/>
        <v>Negative Margin</v>
      </c>
      <c r="BR30" s="145" t="s">
        <v>289</v>
      </c>
      <c r="BS30" s="128">
        <f t="shared" si="369"/>
        <v>-133200</v>
      </c>
      <c r="BT30" s="146" t="str">
        <f t="shared" si="370"/>
        <v>Negative Margin at Inception</v>
      </c>
      <c r="BU30" s="147" t="str">
        <f t="shared" si="371"/>
        <v>0</v>
      </c>
      <c r="BV30" s="146" t="str">
        <f t="shared" si="372"/>
        <v>More than 2%</v>
      </c>
      <c r="BW30" s="128">
        <f t="shared" si="373"/>
        <v>0</v>
      </c>
      <c r="BX30" s="129">
        <f t="shared" si="374"/>
        <v>0</v>
      </c>
      <c r="BY30" s="128">
        <f t="shared" si="375"/>
        <v>0</v>
      </c>
      <c r="BZ30" s="148">
        <f t="shared" si="376"/>
        <v>0</v>
      </c>
      <c r="CA30" s="148">
        <f t="shared" si="377"/>
        <v>0</v>
      </c>
      <c r="CB30" s="130">
        <f t="shared" si="378"/>
        <v>0</v>
      </c>
      <c r="CC30" s="148" t="s">
        <v>222</v>
      </c>
      <c r="CD30" s="130">
        <v>0</v>
      </c>
      <c r="CE30" s="130" t="str">
        <f t="shared" si="379"/>
        <v>Apr-26</v>
      </c>
      <c r="CF30" s="130">
        <f t="shared" si="380"/>
        <v>133200</v>
      </c>
      <c r="CG30" s="130">
        <f t="shared" si="381"/>
        <v>0</v>
      </c>
      <c r="CH30" s="130">
        <f t="shared" si="382"/>
        <v>3</v>
      </c>
      <c r="CI30" s="149" t="s">
        <v>223</v>
      </c>
      <c r="CJ30" s="130" t="s">
        <v>223</v>
      </c>
      <c r="CK30" s="130">
        <v>0</v>
      </c>
      <c r="CL30" s="130">
        <f t="shared" si="383"/>
        <v>-133200</v>
      </c>
      <c r="CM30" s="130">
        <f t="shared" si="384"/>
        <v>-133200</v>
      </c>
      <c r="CN30" s="130">
        <f t="shared" si="385"/>
        <v>-133200</v>
      </c>
      <c r="CO30" s="130">
        <f t="shared" si="386"/>
        <v>0</v>
      </c>
      <c r="CP30" s="130">
        <f t="shared" si="387"/>
        <v>-157176</v>
      </c>
      <c r="CQ30" s="130">
        <f t="shared" si="388"/>
        <v>0</v>
      </c>
      <c r="CR30" s="130">
        <f t="shared" si="389"/>
        <v>0</v>
      </c>
      <c r="CS30" s="130">
        <f t="shared" si="390"/>
        <v>-157176</v>
      </c>
      <c r="CT30" s="130" t="s">
        <v>214</v>
      </c>
      <c r="CU30" s="130" t="s">
        <v>214</v>
      </c>
      <c r="CV30" s="144" t="str">
        <f t="shared" si="391"/>
        <v>ANHPG0363J</v>
      </c>
      <c r="CW30" s="144" t="str">
        <f t="shared" si="392"/>
        <v/>
      </c>
    </row>
    <row r="31" spans="2:101" s="170" customFormat="1" ht="12" x14ac:dyDescent="0.25">
      <c r="B31" s="123" t="str">
        <f t="shared" si="357"/>
        <v>Q1</v>
      </c>
      <c r="C31" s="124" t="str">
        <f t="shared" si="358"/>
        <v>Apr-26</v>
      </c>
      <c r="D31" s="125">
        <v>46136</v>
      </c>
      <c r="E31" s="126" t="s">
        <v>240</v>
      </c>
      <c r="F31" s="126" t="s">
        <v>254</v>
      </c>
      <c r="G31" s="126" t="s">
        <v>279</v>
      </c>
      <c r="H31" s="127" t="s">
        <v>251</v>
      </c>
      <c r="I31" s="125">
        <v>46136</v>
      </c>
      <c r="J31" s="126" t="s">
        <v>334</v>
      </c>
      <c r="K31" s="125">
        <v>46136</v>
      </c>
      <c r="L31" s="126" t="s">
        <v>281</v>
      </c>
      <c r="M31" s="126" t="s">
        <v>240</v>
      </c>
      <c r="N31" s="127" t="s">
        <v>335</v>
      </c>
      <c r="O31" s="126">
        <v>3810</v>
      </c>
      <c r="P31" s="280">
        <v>7.1</v>
      </c>
      <c r="Q31" s="128">
        <f t="shared" si="324"/>
        <v>27051</v>
      </c>
      <c r="R31" s="129">
        <v>0</v>
      </c>
      <c r="S31" s="128">
        <f t="shared" si="359"/>
        <v>3810</v>
      </c>
      <c r="T31" s="129">
        <v>0</v>
      </c>
      <c r="U31" s="130">
        <v>0</v>
      </c>
      <c r="V31" s="131">
        <v>0</v>
      </c>
      <c r="W31" s="130">
        <v>0</v>
      </c>
      <c r="X31" s="130">
        <v>0</v>
      </c>
      <c r="Y31" s="130">
        <v>0</v>
      </c>
      <c r="Z31" s="130">
        <v>0</v>
      </c>
      <c r="AA31" s="129">
        <v>0</v>
      </c>
      <c r="AB31" s="133">
        <f t="shared" si="360"/>
        <v>0</v>
      </c>
      <c r="AC31" s="133">
        <v>0</v>
      </c>
      <c r="AD31" s="129">
        <v>0</v>
      </c>
      <c r="AE31" s="130">
        <v>0</v>
      </c>
      <c r="AF31" s="130">
        <v>0</v>
      </c>
      <c r="AG31" s="336">
        <v>0</v>
      </c>
      <c r="AH31" s="130">
        <v>0</v>
      </c>
      <c r="AI31" s="131">
        <v>0</v>
      </c>
      <c r="AJ31" s="130">
        <v>0</v>
      </c>
      <c r="AK31" s="130">
        <v>0</v>
      </c>
      <c r="AL31" s="130">
        <v>0</v>
      </c>
      <c r="AM31" s="134">
        <f t="shared" si="361"/>
        <v>27051</v>
      </c>
      <c r="AN31" s="135">
        <f t="shared" si="362"/>
        <v>46136</v>
      </c>
      <c r="AO31" s="136">
        <v>0</v>
      </c>
      <c r="AP31" s="137">
        <v>0</v>
      </c>
      <c r="AQ31" s="138">
        <v>0</v>
      </c>
      <c r="AR31" s="138">
        <v>0</v>
      </c>
      <c r="AS31" s="126">
        <v>0</v>
      </c>
      <c r="AT31" s="139">
        <v>0</v>
      </c>
      <c r="AU31" s="140">
        <v>0</v>
      </c>
      <c r="AV31" s="140">
        <v>0</v>
      </c>
      <c r="AW31" s="138">
        <v>0</v>
      </c>
      <c r="AX31" s="326">
        <v>0</v>
      </c>
      <c r="AY31" s="138">
        <f t="shared" si="363"/>
        <v>0</v>
      </c>
      <c r="AZ31" s="141" t="b">
        <f t="shared" si="364"/>
        <v>0</v>
      </c>
      <c r="BA31" s="128">
        <v>0</v>
      </c>
      <c r="BB31" s="142">
        <f t="shared" si="365"/>
        <v>0</v>
      </c>
      <c r="BC31" s="143">
        <v>0</v>
      </c>
      <c r="BD31" s="142" t="s">
        <v>115</v>
      </c>
      <c r="BE31" s="143">
        <v>0</v>
      </c>
      <c r="BF31" s="142">
        <v>0</v>
      </c>
      <c r="BG31" s="143">
        <v>0</v>
      </c>
      <c r="BH31" s="131">
        <v>0</v>
      </c>
      <c r="BI31" s="337">
        <v>0</v>
      </c>
      <c r="BJ31" s="131">
        <v>0</v>
      </c>
      <c r="BK31" s="128">
        <v>0</v>
      </c>
      <c r="BL31" s="138">
        <v>0</v>
      </c>
      <c r="BM31" s="138">
        <v>0</v>
      </c>
      <c r="BN31" s="144">
        <v>0</v>
      </c>
      <c r="BO31" s="129">
        <f t="shared" si="366"/>
        <v>0</v>
      </c>
      <c r="BP31" s="134">
        <f t="shared" si="367"/>
        <v>-27051</v>
      </c>
      <c r="BQ31" s="143" t="str">
        <f t="shared" si="368"/>
        <v>Negative Margin</v>
      </c>
      <c r="BR31" s="145" t="s">
        <v>289</v>
      </c>
      <c r="BS31" s="128">
        <f t="shared" si="369"/>
        <v>-27051</v>
      </c>
      <c r="BT31" s="146" t="str">
        <f t="shared" si="370"/>
        <v>Negative Margin at Inception</v>
      </c>
      <c r="BU31" s="147" t="str">
        <f t="shared" si="371"/>
        <v>0</v>
      </c>
      <c r="BV31" s="146" t="str">
        <f t="shared" si="372"/>
        <v>More than 2%</v>
      </c>
      <c r="BW31" s="128">
        <f t="shared" si="373"/>
        <v>0</v>
      </c>
      <c r="BX31" s="129">
        <f t="shared" si="374"/>
        <v>0</v>
      </c>
      <c r="BY31" s="128">
        <f t="shared" si="375"/>
        <v>0</v>
      </c>
      <c r="BZ31" s="148">
        <f t="shared" si="376"/>
        <v>0</v>
      </c>
      <c r="CA31" s="148">
        <f t="shared" si="377"/>
        <v>0</v>
      </c>
      <c r="CB31" s="130">
        <f t="shared" si="378"/>
        <v>0</v>
      </c>
      <c r="CC31" s="148" t="s">
        <v>222</v>
      </c>
      <c r="CD31" s="130">
        <v>0</v>
      </c>
      <c r="CE31" s="130" t="str">
        <f t="shared" si="379"/>
        <v>Apr-26</v>
      </c>
      <c r="CF31" s="130">
        <f t="shared" si="380"/>
        <v>27051</v>
      </c>
      <c r="CG31" s="130">
        <f t="shared" si="381"/>
        <v>0</v>
      </c>
      <c r="CH31" s="130">
        <f t="shared" si="382"/>
        <v>4</v>
      </c>
      <c r="CI31" s="149" t="s">
        <v>223</v>
      </c>
      <c r="CJ31" s="130" t="s">
        <v>223</v>
      </c>
      <c r="CK31" s="130">
        <v>0</v>
      </c>
      <c r="CL31" s="130">
        <f t="shared" si="383"/>
        <v>-27051</v>
      </c>
      <c r="CM31" s="130">
        <f t="shared" si="384"/>
        <v>-27051</v>
      </c>
      <c r="CN31" s="130">
        <f t="shared" si="385"/>
        <v>-27051</v>
      </c>
      <c r="CO31" s="130">
        <f t="shared" si="386"/>
        <v>0</v>
      </c>
      <c r="CP31" s="130">
        <f t="shared" si="387"/>
        <v>-31920.179999999997</v>
      </c>
      <c r="CQ31" s="130">
        <f t="shared" si="388"/>
        <v>0</v>
      </c>
      <c r="CR31" s="130">
        <f t="shared" si="389"/>
        <v>0</v>
      </c>
      <c r="CS31" s="130">
        <f t="shared" si="390"/>
        <v>-31920.179999999997</v>
      </c>
      <c r="CT31" s="130" t="s">
        <v>214</v>
      </c>
      <c r="CU31" s="130" t="s">
        <v>214</v>
      </c>
      <c r="CV31" s="144" t="str">
        <f t="shared" si="391"/>
        <v>ANHPG0363J</v>
      </c>
      <c r="CW31" s="144" t="str">
        <f t="shared" si="392"/>
        <v/>
      </c>
    </row>
    <row r="32" spans="2:101" s="170" customFormat="1" ht="12" x14ac:dyDescent="0.25">
      <c r="B32" s="123" t="str">
        <f t="shared" si="357"/>
        <v>Q1</v>
      </c>
      <c r="C32" s="124" t="str">
        <f t="shared" si="358"/>
        <v>Apr-26</v>
      </c>
      <c r="D32" s="125">
        <v>46136</v>
      </c>
      <c r="E32" s="126" t="s">
        <v>240</v>
      </c>
      <c r="F32" s="126" t="s">
        <v>254</v>
      </c>
      <c r="G32" s="126" t="s">
        <v>279</v>
      </c>
      <c r="H32" s="127" t="s">
        <v>257</v>
      </c>
      <c r="I32" s="125">
        <v>46136</v>
      </c>
      <c r="J32" s="126" t="s">
        <v>336</v>
      </c>
      <c r="K32" s="125">
        <v>46136</v>
      </c>
      <c r="L32" s="126" t="s">
        <v>281</v>
      </c>
      <c r="M32" s="126" t="s">
        <v>240</v>
      </c>
      <c r="N32" s="127" t="s">
        <v>337</v>
      </c>
      <c r="O32" s="126">
        <v>950</v>
      </c>
      <c r="P32" s="280">
        <v>45</v>
      </c>
      <c r="Q32" s="128">
        <f t="shared" si="324"/>
        <v>42750</v>
      </c>
      <c r="R32" s="129">
        <v>0</v>
      </c>
      <c r="S32" s="128">
        <f t="shared" si="359"/>
        <v>950</v>
      </c>
      <c r="T32" s="129">
        <v>0</v>
      </c>
      <c r="U32" s="130">
        <v>0</v>
      </c>
      <c r="V32" s="131">
        <v>0</v>
      </c>
      <c r="W32" s="130">
        <v>0</v>
      </c>
      <c r="X32" s="130">
        <v>0</v>
      </c>
      <c r="Y32" s="130">
        <v>0</v>
      </c>
      <c r="Z32" s="130">
        <v>0</v>
      </c>
      <c r="AA32" s="129">
        <v>0</v>
      </c>
      <c r="AB32" s="133">
        <f t="shared" si="360"/>
        <v>0</v>
      </c>
      <c r="AC32" s="133">
        <v>0</v>
      </c>
      <c r="AD32" s="129">
        <v>0</v>
      </c>
      <c r="AE32" s="130">
        <v>0</v>
      </c>
      <c r="AF32" s="130">
        <v>0</v>
      </c>
      <c r="AG32" s="336">
        <v>0</v>
      </c>
      <c r="AH32" s="130">
        <v>0</v>
      </c>
      <c r="AI32" s="131">
        <v>0</v>
      </c>
      <c r="AJ32" s="130">
        <v>0</v>
      </c>
      <c r="AK32" s="130">
        <v>0</v>
      </c>
      <c r="AL32" s="130">
        <v>0</v>
      </c>
      <c r="AM32" s="134">
        <f t="shared" si="361"/>
        <v>42750</v>
      </c>
      <c r="AN32" s="135">
        <f t="shared" si="362"/>
        <v>46136</v>
      </c>
      <c r="AO32" s="136">
        <v>0</v>
      </c>
      <c r="AP32" s="137">
        <v>0</v>
      </c>
      <c r="AQ32" s="138">
        <v>0</v>
      </c>
      <c r="AR32" s="138">
        <v>0</v>
      </c>
      <c r="AS32" s="126">
        <v>0</v>
      </c>
      <c r="AT32" s="139">
        <v>0</v>
      </c>
      <c r="AU32" s="140">
        <v>0</v>
      </c>
      <c r="AV32" s="140">
        <v>0</v>
      </c>
      <c r="AW32" s="138">
        <v>0</v>
      </c>
      <c r="AX32" s="326">
        <v>0</v>
      </c>
      <c r="AY32" s="138">
        <f t="shared" si="363"/>
        <v>0</v>
      </c>
      <c r="AZ32" s="141" t="b">
        <f t="shared" si="364"/>
        <v>0</v>
      </c>
      <c r="BA32" s="128">
        <v>0</v>
      </c>
      <c r="BB32" s="142">
        <f t="shared" si="365"/>
        <v>0</v>
      </c>
      <c r="BC32" s="143">
        <v>0</v>
      </c>
      <c r="BD32" s="142" t="s">
        <v>115</v>
      </c>
      <c r="BE32" s="143">
        <v>0</v>
      </c>
      <c r="BF32" s="142">
        <v>0</v>
      </c>
      <c r="BG32" s="143">
        <v>0</v>
      </c>
      <c r="BH32" s="131">
        <v>0</v>
      </c>
      <c r="BI32" s="337">
        <v>0</v>
      </c>
      <c r="BJ32" s="131">
        <v>0</v>
      </c>
      <c r="BK32" s="128">
        <v>0</v>
      </c>
      <c r="BL32" s="138">
        <v>0</v>
      </c>
      <c r="BM32" s="138">
        <v>0</v>
      </c>
      <c r="BN32" s="144">
        <v>0</v>
      </c>
      <c r="BO32" s="129">
        <f t="shared" si="366"/>
        <v>0</v>
      </c>
      <c r="BP32" s="134">
        <f t="shared" si="367"/>
        <v>-42750</v>
      </c>
      <c r="BQ32" s="143" t="str">
        <f t="shared" si="368"/>
        <v>Negative Margin</v>
      </c>
      <c r="BR32" s="145" t="s">
        <v>289</v>
      </c>
      <c r="BS32" s="128">
        <f t="shared" si="369"/>
        <v>-42750</v>
      </c>
      <c r="BT32" s="146" t="str">
        <f t="shared" si="370"/>
        <v>Negative Margin at Inception</v>
      </c>
      <c r="BU32" s="147" t="str">
        <f t="shared" si="371"/>
        <v>0</v>
      </c>
      <c r="BV32" s="146" t="str">
        <f t="shared" si="372"/>
        <v>More than 2%</v>
      </c>
      <c r="BW32" s="128">
        <f t="shared" si="373"/>
        <v>0</v>
      </c>
      <c r="BX32" s="129">
        <f t="shared" si="374"/>
        <v>0</v>
      </c>
      <c r="BY32" s="128">
        <f t="shared" si="375"/>
        <v>0</v>
      </c>
      <c r="BZ32" s="148">
        <f t="shared" si="376"/>
        <v>0</v>
      </c>
      <c r="CA32" s="148">
        <f t="shared" si="377"/>
        <v>0</v>
      </c>
      <c r="CB32" s="130">
        <f t="shared" si="378"/>
        <v>0</v>
      </c>
      <c r="CC32" s="148" t="s">
        <v>222</v>
      </c>
      <c r="CD32" s="130">
        <v>0</v>
      </c>
      <c r="CE32" s="130" t="str">
        <f t="shared" si="379"/>
        <v>Apr-26</v>
      </c>
      <c r="CF32" s="130">
        <f t="shared" si="380"/>
        <v>42750</v>
      </c>
      <c r="CG32" s="130">
        <f t="shared" si="381"/>
        <v>0</v>
      </c>
      <c r="CH32" s="130">
        <f t="shared" si="382"/>
        <v>4</v>
      </c>
      <c r="CI32" s="149" t="s">
        <v>223</v>
      </c>
      <c r="CJ32" s="130" t="s">
        <v>223</v>
      </c>
      <c r="CK32" s="130">
        <v>0</v>
      </c>
      <c r="CL32" s="130">
        <f t="shared" si="383"/>
        <v>-42750</v>
      </c>
      <c r="CM32" s="130">
        <f t="shared" si="384"/>
        <v>-42750</v>
      </c>
      <c r="CN32" s="130">
        <f t="shared" si="385"/>
        <v>-42750</v>
      </c>
      <c r="CO32" s="130">
        <f t="shared" si="386"/>
        <v>0</v>
      </c>
      <c r="CP32" s="130">
        <f t="shared" si="387"/>
        <v>-50445</v>
      </c>
      <c r="CQ32" s="130">
        <f t="shared" si="388"/>
        <v>0</v>
      </c>
      <c r="CR32" s="130">
        <f t="shared" si="389"/>
        <v>0</v>
      </c>
      <c r="CS32" s="130">
        <f t="shared" si="390"/>
        <v>-50445</v>
      </c>
      <c r="CT32" s="130" t="s">
        <v>214</v>
      </c>
      <c r="CU32" s="130" t="s">
        <v>214</v>
      </c>
      <c r="CV32" s="144" t="str">
        <f t="shared" si="391"/>
        <v>ANHPG0363J</v>
      </c>
      <c r="CW32" s="144" t="str">
        <f t="shared" si="392"/>
        <v/>
      </c>
    </row>
    <row r="33" spans="2:101" s="170" customFormat="1" ht="12" x14ac:dyDescent="0.25">
      <c r="B33" s="123" t="str">
        <f t="shared" ref="B33:B34" si="393">"Q" &amp; IF(ROUNDUP(MONTH(D33)/3,0)-1=0,4,ROUNDUP(MONTH(D33)/3,0)-1)</f>
        <v>Q1</v>
      </c>
      <c r="C33" s="124" t="str">
        <f t="shared" ref="C33:C34" si="394">TEXT(AN33,"mmm-yy")</f>
        <v>Apr-26</v>
      </c>
      <c r="D33" s="125">
        <v>46133</v>
      </c>
      <c r="E33" s="126" t="s">
        <v>240</v>
      </c>
      <c r="F33" s="126" t="s">
        <v>254</v>
      </c>
      <c r="G33" s="126" t="s">
        <v>279</v>
      </c>
      <c r="H33" s="127" t="s">
        <v>338</v>
      </c>
      <c r="I33" s="125">
        <v>46098</v>
      </c>
      <c r="J33" s="126" t="s">
        <v>339</v>
      </c>
      <c r="K33" s="125">
        <v>46133</v>
      </c>
      <c r="L33" s="126" t="s">
        <v>281</v>
      </c>
      <c r="M33" s="126" t="s">
        <v>240</v>
      </c>
      <c r="N33" s="127" t="s">
        <v>340</v>
      </c>
      <c r="O33" s="126">
        <v>1</v>
      </c>
      <c r="P33" s="280">
        <v>0</v>
      </c>
      <c r="Q33" s="128">
        <f t="shared" ref="Q33:Q36" si="395">O33*P33</f>
        <v>0</v>
      </c>
      <c r="R33" s="129">
        <v>0</v>
      </c>
      <c r="S33" s="128">
        <f t="shared" ref="S33:S34" si="396">O33-R33</f>
        <v>1</v>
      </c>
      <c r="T33" s="129">
        <v>0</v>
      </c>
      <c r="U33" s="130">
        <v>0</v>
      </c>
      <c r="V33" s="131">
        <v>0</v>
      </c>
      <c r="W33" s="130">
        <v>0</v>
      </c>
      <c r="X33" s="130">
        <v>0</v>
      </c>
      <c r="Y33" s="130">
        <v>42000</v>
      </c>
      <c r="Z33" s="130">
        <v>0</v>
      </c>
      <c r="AA33" s="129">
        <v>0</v>
      </c>
      <c r="AB33" s="133">
        <f t="shared" ref="AB33:AB36" si="397">Y33+AA33+Z33</f>
        <v>42000</v>
      </c>
      <c r="AC33" s="133">
        <v>0</v>
      </c>
      <c r="AD33" s="129">
        <v>0</v>
      </c>
      <c r="AE33" s="130">
        <v>0</v>
      </c>
      <c r="AF33" s="130">
        <v>0</v>
      </c>
      <c r="AG33" s="336">
        <v>0</v>
      </c>
      <c r="AH33" s="130">
        <v>0</v>
      </c>
      <c r="AI33" s="131">
        <v>0</v>
      </c>
      <c r="AJ33" s="130">
        <v>0</v>
      </c>
      <c r="AK33" s="130">
        <v>0</v>
      </c>
      <c r="AL33" s="130">
        <v>0</v>
      </c>
      <c r="AM33" s="134">
        <f t="shared" ref="AM33:AM36" si="398">Q33+AB33+AL33+AK33+AJ33+T33+AE33</f>
        <v>42000</v>
      </c>
      <c r="AN33" s="135">
        <f t="shared" ref="AN33:AN34" si="399">D33</f>
        <v>46133</v>
      </c>
      <c r="AO33" s="136">
        <v>0</v>
      </c>
      <c r="AP33" s="137">
        <v>0</v>
      </c>
      <c r="AQ33" s="138">
        <v>0</v>
      </c>
      <c r="AR33" s="138">
        <v>0</v>
      </c>
      <c r="AS33" s="126">
        <v>0</v>
      </c>
      <c r="AT33" s="139">
        <v>0</v>
      </c>
      <c r="AU33" s="140">
        <v>0</v>
      </c>
      <c r="AV33" s="140">
        <v>0</v>
      </c>
      <c r="AW33" s="138">
        <v>0</v>
      </c>
      <c r="AX33" s="326">
        <v>0</v>
      </c>
      <c r="AY33" s="138">
        <f t="shared" ref="AY33:AY34" si="400">AW33*AX33</f>
        <v>0</v>
      </c>
      <c r="AZ33" s="141" t="b">
        <f t="shared" ref="AZ33:AZ36" si="401">AW33=O33</f>
        <v>0</v>
      </c>
      <c r="BA33" s="128">
        <v>0</v>
      </c>
      <c r="BB33" s="142">
        <f t="shared" ref="BB33:BB34" si="402">AW33-BA33</f>
        <v>0</v>
      </c>
      <c r="BC33" s="143">
        <v>0</v>
      </c>
      <c r="BD33" s="142" t="s">
        <v>115</v>
      </c>
      <c r="BE33" s="143">
        <v>0</v>
      </c>
      <c r="BF33" s="142">
        <v>0</v>
      </c>
      <c r="BG33" s="143">
        <v>0</v>
      </c>
      <c r="BH33" s="131">
        <v>0</v>
      </c>
      <c r="BI33" s="337">
        <v>0</v>
      </c>
      <c r="BJ33" s="131">
        <v>0</v>
      </c>
      <c r="BK33" s="128">
        <v>0</v>
      </c>
      <c r="BL33" s="138">
        <v>0</v>
      </c>
      <c r="BM33" s="138">
        <v>0</v>
      </c>
      <c r="BN33" s="144">
        <v>0</v>
      </c>
      <c r="BO33" s="129">
        <f t="shared" ref="BO33:BO34" si="403">AY33+BL33+BM33+BN33+BC33+BG33</f>
        <v>0</v>
      </c>
      <c r="BP33" s="134">
        <f t="shared" ref="BP33:BP34" si="404">BO33-AM33</f>
        <v>-42000</v>
      </c>
      <c r="BQ33" s="143" t="str">
        <f t="shared" ref="BQ33:BQ34" si="405">IF(BP33&gt;=0,"Positive Margin","Negative Margin")</f>
        <v>Negative Margin</v>
      </c>
      <c r="BR33" s="145" t="s">
        <v>289</v>
      </c>
      <c r="BS33" s="128">
        <f t="shared" ref="BS33:BS34" si="406">AY33-Y33-Q33-AA33-T33+BC33</f>
        <v>-42000</v>
      </c>
      <c r="BT33" s="146" t="str">
        <f t="shared" ref="BT33:BT34" si="407">IF(BS33&lt;0, "Negative Margin at Inception", "Positive Margin at Inception")</f>
        <v>Negative Margin at Inception</v>
      </c>
      <c r="BU33" s="147" t="str">
        <f t="shared" ref="BU33:BU34" si="408">IFERROR(BP33/BO33,"0")</f>
        <v>0</v>
      </c>
      <c r="BV33" s="146" t="str">
        <f t="shared" ref="BV33:BV34" si="409">IF(BU33&lt;1%,"Less Than 1%",IF(BU33&gt;2%,"More than 2%",IF(BU33&gt;=1%,"1% - 2%")))</f>
        <v>More than 2%</v>
      </c>
      <c r="BW33" s="128">
        <f t="shared" ref="BW33:BW34" si="410">BM33+BN33</f>
        <v>0</v>
      </c>
      <c r="BX33" s="129">
        <f t="shared" ref="BX33:BX34" si="411">AL33+AK33</f>
        <v>0</v>
      </c>
      <c r="BY33" s="128">
        <f t="shared" ref="BY33:BY34" si="412">BW33-BX33</f>
        <v>0</v>
      </c>
      <c r="BZ33" s="148">
        <f t="shared" ref="BZ33:BZ34" si="413">BM33</f>
        <v>0</v>
      </c>
      <c r="CA33" s="148">
        <f t="shared" ref="CA33:CA34" si="414">AK33</f>
        <v>0</v>
      </c>
      <c r="CB33" s="130">
        <f t="shared" ref="CB33:CB34" si="415">BZ33-CA33</f>
        <v>0</v>
      </c>
      <c r="CC33" s="148" t="s">
        <v>222</v>
      </c>
      <c r="CD33" s="130">
        <v>0</v>
      </c>
      <c r="CE33" s="130" t="str">
        <f t="shared" ref="CE33:CE34" si="416">TEXT(AN33,"mmm-yy")</f>
        <v>Apr-26</v>
      </c>
      <c r="CF33" s="130">
        <f t="shared" ref="CF33:CF34" si="417">AM33-AL33-AA33</f>
        <v>42000</v>
      </c>
      <c r="CG33" s="130">
        <f t="shared" ref="CG33:CG34" si="418">BO33-BN33</f>
        <v>0</v>
      </c>
      <c r="CH33" s="130">
        <f t="shared" ref="CH33:CH34" si="419">INT((D33- IF(MONTH(D33) &gt;= 4, DATE(YEAR(D33), 4, 1), DATE(YEAR(D33)-1, 4, 1))) / 7) + 1</f>
        <v>3</v>
      </c>
      <c r="CI33" s="149" t="s">
        <v>223</v>
      </c>
      <c r="CJ33" s="130" t="s">
        <v>223</v>
      </c>
      <c r="CK33" s="130">
        <v>0</v>
      </c>
      <c r="CL33" s="130">
        <f t="shared" ref="CL33:CL34" si="420">AY33-Q33</f>
        <v>0</v>
      </c>
      <c r="CM33" s="130">
        <f t="shared" ref="CM33:CM34" si="421">CL33-Y33+Z33</f>
        <v>-42000</v>
      </c>
      <c r="CN33" s="130">
        <f t="shared" ref="CN33:CN34" si="422">BO33-AM33</f>
        <v>-42000</v>
      </c>
      <c r="CO33" s="130">
        <f t="shared" ref="CO33:CO34" si="423">AY33*118%</f>
        <v>0</v>
      </c>
      <c r="CP33" s="130">
        <f t="shared" ref="CP33:CP34" si="424">-Q33*118%</f>
        <v>0</v>
      </c>
      <c r="CQ33" s="130">
        <f t="shared" ref="CQ33:CQ34" si="425">-BZ33*118%</f>
        <v>0</v>
      </c>
      <c r="CR33" s="130">
        <f t="shared" ref="CR33:CR34" si="426">-CA33*118%</f>
        <v>0</v>
      </c>
      <c r="CS33" s="130">
        <f t="shared" ref="CS33:CS34" si="427">SUM(CO33:CR33)</f>
        <v>0</v>
      </c>
      <c r="CT33" s="130" t="s">
        <v>214</v>
      </c>
      <c r="CU33" s="130" t="s">
        <v>214</v>
      </c>
      <c r="CV33" s="144" t="str">
        <f t="shared" ref="CV33:CV34" si="428">MID(G33,3,10)</f>
        <v>ANHPG0363J</v>
      </c>
      <c r="CW33" s="144" t="str">
        <f t="shared" ref="CW33:CW34" si="429">MID(AR33,3,10)</f>
        <v/>
      </c>
    </row>
    <row r="34" spans="2:101" s="170" customFormat="1" ht="12" x14ac:dyDescent="0.25">
      <c r="B34" s="123" t="str">
        <f t="shared" si="393"/>
        <v>Q1</v>
      </c>
      <c r="C34" s="124" t="str">
        <f t="shared" si="394"/>
        <v>Apr-26</v>
      </c>
      <c r="D34" s="125">
        <v>46136</v>
      </c>
      <c r="E34" s="126" t="s">
        <v>240</v>
      </c>
      <c r="F34" s="126" t="s">
        <v>254</v>
      </c>
      <c r="G34" s="126" t="s">
        <v>279</v>
      </c>
      <c r="H34" s="127" t="s">
        <v>341</v>
      </c>
      <c r="I34" s="125">
        <v>46136</v>
      </c>
      <c r="J34" s="126" t="s">
        <v>342</v>
      </c>
      <c r="K34" s="125">
        <v>46136</v>
      </c>
      <c r="L34" s="126" t="s">
        <v>281</v>
      </c>
      <c r="M34" s="126" t="s">
        <v>240</v>
      </c>
      <c r="N34" s="127" t="s">
        <v>340</v>
      </c>
      <c r="O34" s="126">
        <v>1</v>
      </c>
      <c r="P34" s="280">
        <v>0</v>
      </c>
      <c r="Q34" s="128">
        <f t="shared" si="395"/>
        <v>0</v>
      </c>
      <c r="R34" s="129">
        <v>0</v>
      </c>
      <c r="S34" s="128">
        <f t="shared" si="396"/>
        <v>1</v>
      </c>
      <c r="T34" s="129">
        <v>0</v>
      </c>
      <c r="U34" s="130">
        <v>0</v>
      </c>
      <c r="V34" s="131">
        <v>0</v>
      </c>
      <c r="W34" s="130">
        <v>0</v>
      </c>
      <c r="X34" s="130">
        <v>0</v>
      </c>
      <c r="Y34" s="130">
        <v>12711</v>
      </c>
      <c r="Z34" s="130">
        <v>0</v>
      </c>
      <c r="AA34" s="129">
        <v>0</v>
      </c>
      <c r="AB34" s="133">
        <f t="shared" si="397"/>
        <v>12711</v>
      </c>
      <c r="AC34" s="133">
        <v>0</v>
      </c>
      <c r="AD34" s="129">
        <v>0</v>
      </c>
      <c r="AE34" s="130">
        <v>0</v>
      </c>
      <c r="AF34" s="130">
        <v>0</v>
      </c>
      <c r="AG34" s="336">
        <v>0</v>
      </c>
      <c r="AH34" s="130">
        <v>0</v>
      </c>
      <c r="AI34" s="131">
        <v>0</v>
      </c>
      <c r="AJ34" s="130">
        <v>0</v>
      </c>
      <c r="AK34" s="130">
        <v>0</v>
      </c>
      <c r="AL34" s="130">
        <v>0</v>
      </c>
      <c r="AM34" s="134">
        <f t="shared" si="398"/>
        <v>12711</v>
      </c>
      <c r="AN34" s="135">
        <f t="shared" si="399"/>
        <v>46136</v>
      </c>
      <c r="AO34" s="136">
        <v>0</v>
      </c>
      <c r="AP34" s="137">
        <v>0</v>
      </c>
      <c r="AQ34" s="138">
        <v>0</v>
      </c>
      <c r="AR34" s="138">
        <v>0</v>
      </c>
      <c r="AS34" s="126">
        <v>0</v>
      </c>
      <c r="AT34" s="139">
        <v>0</v>
      </c>
      <c r="AU34" s="140">
        <v>0</v>
      </c>
      <c r="AV34" s="140">
        <v>0</v>
      </c>
      <c r="AW34" s="138">
        <v>0</v>
      </c>
      <c r="AX34" s="326">
        <v>0</v>
      </c>
      <c r="AY34" s="138">
        <f t="shared" si="400"/>
        <v>0</v>
      </c>
      <c r="AZ34" s="141" t="b">
        <f t="shared" si="401"/>
        <v>0</v>
      </c>
      <c r="BA34" s="128">
        <v>0</v>
      </c>
      <c r="BB34" s="142">
        <f t="shared" si="402"/>
        <v>0</v>
      </c>
      <c r="BC34" s="143">
        <v>0</v>
      </c>
      <c r="BD34" s="142" t="s">
        <v>115</v>
      </c>
      <c r="BE34" s="143">
        <v>0</v>
      </c>
      <c r="BF34" s="142">
        <v>0</v>
      </c>
      <c r="BG34" s="143">
        <v>0</v>
      </c>
      <c r="BH34" s="131">
        <v>0</v>
      </c>
      <c r="BI34" s="337">
        <v>0</v>
      </c>
      <c r="BJ34" s="131">
        <v>0</v>
      </c>
      <c r="BK34" s="128">
        <v>0</v>
      </c>
      <c r="BL34" s="138">
        <v>0</v>
      </c>
      <c r="BM34" s="138">
        <v>0</v>
      </c>
      <c r="BN34" s="144">
        <v>0</v>
      </c>
      <c r="BO34" s="129">
        <f t="shared" si="403"/>
        <v>0</v>
      </c>
      <c r="BP34" s="134">
        <f t="shared" si="404"/>
        <v>-12711</v>
      </c>
      <c r="BQ34" s="143" t="str">
        <f t="shared" si="405"/>
        <v>Negative Margin</v>
      </c>
      <c r="BR34" s="145" t="s">
        <v>289</v>
      </c>
      <c r="BS34" s="128">
        <f t="shared" si="406"/>
        <v>-12711</v>
      </c>
      <c r="BT34" s="146" t="str">
        <f t="shared" si="407"/>
        <v>Negative Margin at Inception</v>
      </c>
      <c r="BU34" s="147" t="str">
        <f t="shared" si="408"/>
        <v>0</v>
      </c>
      <c r="BV34" s="146" t="str">
        <f t="shared" si="409"/>
        <v>More than 2%</v>
      </c>
      <c r="BW34" s="128">
        <f t="shared" si="410"/>
        <v>0</v>
      </c>
      <c r="BX34" s="129">
        <f t="shared" si="411"/>
        <v>0</v>
      </c>
      <c r="BY34" s="128">
        <f t="shared" si="412"/>
        <v>0</v>
      </c>
      <c r="BZ34" s="148">
        <f t="shared" si="413"/>
        <v>0</v>
      </c>
      <c r="CA34" s="148">
        <f t="shared" si="414"/>
        <v>0</v>
      </c>
      <c r="CB34" s="130">
        <f t="shared" si="415"/>
        <v>0</v>
      </c>
      <c r="CC34" s="148" t="s">
        <v>222</v>
      </c>
      <c r="CD34" s="130">
        <v>0</v>
      </c>
      <c r="CE34" s="130" t="str">
        <f t="shared" si="416"/>
        <v>Apr-26</v>
      </c>
      <c r="CF34" s="130">
        <f t="shared" si="417"/>
        <v>12711</v>
      </c>
      <c r="CG34" s="130">
        <f t="shared" si="418"/>
        <v>0</v>
      </c>
      <c r="CH34" s="130">
        <f t="shared" si="419"/>
        <v>4</v>
      </c>
      <c r="CI34" s="149" t="s">
        <v>223</v>
      </c>
      <c r="CJ34" s="130" t="s">
        <v>223</v>
      </c>
      <c r="CK34" s="130">
        <v>0</v>
      </c>
      <c r="CL34" s="130">
        <f t="shared" si="420"/>
        <v>0</v>
      </c>
      <c r="CM34" s="130">
        <f t="shared" si="421"/>
        <v>-12711</v>
      </c>
      <c r="CN34" s="130">
        <f t="shared" si="422"/>
        <v>-12711</v>
      </c>
      <c r="CO34" s="130">
        <f t="shared" si="423"/>
        <v>0</v>
      </c>
      <c r="CP34" s="130">
        <f t="shared" si="424"/>
        <v>0</v>
      </c>
      <c r="CQ34" s="130">
        <f t="shared" si="425"/>
        <v>0</v>
      </c>
      <c r="CR34" s="130">
        <f t="shared" si="426"/>
        <v>0</v>
      </c>
      <c r="CS34" s="130">
        <f t="shared" si="427"/>
        <v>0</v>
      </c>
      <c r="CT34" s="130" t="s">
        <v>214</v>
      </c>
      <c r="CU34" s="130" t="s">
        <v>214</v>
      </c>
      <c r="CV34" s="144" t="str">
        <f t="shared" si="428"/>
        <v>ANHPG0363J</v>
      </c>
      <c r="CW34" s="144" t="str">
        <f t="shared" si="429"/>
        <v/>
      </c>
    </row>
    <row r="35" spans="2:101" s="170" customFormat="1" ht="12" x14ac:dyDescent="0.25">
      <c r="B35" s="123" t="str">
        <f t="shared" ref="B35" si="430">"Q" &amp; IF(ROUNDUP(MONTH(D35)/3,0)-1=0,4,ROUNDUP(MONTH(D35)/3,0)-1)</f>
        <v>Q1</v>
      </c>
      <c r="C35" s="124" t="str">
        <f t="shared" ref="C35" si="431">TEXT(AN35,"mmm-yy")</f>
        <v>May-26</v>
      </c>
      <c r="D35" s="125" t="s">
        <v>364</v>
      </c>
      <c r="E35" s="126" t="s">
        <v>240</v>
      </c>
      <c r="F35" s="126" t="s">
        <v>322</v>
      </c>
      <c r="G35" s="126" t="s">
        <v>323</v>
      </c>
      <c r="H35" s="127" t="s">
        <v>365</v>
      </c>
      <c r="I35" s="125">
        <v>46148</v>
      </c>
      <c r="J35" s="126" t="s">
        <v>366</v>
      </c>
      <c r="K35" s="125">
        <v>46157</v>
      </c>
      <c r="L35" s="126" t="s">
        <v>326</v>
      </c>
      <c r="M35" s="126"/>
      <c r="N35" s="127" t="s">
        <v>327</v>
      </c>
      <c r="O35" s="126">
        <v>3</v>
      </c>
      <c r="P35" s="280">
        <v>3000</v>
      </c>
      <c r="Q35" s="128">
        <f t="shared" si="395"/>
        <v>9000</v>
      </c>
      <c r="R35" s="129">
        <v>0</v>
      </c>
      <c r="S35" s="128">
        <f t="shared" ref="S35" si="432">O35-R35</f>
        <v>3</v>
      </c>
      <c r="T35" s="129">
        <v>0</v>
      </c>
      <c r="U35" s="130">
        <v>0</v>
      </c>
      <c r="V35" s="131">
        <v>0</v>
      </c>
      <c r="W35" s="130">
        <v>0</v>
      </c>
      <c r="X35" s="130">
        <v>0</v>
      </c>
      <c r="Y35" s="130">
        <v>0</v>
      </c>
      <c r="Z35" s="130">
        <v>0</v>
      </c>
      <c r="AA35" s="129">
        <v>0</v>
      </c>
      <c r="AB35" s="133">
        <f t="shared" si="397"/>
        <v>0</v>
      </c>
      <c r="AC35" s="133">
        <v>0</v>
      </c>
      <c r="AD35" s="129">
        <v>0</v>
      </c>
      <c r="AE35" s="130">
        <v>0</v>
      </c>
      <c r="AF35" s="130">
        <v>0</v>
      </c>
      <c r="AG35" s="336">
        <v>0</v>
      </c>
      <c r="AH35" s="130">
        <v>0</v>
      </c>
      <c r="AI35" s="131">
        <v>0</v>
      </c>
      <c r="AJ35" s="130">
        <v>0</v>
      </c>
      <c r="AK35" s="130">
        <v>0</v>
      </c>
      <c r="AL35" s="130">
        <v>0</v>
      </c>
      <c r="AM35" s="134">
        <f t="shared" si="398"/>
        <v>9000</v>
      </c>
      <c r="AN35" s="125" t="s">
        <v>364</v>
      </c>
      <c r="AO35" s="136">
        <v>0</v>
      </c>
      <c r="AP35" s="137">
        <v>0</v>
      </c>
      <c r="AQ35" s="138">
        <v>0</v>
      </c>
      <c r="AR35" s="138">
        <v>0</v>
      </c>
      <c r="AS35" s="126">
        <v>0</v>
      </c>
      <c r="AT35" s="139">
        <v>0</v>
      </c>
      <c r="AU35" s="140">
        <v>0</v>
      </c>
      <c r="AV35" s="140">
        <v>0</v>
      </c>
      <c r="AW35" s="138">
        <v>0</v>
      </c>
      <c r="AX35" s="326">
        <v>0</v>
      </c>
      <c r="AY35" s="138">
        <f t="shared" ref="AY35:AY36" si="433">AW35*AX35</f>
        <v>0</v>
      </c>
      <c r="AZ35" s="141" t="b">
        <f t="shared" si="401"/>
        <v>0</v>
      </c>
      <c r="BA35" s="128">
        <v>0</v>
      </c>
      <c r="BB35" s="142">
        <f t="shared" ref="BB35:BB36" si="434">AW35-BA35</f>
        <v>0</v>
      </c>
      <c r="BC35" s="143">
        <v>0</v>
      </c>
      <c r="BD35" s="142" t="s">
        <v>115</v>
      </c>
      <c r="BE35" s="143">
        <v>0</v>
      </c>
      <c r="BF35" s="142">
        <v>0</v>
      </c>
      <c r="BG35" s="143">
        <v>0</v>
      </c>
      <c r="BH35" s="131">
        <v>0</v>
      </c>
      <c r="BI35" s="337">
        <v>0</v>
      </c>
      <c r="BJ35" s="131">
        <v>0</v>
      </c>
      <c r="BK35" s="128">
        <v>0</v>
      </c>
      <c r="BL35" s="138">
        <v>0</v>
      </c>
      <c r="BM35" s="138">
        <v>0</v>
      </c>
      <c r="BN35" s="144">
        <v>0</v>
      </c>
      <c r="BO35" s="129">
        <f t="shared" ref="BO35:BO36" si="435">AY35+BL35+BM35+BN35+BC35+BG35</f>
        <v>0</v>
      </c>
      <c r="BP35" s="134">
        <f t="shared" ref="BP35:BP36" si="436">BO35-AM35</f>
        <v>-9000</v>
      </c>
      <c r="BQ35" s="143" t="str">
        <f t="shared" ref="BQ35:BQ36" si="437">IF(BP35&gt;=0,"Positive Margin","Negative Margin")</f>
        <v>Negative Margin</v>
      </c>
      <c r="BR35" s="145" t="s">
        <v>289</v>
      </c>
      <c r="BS35" s="128">
        <f t="shared" ref="BS35:BS36" si="438">AY35-Y35-Q35-AA35-T35+BC35</f>
        <v>-9000</v>
      </c>
      <c r="BT35" s="146" t="str">
        <f t="shared" ref="BT35:BT36" si="439">IF(BS35&lt;0, "Negative Margin at Inception", "Positive Margin at Inception")</f>
        <v>Negative Margin at Inception</v>
      </c>
      <c r="BU35" s="147" t="str">
        <f t="shared" ref="BU35:BU36" si="440">IFERROR(BP35/BO35,"0")</f>
        <v>0</v>
      </c>
      <c r="BV35" s="146" t="str">
        <f t="shared" ref="BV35:BV36" si="441">IF(BU35&lt;1%,"Less Than 1%",IF(BU35&gt;2%,"More than 2%",IF(BU35&gt;=1%,"1% - 2%")))</f>
        <v>More than 2%</v>
      </c>
      <c r="BW35" s="128">
        <f t="shared" ref="BW35:BW36" si="442">BM35+BN35</f>
        <v>0</v>
      </c>
      <c r="BX35" s="129">
        <f t="shared" ref="BX35:BX36" si="443">AL35+AK35</f>
        <v>0</v>
      </c>
      <c r="BY35" s="128">
        <f t="shared" ref="BY35:BY36" si="444">BW35-BX35</f>
        <v>0</v>
      </c>
      <c r="BZ35" s="148">
        <f t="shared" ref="BZ35:BZ36" si="445">BM35</f>
        <v>0</v>
      </c>
      <c r="CA35" s="148">
        <f t="shared" ref="CA35:CA36" si="446">AK35</f>
        <v>0</v>
      </c>
      <c r="CB35" s="130">
        <f t="shared" ref="CB35:CB36" si="447">BZ35-CA35</f>
        <v>0</v>
      </c>
      <c r="CC35" s="148" t="s">
        <v>222</v>
      </c>
      <c r="CD35" s="130">
        <v>0</v>
      </c>
      <c r="CE35" s="130" t="str">
        <f t="shared" ref="CE35:CE36" si="448">TEXT(AN35,"mmm-yy")</f>
        <v>May-26</v>
      </c>
      <c r="CF35" s="130">
        <f t="shared" ref="CF35:CF36" si="449">AM35-AL35-AA35</f>
        <v>9000</v>
      </c>
      <c r="CG35" s="130">
        <f t="shared" ref="CG35:CG36" si="450">BO35-BN35</f>
        <v>0</v>
      </c>
      <c r="CH35" s="130">
        <f t="shared" ref="CH35:CH36" si="451">INT((D35- IF(MONTH(D35) &gt;= 4, DATE(YEAR(D35), 4, 1), DATE(YEAR(D35)-1, 4, 1))) / 7) + 1</f>
        <v>6</v>
      </c>
      <c r="CI35" s="149" t="s">
        <v>223</v>
      </c>
      <c r="CJ35" s="130" t="s">
        <v>223</v>
      </c>
      <c r="CK35" s="130">
        <v>0</v>
      </c>
      <c r="CL35" s="130">
        <f t="shared" ref="CL35:CL36" si="452">AY35-Q35</f>
        <v>-9000</v>
      </c>
      <c r="CM35" s="130">
        <f t="shared" ref="CM35:CM36" si="453">CL35-Y35+Z35</f>
        <v>-9000</v>
      </c>
      <c r="CN35" s="130">
        <f t="shared" ref="CN35:CN36" si="454">BO35-AM35</f>
        <v>-9000</v>
      </c>
      <c r="CO35" s="130">
        <f t="shared" ref="CO35:CO36" si="455">AY35*118%</f>
        <v>0</v>
      </c>
      <c r="CP35" s="130">
        <f t="shared" ref="CP35:CP36" si="456">-Q35*118%</f>
        <v>-10620</v>
      </c>
      <c r="CQ35" s="130">
        <f t="shared" ref="CQ35:CQ36" si="457">-BZ35*118%</f>
        <v>0</v>
      </c>
      <c r="CR35" s="130">
        <f t="shared" ref="CR35:CR36" si="458">-CA35*118%</f>
        <v>0</v>
      </c>
      <c r="CS35" s="130">
        <f t="shared" ref="CS35:CS36" si="459">SUM(CO35:CR35)</f>
        <v>-10620</v>
      </c>
      <c r="CT35" s="130" t="s">
        <v>214</v>
      </c>
      <c r="CU35" s="130" t="s">
        <v>214</v>
      </c>
      <c r="CV35" s="144" t="str">
        <f t="shared" ref="CV35:CV36" si="460">MID(G35,3,10)</f>
        <v>AAICT1418L</v>
      </c>
      <c r="CW35" s="144" t="str">
        <f t="shared" ref="CW35:CW36" si="461">MID(AR35,3,10)</f>
        <v/>
      </c>
    </row>
    <row r="36" spans="2:101" s="170" customFormat="1" ht="12" x14ac:dyDescent="0.25">
      <c r="B36" s="123" t="str">
        <f t="shared" ref="B36" si="462">"Q" &amp; IF(ROUNDUP(MONTH(D36)/3,0)-1=0,4,ROUNDUP(MONTH(D36)/3,0)-1)</f>
        <v>Q1</v>
      </c>
      <c r="C36" s="124" t="str">
        <f t="shared" ref="C36" si="463">TEXT(AN36,"mmm-yy")</f>
        <v>May-26</v>
      </c>
      <c r="D36" s="125" t="s">
        <v>364</v>
      </c>
      <c r="E36" s="126" t="s">
        <v>240</v>
      </c>
      <c r="F36" s="126" t="s">
        <v>322</v>
      </c>
      <c r="G36" s="126" t="s">
        <v>323</v>
      </c>
      <c r="H36" s="127" t="s">
        <v>365</v>
      </c>
      <c r="I36" s="125">
        <v>46148</v>
      </c>
      <c r="J36" s="126" t="s">
        <v>366</v>
      </c>
      <c r="K36" s="125">
        <v>46157</v>
      </c>
      <c r="L36" s="126" t="s">
        <v>326</v>
      </c>
      <c r="M36" s="126"/>
      <c r="N36" s="127" t="s">
        <v>327</v>
      </c>
      <c r="O36" s="126">
        <v>6</v>
      </c>
      <c r="P36" s="280">
        <v>5500</v>
      </c>
      <c r="Q36" s="128">
        <f t="shared" si="395"/>
        <v>33000</v>
      </c>
      <c r="R36" s="129">
        <v>0</v>
      </c>
      <c r="S36" s="128">
        <f t="shared" ref="S36:S37" si="464">O36-R36</f>
        <v>6</v>
      </c>
      <c r="T36" s="129">
        <v>0</v>
      </c>
      <c r="U36" s="130">
        <v>0</v>
      </c>
      <c r="V36" s="131">
        <v>0</v>
      </c>
      <c r="W36" s="130">
        <v>0</v>
      </c>
      <c r="X36" s="130">
        <v>0</v>
      </c>
      <c r="Y36" s="130">
        <v>0</v>
      </c>
      <c r="Z36" s="130">
        <v>0</v>
      </c>
      <c r="AA36" s="129">
        <v>0</v>
      </c>
      <c r="AB36" s="133">
        <f t="shared" si="397"/>
        <v>0</v>
      </c>
      <c r="AC36" s="133">
        <v>0</v>
      </c>
      <c r="AD36" s="129">
        <v>0</v>
      </c>
      <c r="AE36" s="130">
        <v>0</v>
      </c>
      <c r="AF36" s="130">
        <v>0</v>
      </c>
      <c r="AG36" s="336">
        <v>0</v>
      </c>
      <c r="AH36" s="130">
        <v>0</v>
      </c>
      <c r="AI36" s="131">
        <v>0</v>
      </c>
      <c r="AJ36" s="130">
        <v>0</v>
      </c>
      <c r="AK36" s="130">
        <v>0</v>
      </c>
      <c r="AL36" s="130">
        <v>0</v>
      </c>
      <c r="AM36" s="134">
        <f t="shared" si="398"/>
        <v>33000</v>
      </c>
      <c r="AN36" s="125" t="s">
        <v>364</v>
      </c>
      <c r="AO36" s="136">
        <v>0</v>
      </c>
      <c r="AP36" s="137">
        <v>0</v>
      </c>
      <c r="AQ36" s="138">
        <v>0</v>
      </c>
      <c r="AR36" s="138">
        <v>0</v>
      </c>
      <c r="AS36" s="126">
        <v>0</v>
      </c>
      <c r="AT36" s="139">
        <v>0</v>
      </c>
      <c r="AU36" s="140">
        <v>0</v>
      </c>
      <c r="AV36" s="140">
        <v>0</v>
      </c>
      <c r="AW36" s="138">
        <v>0</v>
      </c>
      <c r="AX36" s="326">
        <v>0</v>
      </c>
      <c r="AY36" s="138">
        <f t="shared" si="433"/>
        <v>0</v>
      </c>
      <c r="AZ36" s="141" t="b">
        <f t="shared" si="401"/>
        <v>0</v>
      </c>
      <c r="BA36" s="128">
        <v>0</v>
      </c>
      <c r="BB36" s="142">
        <f t="shared" si="434"/>
        <v>0</v>
      </c>
      <c r="BC36" s="143">
        <v>0</v>
      </c>
      <c r="BD36" s="142" t="s">
        <v>115</v>
      </c>
      <c r="BE36" s="143">
        <v>0</v>
      </c>
      <c r="BF36" s="142">
        <v>0</v>
      </c>
      <c r="BG36" s="143">
        <v>0</v>
      </c>
      <c r="BH36" s="131">
        <v>0</v>
      </c>
      <c r="BI36" s="337">
        <v>0</v>
      </c>
      <c r="BJ36" s="131">
        <v>0</v>
      </c>
      <c r="BK36" s="128">
        <v>0</v>
      </c>
      <c r="BL36" s="138">
        <v>0</v>
      </c>
      <c r="BM36" s="138">
        <v>0</v>
      </c>
      <c r="BN36" s="144">
        <v>0</v>
      </c>
      <c r="BO36" s="129">
        <f t="shared" si="435"/>
        <v>0</v>
      </c>
      <c r="BP36" s="134">
        <f t="shared" si="436"/>
        <v>-33000</v>
      </c>
      <c r="BQ36" s="143" t="str">
        <f t="shared" si="437"/>
        <v>Negative Margin</v>
      </c>
      <c r="BR36" s="145" t="s">
        <v>289</v>
      </c>
      <c r="BS36" s="128">
        <f t="shared" si="438"/>
        <v>-33000</v>
      </c>
      <c r="BT36" s="146" t="str">
        <f t="shared" si="439"/>
        <v>Negative Margin at Inception</v>
      </c>
      <c r="BU36" s="147" t="str">
        <f t="shared" si="440"/>
        <v>0</v>
      </c>
      <c r="BV36" s="146" t="str">
        <f t="shared" si="441"/>
        <v>More than 2%</v>
      </c>
      <c r="BW36" s="128">
        <f t="shared" si="442"/>
        <v>0</v>
      </c>
      <c r="BX36" s="129">
        <f t="shared" si="443"/>
        <v>0</v>
      </c>
      <c r="BY36" s="128">
        <f t="shared" si="444"/>
        <v>0</v>
      </c>
      <c r="BZ36" s="148">
        <f t="shared" si="445"/>
        <v>0</v>
      </c>
      <c r="CA36" s="148">
        <f t="shared" si="446"/>
        <v>0</v>
      </c>
      <c r="CB36" s="130">
        <f t="shared" si="447"/>
        <v>0</v>
      </c>
      <c r="CC36" s="148" t="s">
        <v>222</v>
      </c>
      <c r="CD36" s="130">
        <v>0</v>
      </c>
      <c r="CE36" s="130" t="str">
        <f t="shared" si="448"/>
        <v>May-26</v>
      </c>
      <c r="CF36" s="130">
        <f t="shared" si="449"/>
        <v>33000</v>
      </c>
      <c r="CG36" s="130">
        <f t="shared" si="450"/>
        <v>0</v>
      </c>
      <c r="CH36" s="130">
        <f t="shared" si="451"/>
        <v>6</v>
      </c>
      <c r="CI36" s="149" t="s">
        <v>223</v>
      </c>
      <c r="CJ36" s="130" t="s">
        <v>223</v>
      </c>
      <c r="CK36" s="130">
        <v>0</v>
      </c>
      <c r="CL36" s="130">
        <f t="shared" si="452"/>
        <v>-33000</v>
      </c>
      <c r="CM36" s="130">
        <f t="shared" si="453"/>
        <v>-33000</v>
      </c>
      <c r="CN36" s="130">
        <f t="shared" si="454"/>
        <v>-33000</v>
      </c>
      <c r="CO36" s="130">
        <f t="shared" si="455"/>
        <v>0</v>
      </c>
      <c r="CP36" s="130">
        <f t="shared" si="456"/>
        <v>-38940</v>
      </c>
      <c r="CQ36" s="130">
        <f t="shared" si="457"/>
        <v>0</v>
      </c>
      <c r="CR36" s="130">
        <f t="shared" si="458"/>
        <v>0</v>
      </c>
      <c r="CS36" s="130">
        <f t="shared" si="459"/>
        <v>-38940</v>
      </c>
      <c r="CT36" s="130" t="s">
        <v>214</v>
      </c>
      <c r="CU36" s="130" t="s">
        <v>214</v>
      </c>
      <c r="CV36" s="144" t="str">
        <f t="shared" si="460"/>
        <v>AAICT1418L</v>
      </c>
      <c r="CW36" s="144" t="str">
        <f t="shared" si="461"/>
        <v/>
      </c>
    </row>
    <row r="37" spans="2:101" s="170" customFormat="1" ht="12" x14ac:dyDescent="0.25">
      <c r="B37" s="123" t="str">
        <f t="shared" ref="B37" si="465">"Q" &amp; IF(ROUNDUP(MONTH(D37)/3,0)-1=0,4,ROUNDUP(MONTH(D37)/3,0)-1)</f>
        <v>Q1</v>
      </c>
      <c r="C37" s="124" t="str">
        <f t="shared" ref="C37" si="466">TEXT(AN37,"mmm-yy")</f>
        <v>May-26</v>
      </c>
      <c r="D37" s="125">
        <v>46158</v>
      </c>
      <c r="E37" s="126" t="s">
        <v>240</v>
      </c>
      <c r="F37" s="126" t="s">
        <v>254</v>
      </c>
      <c r="G37" s="126" t="s">
        <v>279</v>
      </c>
      <c r="H37" s="127" t="s">
        <v>372</v>
      </c>
      <c r="I37" s="125">
        <v>46158</v>
      </c>
      <c r="J37" s="126" t="s">
        <v>373</v>
      </c>
      <c r="K37" s="125">
        <v>46160</v>
      </c>
      <c r="L37" s="126" t="s">
        <v>281</v>
      </c>
      <c r="M37" s="126" t="s">
        <v>240</v>
      </c>
      <c r="N37" s="127" t="s">
        <v>333</v>
      </c>
      <c r="O37" s="126">
        <v>1</v>
      </c>
      <c r="P37" s="280">
        <v>180000</v>
      </c>
      <c r="Q37" s="128">
        <f t="shared" ref="Q37" si="467">O37*P37</f>
        <v>180000</v>
      </c>
      <c r="R37" s="129">
        <v>0</v>
      </c>
      <c r="S37" s="128">
        <f t="shared" si="464"/>
        <v>1</v>
      </c>
      <c r="T37" s="129">
        <v>0</v>
      </c>
      <c r="U37" s="130">
        <v>0</v>
      </c>
      <c r="V37" s="131">
        <v>0</v>
      </c>
      <c r="W37" s="130">
        <v>0</v>
      </c>
      <c r="X37" s="130">
        <v>0</v>
      </c>
      <c r="Y37" s="130">
        <v>0</v>
      </c>
      <c r="Z37" s="130">
        <v>0</v>
      </c>
      <c r="AA37" s="129">
        <v>0</v>
      </c>
      <c r="AB37" s="133">
        <f t="shared" ref="AB37" si="468">Y37+AA37+Z37</f>
        <v>0</v>
      </c>
      <c r="AC37" s="133">
        <v>0</v>
      </c>
      <c r="AD37" s="129">
        <v>0</v>
      </c>
      <c r="AE37" s="130">
        <v>0</v>
      </c>
      <c r="AF37" s="130">
        <v>0</v>
      </c>
      <c r="AG37" s="336">
        <v>0</v>
      </c>
      <c r="AH37" s="130">
        <v>0</v>
      </c>
      <c r="AI37" s="131">
        <v>0</v>
      </c>
      <c r="AJ37" s="130">
        <v>0</v>
      </c>
      <c r="AK37" s="130">
        <v>0</v>
      </c>
      <c r="AL37" s="130">
        <v>0</v>
      </c>
      <c r="AM37" s="134">
        <f t="shared" ref="AM37" si="469">Q37+AB37+AL37+AK37+AJ37+T37+AE37</f>
        <v>180000</v>
      </c>
      <c r="AN37" s="125">
        <v>46158</v>
      </c>
      <c r="AO37" s="136">
        <v>0</v>
      </c>
      <c r="AP37" s="137">
        <v>0</v>
      </c>
      <c r="AQ37" s="138">
        <v>0</v>
      </c>
      <c r="AR37" s="138">
        <v>0</v>
      </c>
      <c r="AS37" s="126">
        <v>0</v>
      </c>
      <c r="AT37" s="139">
        <v>0</v>
      </c>
      <c r="AU37" s="140">
        <v>0</v>
      </c>
      <c r="AV37" s="140">
        <v>0</v>
      </c>
      <c r="AW37" s="138">
        <v>0</v>
      </c>
      <c r="AX37" s="326">
        <v>0</v>
      </c>
      <c r="AY37" s="138">
        <f t="shared" ref="AY37" si="470">AW37*AX37</f>
        <v>0</v>
      </c>
      <c r="AZ37" s="141" t="b">
        <f t="shared" ref="AZ37" si="471">AW37=O37</f>
        <v>0</v>
      </c>
      <c r="BA37" s="128">
        <v>0</v>
      </c>
      <c r="BB37" s="142">
        <f t="shared" ref="BB37" si="472">AW37-BA37</f>
        <v>0</v>
      </c>
      <c r="BC37" s="143">
        <v>0</v>
      </c>
      <c r="BD37" s="142" t="s">
        <v>115</v>
      </c>
      <c r="BE37" s="143">
        <v>0</v>
      </c>
      <c r="BF37" s="142">
        <v>0</v>
      </c>
      <c r="BG37" s="143">
        <v>0</v>
      </c>
      <c r="BH37" s="131">
        <v>0</v>
      </c>
      <c r="BI37" s="337">
        <v>0</v>
      </c>
      <c r="BJ37" s="131">
        <v>0</v>
      </c>
      <c r="BK37" s="128">
        <v>0</v>
      </c>
      <c r="BL37" s="138">
        <v>0</v>
      </c>
      <c r="BM37" s="138">
        <v>0</v>
      </c>
      <c r="BN37" s="144">
        <v>0</v>
      </c>
      <c r="BO37" s="129">
        <f t="shared" ref="BO37" si="473">AY37+BL37+BM37+BN37+BC37+BG37</f>
        <v>0</v>
      </c>
      <c r="BP37" s="134">
        <f t="shared" ref="BP37" si="474">BO37-AM37</f>
        <v>-180000</v>
      </c>
      <c r="BQ37" s="143" t="str">
        <f t="shared" ref="BQ37" si="475">IF(BP37&gt;=0,"Positive Margin","Negative Margin")</f>
        <v>Negative Margin</v>
      </c>
      <c r="BR37" s="145" t="s">
        <v>289</v>
      </c>
      <c r="BS37" s="128">
        <f t="shared" ref="BS37" si="476">AY37-Y37-Q37-AA37-T37+BC37</f>
        <v>-180000</v>
      </c>
      <c r="BT37" s="146" t="str">
        <f t="shared" ref="BT37" si="477">IF(BS37&lt;0, "Negative Margin at Inception", "Positive Margin at Inception")</f>
        <v>Negative Margin at Inception</v>
      </c>
      <c r="BU37" s="147" t="str">
        <f t="shared" ref="BU37" si="478">IFERROR(BP37/BO37,"0")</f>
        <v>0</v>
      </c>
      <c r="BV37" s="146" t="str">
        <f t="shared" ref="BV37" si="479">IF(BU37&lt;1%,"Less Than 1%",IF(BU37&gt;2%,"More than 2%",IF(BU37&gt;=1%,"1% - 2%")))</f>
        <v>More than 2%</v>
      </c>
      <c r="BW37" s="128">
        <f t="shared" ref="BW37" si="480">BM37+BN37</f>
        <v>0</v>
      </c>
      <c r="BX37" s="129">
        <f t="shared" ref="BX37" si="481">AL37+AK37</f>
        <v>0</v>
      </c>
      <c r="BY37" s="128">
        <f t="shared" ref="BY37" si="482">BW37-BX37</f>
        <v>0</v>
      </c>
      <c r="BZ37" s="148">
        <f t="shared" ref="BZ37" si="483">BM37</f>
        <v>0</v>
      </c>
      <c r="CA37" s="148">
        <f t="shared" ref="CA37" si="484">AK37</f>
        <v>0</v>
      </c>
      <c r="CB37" s="130">
        <f t="shared" ref="CB37" si="485">BZ37-CA37</f>
        <v>0</v>
      </c>
      <c r="CC37" s="148" t="s">
        <v>222</v>
      </c>
      <c r="CD37" s="130">
        <v>0</v>
      </c>
      <c r="CE37" s="130" t="str">
        <f t="shared" ref="CE37" si="486">TEXT(AN37,"mmm-yy")</f>
        <v>May-26</v>
      </c>
      <c r="CF37" s="130">
        <f t="shared" ref="CF37" si="487">AM37-AL37-AA37</f>
        <v>180000</v>
      </c>
      <c r="CG37" s="130">
        <f t="shared" ref="CG37" si="488">BO37-BN37</f>
        <v>0</v>
      </c>
      <c r="CH37" s="130">
        <f t="shared" ref="CH37" si="489">INT((D37- IF(MONTH(D37) &gt;= 4, DATE(YEAR(D37), 4, 1), DATE(YEAR(D37)-1, 4, 1))) / 7) + 1</f>
        <v>7</v>
      </c>
      <c r="CI37" s="149" t="s">
        <v>223</v>
      </c>
      <c r="CJ37" s="130" t="s">
        <v>223</v>
      </c>
      <c r="CK37" s="130">
        <v>0</v>
      </c>
      <c r="CL37" s="130">
        <f t="shared" ref="CL37" si="490">AY37-Q37</f>
        <v>-180000</v>
      </c>
      <c r="CM37" s="130">
        <f t="shared" ref="CM37" si="491">CL37-Y37+Z37</f>
        <v>-180000</v>
      </c>
      <c r="CN37" s="130">
        <f t="shared" ref="CN37" si="492">BO37-AM37</f>
        <v>-180000</v>
      </c>
      <c r="CO37" s="130">
        <f t="shared" ref="CO37" si="493">AY37*118%</f>
        <v>0</v>
      </c>
      <c r="CP37" s="130">
        <f t="shared" ref="CP37" si="494">-Q37*118%</f>
        <v>-212400</v>
      </c>
      <c r="CQ37" s="130">
        <f t="shared" ref="CQ37" si="495">-BZ37*118%</f>
        <v>0</v>
      </c>
      <c r="CR37" s="130">
        <f t="shared" ref="CR37" si="496">-CA37*118%</f>
        <v>0</v>
      </c>
      <c r="CS37" s="130">
        <f t="shared" ref="CS37" si="497">SUM(CO37:CR37)</f>
        <v>-212400</v>
      </c>
      <c r="CT37" s="130" t="s">
        <v>214</v>
      </c>
      <c r="CU37" s="130" t="s">
        <v>214</v>
      </c>
      <c r="CV37" s="144" t="str">
        <f t="shared" ref="CV37" si="498">MID(G37,3,10)</f>
        <v>ANHPG0363J</v>
      </c>
      <c r="CW37" s="144" t="str">
        <f t="shared" ref="CW37" si="499">MID(AR37,3,10)</f>
        <v/>
      </c>
    </row>
    <row r="38" spans="2:101" s="170" customFormat="1" ht="12.6" thickBot="1" x14ac:dyDescent="0.3">
      <c r="B38" s="123"/>
      <c r="C38" s="124"/>
      <c r="D38" s="125"/>
      <c r="E38" s="126"/>
      <c r="F38" s="126"/>
      <c r="G38" s="126"/>
      <c r="H38" s="127"/>
      <c r="I38" s="152"/>
      <c r="J38" s="153"/>
      <c r="K38" s="152"/>
      <c r="L38" s="153"/>
      <c r="M38" s="126"/>
      <c r="N38" s="127"/>
      <c r="O38" s="126"/>
      <c r="P38" s="127"/>
      <c r="Q38" s="128"/>
      <c r="R38" s="129"/>
      <c r="S38" s="128"/>
      <c r="T38" s="129"/>
      <c r="U38" s="130"/>
      <c r="V38" s="131"/>
      <c r="W38" s="130"/>
      <c r="X38" s="132"/>
      <c r="Y38" s="130"/>
      <c r="Z38" s="130"/>
      <c r="AA38" s="129"/>
      <c r="AB38" s="128"/>
      <c r="AC38" s="128"/>
      <c r="AD38" s="129"/>
      <c r="AE38" s="130"/>
      <c r="AF38" s="130"/>
      <c r="AG38" s="130"/>
      <c r="AH38" s="130"/>
      <c r="AI38" s="131"/>
      <c r="AJ38" s="130"/>
      <c r="AK38" s="130"/>
      <c r="AL38" s="130"/>
      <c r="AM38" s="134"/>
      <c r="AN38" s="135"/>
      <c r="AO38" s="136"/>
      <c r="AP38" s="137"/>
      <c r="AQ38" s="154"/>
      <c r="AR38" s="138"/>
      <c r="AS38" s="126"/>
      <c r="AT38" s="139"/>
      <c r="AU38" s="140"/>
      <c r="AV38" s="140"/>
      <c r="AW38" s="138"/>
      <c r="AX38" s="140"/>
      <c r="AY38" s="138"/>
      <c r="AZ38" s="141"/>
      <c r="BA38" s="128"/>
      <c r="BB38" s="142"/>
      <c r="BC38" s="143"/>
      <c r="BD38" s="142"/>
      <c r="BE38" s="143"/>
      <c r="BF38" s="142"/>
      <c r="BG38" s="143"/>
      <c r="BH38" s="130"/>
      <c r="BI38" s="133"/>
      <c r="BJ38" s="131"/>
      <c r="BK38" s="128"/>
      <c r="BL38" s="138"/>
      <c r="BM38" s="154"/>
      <c r="BN38" s="155"/>
      <c r="BO38" s="129"/>
      <c r="BP38" s="134"/>
      <c r="BQ38" s="143"/>
      <c r="BR38" s="145"/>
      <c r="BS38" s="128"/>
      <c r="BT38" s="146"/>
      <c r="BU38" s="147"/>
      <c r="BV38" s="146"/>
      <c r="BW38" s="128"/>
      <c r="BX38" s="129"/>
      <c r="BY38" s="128"/>
      <c r="BZ38" s="148"/>
      <c r="CA38" s="148"/>
      <c r="CB38" s="130"/>
      <c r="CC38" s="148"/>
      <c r="CD38" s="130"/>
      <c r="CE38" s="130"/>
      <c r="CF38" s="130"/>
      <c r="CG38" s="130"/>
      <c r="CH38" s="130"/>
      <c r="CI38" s="149"/>
      <c r="CJ38" s="130"/>
      <c r="CK38" s="130"/>
      <c r="CL38" s="130"/>
      <c r="CM38" s="130"/>
      <c r="CN38" s="130"/>
      <c r="CO38" s="130"/>
      <c r="CP38" s="130"/>
      <c r="CQ38" s="130"/>
      <c r="CR38" s="130"/>
      <c r="CS38" s="130"/>
      <c r="CT38" s="130"/>
      <c r="CU38" s="130"/>
      <c r="CV38" s="144"/>
      <c r="CW38" s="144"/>
    </row>
    <row r="39" spans="2:101" s="151" customFormat="1" ht="12.6" thickBot="1" x14ac:dyDescent="0.3">
      <c r="B39" s="156"/>
      <c r="C39" s="157"/>
      <c r="D39" s="157"/>
      <c r="E39" s="157"/>
      <c r="F39" s="158" t="s">
        <v>62</v>
      </c>
      <c r="G39" s="157"/>
      <c r="H39" s="157"/>
      <c r="I39" s="159"/>
      <c r="J39" s="157"/>
      <c r="K39" s="159"/>
      <c r="L39" s="158"/>
      <c r="M39" s="160"/>
      <c r="N39" s="161"/>
      <c r="O39" s="162">
        <f>SUBTOTAL(9,O28:O38)</f>
        <v>4778</v>
      </c>
      <c r="P39" s="163"/>
      <c r="Q39" s="162">
        <f>SUBTOTAL(9,Q28:Q38)</f>
        <v>554906</v>
      </c>
      <c r="R39" s="162"/>
      <c r="S39" s="162">
        <f>SUBTOTAL(9,S28:S38)</f>
        <v>4778</v>
      </c>
      <c r="T39" s="162">
        <f>SUBTOTAL(9,T28:T38)</f>
        <v>0</v>
      </c>
      <c r="U39" s="164"/>
      <c r="V39" s="164"/>
      <c r="W39" s="165"/>
      <c r="X39" s="165"/>
      <c r="Y39" s="162">
        <f>SUBTOTAL(9,Y28:Y38)</f>
        <v>54711</v>
      </c>
      <c r="Z39" s="162">
        <f>SUBTOTAL(9,Z28:Z38)</f>
        <v>0</v>
      </c>
      <c r="AA39" s="162">
        <f>SUBTOTAL(9,AA28:AA38)</f>
        <v>0</v>
      </c>
      <c r="AB39" s="162">
        <f>SUBTOTAL(9,AB28:AB38)</f>
        <v>54711</v>
      </c>
      <c r="AC39" s="162">
        <f>SUBTOTAL(9,AC28:AC38)</f>
        <v>0</v>
      </c>
      <c r="AD39" s="162">
        <f>SUBTOTAL(1,AD28:AD38)</f>
        <v>0</v>
      </c>
      <c r="AE39" s="162">
        <f>SUBTOTAL(9,AE28:AE38)</f>
        <v>0</v>
      </c>
      <c r="AF39" s="157"/>
      <c r="AG39" s="157"/>
      <c r="AH39" s="166"/>
      <c r="AI39" s="166"/>
      <c r="AJ39" s="162">
        <f>SUBTOTAL(9,AJ28:AJ38)</f>
        <v>0</v>
      </c>
      <c r="AK39" s="162">
        <f>SUBTOTAL(9,AK28:AK38)</f>
        <v>0</v>
      </c>
      <c r="AL39" s="162">
        <f>SUBTOTAL(9,AL28:AL38)</f>
        <v>0</v>
      </c>
      <c r="AM39" s="162">
        <f>SUBTOTAL(9,AM28:AM38)</f>
        <v>609617</v>
      </c>
      <c r="AN39" s="163"/>
      <c r="AO39" s="163"/>
      <c r="AP39" s="163"/>
      <c r="AQ39" s="162"/>
      <c r="AR39" s="162"/>
      <c r="AS39" s="160"/>
      <c r="AT39" s="162"/>
      <c r="AU39" s="163"/>
      <c r="AV39" s="163"/>
      <c r="AW39" s="162">
        <f>SUBTOTAL(9,AW28:AW38)</f>
        <v>0</v>
      </c>
      <c r="AX39" s="162">
        <f>SUBTOTAL(101,AX28:AX38)</f>
        <v>0</v>
      </c>
      <c r="AY39" s="162">
        <f>SUBTOTAL(9,AY28:AY38)</f>
        <v>0</v>
      </c>
      <c r="AZ39" s="162"/>
      <c r="BA39" s="162">
        <f>SUBTOTAL(9,BA28:BA38)</f>
        <v>0</v>
      </c>
      <c r="BB39" s="162">
        <f>SUBTOTAL(9,BB28:BB38)</f>
        <v>0</v>
      </c>
      <c r="BC39" s="162">
        <f>SUBTOTAL(9,BC28:BC38)</f>
        <v>0</v>
      </c>
      <c r="BD39" s="162"/>
      <c r="BE39" s="162"/>
      <c r="BF39" s="162"/>
      <c r="BG39" s="162">
        <f>SUBTOTAL(9,BG28:BG38)</f>
        <v>0</v>
      </c>
      <c r="BH39" s="163"/>
      <c r="BI39" s="163"/>
      <c r="BJ39" s="163"/>
      <c r="BK39" s="163"/>
      <c r="BL39" s="162">
        <f>SUBTOTAL(9,BL28:BL38)</f>
        <v>0</v>
      </c>
      <c r="BM39" s="162">
        <f>SUBTOTAL(9,BM28:BM38)</f>
        <v>0</v>
      </c>
      <c r="BN39" s="162">
        <f>SUBTOTAL(9,BN28:BN38)</f>
        <v>0</v>
      </c>
      <c r="BO39" s="162">
        <f>SUBTOTAL(9,BO28:BO38)</f>
        <v>0</v>
      </c>
      <c r="BP39" s="162">
        <f>SUBTOTAL(9,BP28:BP38)</f>
        <v>-609617</v>
      </c>
      <c r="BQ39" s="162"/>
      <c r="BR39" s="162"/>
      <c r="BS39" s="162">
        <f>SUBTOTAL(9,BS28:BS38)</f>
        <v>-609617</v>
      </c>
      <c r="BT39" s="162"/>
      <c r="BU39" s="162"/>
      <c r="BV39" s="157"/>
      <c r="BW39" s="162">
        <f t="shared" ref="BW39:CB39" si="500">SUBTOTAL(9,BV24:BV38)</f>
        <v>0</v>
      </c>
      <c r="BX39" s="162">
        <f t="shared" si="500"/>
        <v>0</v>
      </c>
      <c r="BY39" s="162" t="e">
        <f t="shared" si="500"/>
        <v>#DIV/0!</v>
      </c>
      <c r="BZ39" s="162">
        <f t="shared" si="500"/>
        <v>0</v>
      </c>
      <c r="CA39" s="162">
        <f t="shared" si="500"/>
        <v>0</v>
      </c>
      <c r="CB39" s="167">
        <f t="shared" si="500"/>
        <v>81.956826137689617</v>
      </c>
      <c r="CC39" s="158"/>
      <c r="CD39" s="167"/>
      <c r="CE39" s="167"/>
      <c r="CF39" s="167">
        <f>SUBTOTAL(9,CE24:CE38)</f>
        <v>0</v>
      </c>
      <c r="CG39" s="167">
        <f>SUBTOTAL(9,CF24:CF38)</f>
        <v>3386101.54</v>
      </c>
      <c r="CH39" s="167"/>
      <c r="CI39" s="168"/>
      <c r="CJ39" s="167"/>
      <c r="CK39" s="167"/>
      <c r="CL39" s="167">
        <f t="shared" ref="CL39:CS39" si="501">SUBTOTAL(9,CK24:CK38)</f>
        <v>0</v>
      </c>
      <c r="CM39" s="167">
        <f t="shared" si="501"/>
        <v>-554906</v>
      </c>
      <c r="CN39" s="167">
        <f t="shared" si="501"/>
        <v>-609617</v>
      </c>
      <c r="CO39" s="167">
        <f t="shared" si="501"/>
        <v>-609617</v>
      </c>
      <c r="CP39" s="167">
        <f t="shared" si="501"/>
        <v>0</v>
      </c>
      <c r="CQ39" s="167">
        <f t="shared" si="501"/>
        <v>-654789.08000000007</v>
      </c>
      <c r="CR39" s="167">
        <f t="shared" si="501"/>
        <v>0</v>
      </c>
      <c r="CS39" s="167">
        <f t="shared" si="501"/>
        <v>0</v>
      </c>
      <c r="CT39" s="167"/>
      <c r="CU39" s="167"/>
      <c r="CV39" s="167"/>
      <c r="CW39" s="167"/>
    </row>
    <row r="40" spans="2:101" s="151" customFormat="1" ht="12.6" thickBot="1" x14ac:dyDescent="0.3">
      <c r="B40" s="169"/>
      <c r="C40" s="169"/>
      <c r="D40" s="169"/>
      <c r="E40" s="169"/>
      <c r="F40" s="327"/>
      <c r="G40" s="169"/>
      <c r="H40" s="169"/>
      <c r="I40" s="328"/>
      <c r="J40" s="169"/>
      <c r="K40" s="328"/>
      <c r="L40" s="327"/>
      <c r="M40" s="329"/>
      <c r="N40" s="161"/>
      <c r="O40" s="162"/>
      <c r="P40" s="191"/>
      <c r="Q40" s="330"/>
      <c r="R40" s="330"/>
      <c r="S40" s="330"/>
      <c r="T40" s="330"/>
      <c r="U40" s="331"/>
      <c r="V40" s="331"/>
      <c r="W40" s="332"/>
      <c r="X40" s="332"/>
      <c r="Y40" s="330"/>
      <c r="Z40" s="330"/>
      <c r="AA40" s="162"/>
      <c r="AB40" s="162"/>
      <c r="AC40" s="162"/>
      <c r="AD40" s="330"/>
      <c r="AE40" s="330"/>
      <c r="AF40" s="169"/>
      <c r="AG40" s="169"/>
      <c r="AH40" s="333"/>
      <c r="AI40" s="333"/>
      <c r="AJ40" s="330"/>
      <c r="AK40" s="330"/>
      <c r="AL40" s="330"/>
      <c r="AM40" s="330"/>
      <c r="AN40" s="191"/>
      <c r="AO40" s="191"/>
      <c r="AP40" s="191"/>
      <c r="AQ40" s="330"/>
      <c r="AR40" s="162"/>
      <c r="AS40" s="334"/>
      <c r="AT40" s="162"/>
      <c r="AU40" s="191"/>
      <c r="AV40" s="191"/>
      <c r="AW40" s="330"/>
      <c r="AX40" s="330"/>
      <c r="AY40" s="330"/>
      <c r="AZ40" s="330"/>
      <c r="BA40" s="330"/>
      <c r="BB40" s="330"/>
      <c r="BC40" s="330"/>
      <c r="BD40" s="330"/>
      <c r="BE40" s="330"/>
      <c r="BF40" s="330"/>
      <c r="BG40" s="330"/>
      <c r="BH40" s="191"/>
      <c r="BI40" s="191"/>
      <c r="BJ40" s="191"/>
      <c r="BK40" s="191"/>
      <c r="BL40" s="330"/>
      <c r="BM40" s="330"/>
      <c r="BN40" s="330"/>
      <c r="BO40" s="330"/>
      <c r="BP40" s="330"/>
      <c r="BQ40" s="330"/>
      <c r="BR40" s="330"/>
      <c r="BS40" s="330"/>
      <c r="BT40" s="330"/>
      <c r="BU40" s="330"/>
      <c r="BV40" s="169"/>
      <c r="BW40" s="330"/>
      <c r="BX40" s="330"/>
      <c r="BY40" s="330"/>
      <c r="BZ40" s="330"/>
      <c r="CA40" s="330"/>
      <c r="CB40" s="330"/>
      <c r="CC40" s="327"/>
      <c r="CD40" s="330"/>
      <c r="CE40" s="330"/>
      <c r="CF40" s="330"/>
      <c r="CG40" s="330"/>
      <c r="CH40" s="330"/>
      <c r="CI40" s="335"/>
      <c r="CJ40" s="330"/>
      <c r="CK40" s="330"/>
      <c r="CL40" s="330"/>
      <c r="CM40" s="330"/>
      <c r="CN40" s="330"/>
      <c r="CO40" s="330"/>
      <c r="CP40" s="330"/>
      <c r="CQ40" s="330"/>
      <c r="CR40" s="330"/>
      <c r="CS40" s="330"/>
      <c r="CT40" s="330"/>
      <c r="CU40" s="330"/>
      <c r="CV40" s="330"/>
      <c r="CW40" s="330"/>
    </row>
    <row r="41" spans="2:101" s="170" customFormat="1" ht="15" customHeight="1" thickBot="1" x14ac:dyDescent="0.3">
      <c r="N41" s="194" t="s">
        <v>87</v>
      </c>
      <c r="O41" s="195" t="s">
        <v>56</v>
      </c>
      <c r="P41" s="196"/>
      <c r="Q41" s="178"/>
      <c r="R41" s="178"/>
      <c r="S41" s="178"/>
      <c r="T41" s="178"/>
      <c r="U41" s="174"/>
      <c r="V41" s="150"/>
      <c r="W41" s="150"/>
      <c r="AA41" s="351" t="s">
        <v>87</v>
      </c>
      <c r="AB41" s="352"/>
      <c r="AC41" s="197" t="s">
        <v>56</v>
      </c>
      <c r="AD41" s="151"/>
      <c r="AE41" s="151"/>
      <c r="AF41" s="180"/>
      <c r="AG41" s="180"/>
      <c r="AH41" s="172"/>
      <c r="AI41" s="151"/>
      <c r="AJ41" s="179"/>
      <c r="AK41" s="186"/>
      <c r="AL41" s="151"/>
      <c r="AM41" s="151"/>
      <c r="AN41" s="151"/>
      <c r="AO41" s="151"/>
      <c r="AP41" s="151"/>
      <c r="AQ41" s="151"/>
      <c r="AR41" s="346" t="s">
        <v>87</v>
      </c>
      <c r="AS41" s="347"/>
      <c r="AT41" s="198" t="s">
        <v>56</v>
      </c>
      <c r="AU41" s="199"/>
      <c r="AV41" s="199"/>
      <c r="BN41" s="151"/>
    </row>
    <row r="42" spans="2:101" s="170" customFormat="1" ht="12.6" customHeight="1" x14ac:dyDescent="0.25">
      <c r="N42" s="200" t="s">
        <v>64</v>
      </c>
      <c r="O42" s="201">
        <f>Q23+AJ23+AK23+Q39</f>
        <v>2907859</v>
      </c>
      <c r="P42" s="151"/>
      <c r="Q42" s="178"/>
      <c r="R42" s="178"/>
      <c r="S42" s="178"/>
      <c r="T42" s="178"/>
      <c r="U42" s="174"/>
      <c r="V42" s="150"/>
      <c r="W42" s="150"/>
      <c r="AA42" s="353" t="s">
        <v>86</v>
      </c>
      <c r="AB42" s="354"/>
      <c r="AC42" s="202">
        <f>Y23+Z23+AB39</f>
        <v>54711</v>
      </c>
      <c r="AD42" s="196"/>
      <c r="AE42" s="196"/>
      <c r="AF42" s="180"/>
      <c r="AG42" s="180"/>
      <c r="AH42" s="172"/>
      <c r="AI42" s="151"/>
      <c r="AJ42" s="179"/>
      <c r="AK42" s="188"/>
      <c r="AL42" s="151"/>
      <c r="AM42" s="151"/>
      <c r="AN42" s="151"/>
      <c r="AO42" s="151"/>
      <c r="AP42" s="151"/>
      <c r="AQ42" s="151"/>
      <c r="AR42" s="221" t="s">
        <v>63</v>
      </c>
      <c r="AS42" s="213"/>
      <c r="AT42" s="203">
        <f>+AY23+BL23+BM23+BC23+BG23</f>
        <v>2557473.6000000006</v>
      </c>
      <c r="AU42" s="204"/>
      <c r="AV42" s="204"/>
      <c r="BN42" s="151"/>
    </row>
    <row r="43" spans="2:101" s="170" customFormat="1" ht="11.4" customHeight="1" x14ac:dyDescent="0.25">
      <c r="N43" s="200" t="s">
        <v>88</v>
      </c>
      <c r="O43" s="201">
        <v>2857095</v>
      </c>
      <c r="P43" s="205">
        <v>46203</v>
      </c>
      <c r="Q43" s="178"/>
      <c r="S43" s="178"/>
      <c r="T43" s="178"/>
      <c r="U43" s="174"/>
      <c r="V43" s="150"/>
      <c r="W43" s="150"/>
      <c r="AA43" s="353" t="s">
        <v>65</v>
      </c>
      <c r="AB43" s="354"/>
      <c r="AC43" s="206">
        <v>54711</v>
      </c>
      <c r="AD43" s="205">
        <f>P43</f>
        <v>46203</v>
      </c>
      <c r="AF43" s="180"/>
      <c r="AG43" s="180"/>
      <c r="AH43" s="172"/>
      <c r="AI43" s="151"/>
      <c r="AJ43" s="179"/>
      <c r="AK43" s="188"/>
      <c r="AL43" s="151"/>
      <c r="AM43" s="151"/>
      <c r="AN43" s="151"/>
      <c r="AO43" s="151"/>
      <c r="AP43" s="151"/>
      <c r="AQ43" s="151"/>
      <c r="AR43" s="221" t="s">
        <v>65</v>
      </c>
      <c r="AS43" s="213"/>
      <c r="AT43" s="207">
        <v>2498939.6</v>
      </c>
      <c r="AU43" s="205">
        <f>P43</f>
        <v>46203</v>
      </c>
      <c r="AV43" s="205"/>
    </row>
    <row r="44" spans="2:101" s="170" customFormat="1" ht="11.4" customHeight="1" x14ac:dyDescent="0.25">
      <c r="N44" s="200" t="s">
        <v>66</v>
      </c>
      <c r="O44" s="208">
        <f>O43-O42</f>
        <v>-50764</v>
      </c>
      <c r="P44" s="151"/>
      <c r="Q44" s="178"/>
      <c r="S44" s="178"/>
      <c r="T44" s="178"/>
      <c r="U44" s="174"/>
      <c r="V44" s="150"/>
      <c r="W44" s="150"/>
      <c r="AA44" s="353" t="s">
        <v>66</v>
      </c>
      <c r="AB44" s="354"/>
      <c r="AC44" s="209">
        <f>AC43-AC42</f>
        <v>0</v>
      </c>
      <c r="AD44" s="196"/>
      <c r="AE44" s="196"/>
      <c r="AF44" s="180"/>
      <c r="AG44" s="180"/>
      <c r="AH44" s="172"/>
      <c r="AI44" s="151"/>
      <c r="AJ44" s="179"/>
      <c r="AK44" s="151"/>
      <c r="AL44" s="151"/>
      <c r="AM44" s="151"/>
      <c r="AN44" s="151"/>
      <c r="AO44" s="151"/>
      <c r="AP44" s="151"/>
      <c r="AQ44" s="151"/>
      <c r="AR44" s="221" t="s">
        <v>66</v>
      </c>
      <c r="AS44" s="213"/>
      <c r="AT44" s="208">
        <f>AT42-AT43</f>
        <v>58534.000000000466</v>
      </c>
      <c r="AU44" s="190"/>
      <c r="AV44" s="190"/>
    </row>
    <row r="45" spans="2:101" s="170" customFormat="1" ht="12" x14ac:dyDescent="0.25">
      <c r="N45" s="200" t="s">
        <v>261</v>
      </c>
      <c r="O45" s="203">
        <f>'Last year''s'!G3</f>
        <v>244602</v>
      </c>
      <c r="P45" s="185"/>
      <c r="Q45" s="178"/>
      <c r="S45" s="178"/>
      <c r="T45" s="178"/>
      <c r="U45" s="174"/>
      <c r="V45" s="150"/>
      <c r="W45" s="150"/>
      <c r="Z45" s="324" t="s">
        <v>270</v>
      </c>
      <c r="AA45" s="353" t="s">
        <v>183</v>
      </c>
      <c r="AB45" s="354"/>
      <c r="AC45" s="210">
        <v>0</v>
      </c>
      <c r="AD45" s="196"/>
      <c r="AE45" s="196"/>
      <c r="AF45" s="180"/>
      <c r="AG45" s="180"/>
      <c r="AH45" s="172"/>
      <c r="AI45" s="151"/>
      <c r="AJ45" s="179"/>
      <c r="AK45" s="151"/>
      <c r="AL45" s="151"/>
      <c r="AM45" s="151"/>
      <c r="AN45" s="151"/>
      <c r="AO45" s="151"/>
      <c r="AP45" s="151"/>
      <c r="AQ45" s="151"/>
      <c r="AR45" s="221" t="s">
        <v>182</v>
      </c>
      <c r="AS45" s="213"/>
      <c r="AT45" s="203">
        <f>'Last year''s'!N3</f>
        <v>227297.5</v>
      </c>
      <c r="AU45" s="190"/>
      <c r="AV45" s="190"/>
    </row>
    <row r="46" spans="2:101" s="170" customFormat="1" ht="12" x14ac:dyDescent="0.25">
      <c r="N46" s="200" t="s">
        <v>172</v>
      </c>
      <c r="O46" s="203">
        <v>0</v>
      </c>
      <c r="P46" s="211"/>
      <c r="Q46" s="178"/>
      <c r="S46" s="178"/>
      <c r="T46" s="178"/>
      <c r="U46" s="174"/>
      <c r="V46" s="150"/>
      <c r="W46" s="150"/>
      <c r="X46" s="170" t="s">
        <v>271</v>
      </c>
      <c r="AA46" s="353" t="s">
        <v>160</v>
      </c>
      <c r="AB46" s="354"/>
      <c r="AC46" s="210">
        <f>'Last year''s'!T32</f>
        <v>0</v>
      </c>
      <c r="AD46" s="196"/>
      <c r="AE46" s="196"/>
      <c r="AF46" s="180"/>
      <c r="AG46" s="180"/>
      <c r="AH46" s="151"/>
      <c r="AI46" s="151"/>
      <c r="AJ46" s="212"/>
      <c r="AK46" s="151"/>
      <c r="AL46" s="151"/>
      <c r="AM46" s="151"/>
      <c r="AN46" s="151"/>
      <c r="AO46" s="151"/>
      <c r="AP46" s="151"/>
      <c r="AQ46" s="151"/>
      <c r="AR46" s="221" t="s">
        <v>181</v>
      </c>
      <c r="AS46" s="213"/>
      <c r="AT46" s="203">
        <f>'Last year''s'!N5</f>
        <v>168763.5</v>
      </c>
      <c r="AU46" s="204"/>
      <c r="AV46" s="204"/>
    </row>
    <row r="47" spans="2:101" s="170" customFormat="1" ht="12" x14ac:dyDescent="0.25">
      <c r="N47" s="200" t="s">
        <v>262</v>
      </c>
      <c r="O47" s="203">
        <f>'Last year''s'!G4</f>
        <v>295366</v>
      </c>
      <c r="P47" s="186"/>
      <c r="Q47" s="178"/>
      <c r="S47" s="178"/>
      <c r="T47" s="178"/>
      <c r="U47" s="174"/>
      <c r="V47" s="150"/>
      <c r="W47" s="150"/>
      <c r="AA47" s="353"/>
      <c r="AB47" s="354"/>
      <c r="AC47" s="210"/>
      <c r="AD47" s="204"/>
      <c r="AE47" s="204"/>
      <c r="AF47" s="180"/>
      <c r="AG47" s="180"/>
      <c r="AH47" s="151"/>
      <c r="AI47" s="151"/>
      <c r="AJ47" s="212"/>
      <c r="AK47" s="151"/>
      <c r="AL47" s="151"/>
      <c r="AM47" s="151"/>
      <c r="AN47" s="151"/>
      <c r="AO47" s="151"/>
      <c r="AP47" s="151"/>
      <c r="AQ47" s="151"/>
      <c r="AR47" s="221" t="s">
        <v>83</v>
      </c>
      <c r="AS47" s="213"/>
      <c r="AT47" s="203">
        <f>-'Recon Items'!C29+'Recon Items'!F29+'Recon Items'!Q8</f>
        <v>0</v>
      </c>
      <c r="AU47" s="204"/>
      <c r="AV47" s="204"/>
    </row>
    <row r="48" spans="2:101" s="170" customFormat="1" ht="12.6" thickBot="1" x14ac:dyDescent="0.3">
      <c r="N48" s="200" t="s">
        <v>83</v>
      </c>
      <c r="O48" s="203">
        <f>'Recon Items'!F18-'Recon Items'!C18-'Recon Items'!M18</f>
        <v>0</v>
      </c>
      <c r="P48" s="191"/>
      <c r="Q48" s="178"/>
      <c r="S48" s="178"/>
      <c r="T48" s="178"/>
      <c r="U48" s="174"/>
      <c r="V48" s="150"/>
      <c r="W48" s="150"/>
      <c r="AA48" s="349" t="s">
        <v>155</v>
      </c>
      <c r="AB48" s="350"/>
      <c r="AC48" s="213"/>
      <c r="AD48" s="178"/>
      <c r="AE48" s="178"/>
      <c r="AF48" s="180"/>
      <c r="AG48" s="180"/>
      <c r="AH48" s="151"/>
      <c r="AI48" s="151"/>
      <c r="AJ48" s="212"/>
      <c r="AK48" s="151"/>
      <c r="AL48" s="151"/>
      <c r="AM48" s="151"/>
      <c r="AN48" s="151"/>
      <c r="AO48" s="151"/>
      <c r="AP48" s="151"/>
      <c r="AQ48" s="151"/>
      <c r="AR48" s="221" t="s">
        <v>155</v>
      </c>
      <c r="AS48" s="213"/>
      <c r="AT48" s="203">
        <f>'Recon Items'!F64</f>
        <v>0</v>
      </c>
      <c r="AU48" s="190"/>
      <c r="AV48" s="190"/>
    </row>
    <row r="49" spans="5:86" s="170" customFormat="1" ht="15" customHeight="1" thickBot="1" x14ac:dyDescent="0.3">
      <c r="N49" s="200" t="s">
        <v>155</v>
      </c>
      <c r="O49" s="214">
        <f>'Recon Items'!C64</f>
        <v>0</v>
      </c>
      <c r="Q49" s="178"/>
      <c r="S49" s="178"/>
      <c r="T49" s="178"/>
      <c r="U49" s="174"/>
      <c r="V49" s="150"/>
      <c r="W49" s="150"/>
      <c r="AA49" s="215" t="s">
        <v>66</v>
      </c>
      <c r="AB49" s="158"/>
      <c r="AC49" s="216">
        <f>-AC44+AC45+AC46</f>
        <v>0</v>
      </c>
      <c r="AD49" s="191"/>
      <c r="AE49" s="191"/>
      <c r="AF49" s="180"/>
      <c r="AG49" s="180"/>
      <c r="AH49" s="151"/>
      <c r="AI49" s="151"/>
      <c r="AJ49" s="177"/>
      <c r="AK49" s="151"/>
      <c r="AL49" s="151"/>
      <c r="AM49" s="151"/>
      <c r="AN49" s="151"/>
      <c r="AO49" s="151"/>
      <c r="AP49" s="151"/>
      <c r="AQ49" s="151"/>
      <c r="AR49" s="344" t="s">
        <v>77</v>
      </c>
      <c r="AS49" s="345"/>
      <c r="AT49" s="217">
        <f>AT44+AT46+AT47-AT45+AT48</f>
        <v>4.6566128730773926E-10</v>
      </c>
      <c r="AU49" s="151"/>
      <c r="AV49" s="151"/>
    </row>
    <row r="50" spans="5:86" s="151" customFormat="1" ht="12.6" thickBot="1" x14ac:dyDescent="0.3">
      <c r="E50" s="171"/>
      <c r="F50" s="172"/>
      <c r="H50" s="172"/>
      <c r="I50" s="193"/>
      <c r="J50" s="179"/>
      <c r="K50" s="193"/>
      <c r="L50" s="174"/>
      <c r="M50" s="172"/>
      <c r="N50" s="215" t="s">
        <v>66</v>
      </c>
      <c r="O50" s="216">
        <f>O44+O47-O48-O45-O49-O46</f>
        <v>0</v>
      </c>
      <c r="P50" s="179"/>
      <c r="Q50" s="178"/>
      <c r="U50" s="174"/>
      <c r="V50" s="150"/>
      <c r="W50" s="150"/>
      <c r="X50" s="172"/>
      <c r="AD50" s="179"/>
      <c r="AE50" s="179"/>
      <c r="AF50" s="180"/>
      <c r="AG50" s="180"/>
      <c r="AH50" s="172"/>
      <c r="AM50" s="179"/>
      <c r="AR50" s="189"/>
      <c r="BL50" s="180"/>
      <c r="BQ50" s="172"/>
      <c r="BR50" s="192"/>
      <c r="BX50" s="172"/>
      <c r="CB50" s="171"/>
      <c r="CH50" s="172"/>
    </row>
    <row r="51" spans="5:86" s="151" customFormat="1" ht="12" x14ac:dyDescent="0.25">
      <c r="E51" s="171"/>
      <c r="F51" s="172"/>
      <c r="H51" s="172"/>
      <c r="I51" s="193"/>
      <c r="J51" s="179"/>
      <c r="K51" s="193"/>
      <c r="L51" s="174"/>
      <c r="M51" s="172"/>
      <c r="N51" s="180"/>
      <c r="O51" s="180"/>
      <c r="P51" s="179"/>
      <c r="Q51" s="178"/>
      <c r="U51" s="174"/>
      <c r="V51" s="150"/>
      <c r="W51" s="150"/>
      <c r="X51" s="172"/>
      <c r="AD51" s="179"/>
      <c r="AE51" s="179"/>
      <c r="AF51" s="180"/>
      <c r="AG51" s="180"/>
      <c r="AH51" s="172"/>
      <c r="AM51" s="179"/>
      <c r="AR51" s="189"/>
      <c r="BL51" s="180"/>
      <c r="BQ51" s="172"/>
      <c r="BR51" s="192"/>
      <c r="BX51" s="172"/>
      <c r="CB51" s="171"/>
      <c r="CH51" s="172"/>
    </row>
    <row r="52" spans="5:86" s="151" customFormat="1" ht="12" x14ac:dyDescent="0.25">
      <c r="E52" s="171"/>
      <c r="F52" s="172"/>
      <c r="H52" s="172"/>
      <c r="I52" s="193"/>
      <c r="J52" s="179"/>
      <c r="K52" s="193"/>
      <c r="L52" s="174"/>
      <c r="M52" s="172"/>
      <c r="N52" s="180"/>
      <c r="O52" s="180"/>
      <c r="P52" s="179"/>
      <c r="Q52" s="178"/>
      <c r="U52" s="174"/>
      <c r="V52" s="150"/>
      <c r="W52" s="150"/>
      <c r="X52" s="172"/>
      <c r="AD52" s="179"/>
      <c r="AE52" s="179"/>
      <c r="AF52" s="180"/>
      <c r="AG52" s="180"/>
      <c r="AH52" s="172"/>
      <c r="AM52" s="179"/>
      <c r="AR52" s="189"/>
      <c r="BL52" s="180"/>
      <c r="BQ52" s="172"/>
      <c r="BR52" s="192"/>
      <c r="BX52" s="172"/>
      <c r="CB52" s="171"/>
      <c r="CH52" s="172"/>
    </row>
    <row r="53" spans="5:86" s="151" customFormat="1" ht="12" x14ac:dyDescent="0.25">
      <c r="E53" s="171"/>
      <c r="F53" s="172"/>
      <c r="H53" s="172"/>
      <c r="I53" s="193"/>
      <c r="J53" s="179"/>
      <c r="K53" s="193"/>
      <c r="L53" s="174"/>
      <c r="M53" s="172"/>
      <c r="N53" s="180"/>
      <c r="O53" s="180"/>
      <c r="P53" s="179"/>
      <c r="Q53" s="178"/>
      <c r="U53" s="174"/>
      <c r="V53" s="150"/>
      <c r="W53" s="150"/>
      <c r="X53" s="172"/>
      <c r="AD53" s="179"/>
      <c r="AE53" s="179"/>
      <c r="AF53" s="180"/>
      <c r="AG53" s="180"/>
      <c r="AH53" s="172"/>
      <c r="AM53" s="179"/>
      <c r="AR53" s="189"/>
      <c r="BL53" s="180"/>
      <c r="BQ53" s="172"/>
      <c r="BR53" s="192"/>
      <c r="BX53" s="172"/>
      <c r="CB53" s="171"/>
      <c r="CH53" s="172"/>
    </row>
    <row r="54" spans="5:86" s="151" customFormat="1" ht="12" x14ac:dyDescent="0.25">
      <c r="E54" s="171"/>
      <c r="F54" s="172"/>
      <c r="H54" s="172"/>
      <c r="I54" s="193"/>
      <c r="J54" s="179"/>
      <c r="K54" s="193"/>
      <c r="L54" s="174"/>
      <c r="M54" s="172"/>
      <c r="N54" s="180"/>
      <c r="O54" s="180"/>
      <c r="P54" s="179"/>
      <c r="Q54" s="178"/>
      <c r="U54" s="174"/>
      <c r="V54" s="150"/>
      <c r="W54" s="150"/>
      <c r="X54" s="172"/>
      <c r="AD54" s="179"/>
      <c r="AE54" s="179"/>
      <c r="AF54" s="180"/>
      <c r="AG54" s="180"/>
      <c r="AH54" s="172"/>
      <c r="AM54" s="179"/>
      <c r="AR54" s="189"/>
      <c r="BL54" s="180"/>
      <c r="BQ54" s="172"/>
      <c r="BR54" s="192"/>
      <c r="BX54" s="172"/>
      <c r="CB54" s="171"/>
      <c r="CH54" s="172"/>
    </row>
    <row r="55" spans="5:86" s="151" customFormat="1" ht="12" x14ac:dyDescent="0.25">
      <c r="E55" s="171"/>
      <c r="F55" s="172"/>
      <c r="H55" s="172"/>
      <c r="I55" s="193"/>
      <c r="J55" s="179"/>
      <c r="K55" s="193"/>
      <c r="L55" s="174"/>
      <c r="M55" s="172"/>
      <c r="N55" s="180"/>
      <c r="O55" s="180"/>
      <c r="P55" s="179"/>
      <c r="Q55" s="178"/>
      <c r="U55" s="174"/>
      <c r="V55" s="150"/>
      <c r="W55" s="150"/>
      <c r="X55" s="172"/>
      <c r="AD55" s="179"/>
      <c r="AE55" s="179"/>
      <c r="AF55" s="180"/>
      <c r="AG55" s="180"/>
      <c r="AH55" s="172"/>
      <c r="AM55" s="179"/>
      <c r="AR55" s="189"/>
      <c r="BL55" s="180"/>
      <c r="BQ55" s="172"/>
      <c r="BR55" s="192"/>
      <c r="BX55" s="172"/>
      <c r="CB55" s="171"/>
      <c r="CH55" s="172"/>
    </row>
    <row r="56" spans="5:86" s="151" customFormat="1" ht="12" x14ac:dyDescent="0.25">
      <c r="E56" s="171"/>
      <c r="F56" s="172"/>
      <c r="H56" s="172"/>
      <c r="I56" s="193"/>
      <c r="J56" s="179"/>
      <c r="K56" s="193"/>
      <c r="L56" s="174"/>
      <c r="M56" s="172"/>
      <c r="N56" s="180"/>
      <c r="O56" s="180"/>
      <c r="P56" s="179"/>
      <c r="Q56" s="178"/>
      <c r="U56" s="174"/>
      <c r="V56" s="150"/>
      <c r="W56" s="150"/>
      <c r="X56" s="172"/>
      <c r="AD56" s="179"/>
      <c r="AE56" s="179"/>
      <c r="AF56" s="180"/>
      <c r="AG56" s="180"/>
      <c r="AH56" s="172"/>
      <c r="AM56" s="179"/>
      <c r="AR56" s="189"/>
      <c r="BL56" s="180"/>
      <c r="BQ56" s="172"/>
      <c r="BR56" s="192"/>
      <c r="BX56" s="172"/>
      <c r="CB56" s="171"/>
      <c r="CH56" s="172"/>
    </row>
    <row r="57" spans="5:86" x14ac:dyDescent="0.2">
      <c r="Q57" s="104"/>
    </row>
    <row r="58" spans="5:86" x14ac:dyDescent="0.2">
      <c r="Q58" s="104"/>
    </row>
    <row r="59" spans="5:86" x14ac:dyDescent="0.2">
      <c r="Q59" s="104"/>
    </row>
    <row r="60" spans="5:86" x14ac:dyDescent="0.2">
      <c r="Q60" s="104"/>
    </row>
    <row r="61" spans="5:86" x14ac:dyDescent="0.2">
      <c r="Q61" s="104"/>
    </row>
    <row r="62" spans="5:86" s="90" customFormat="1" ht="14.4" x14ac:dyDescent="0.3">
      <c r="N62" s="105"/>
      <c r="O62" s="105"/>
      <c r="Q62" s="104"/>
      <c r="R62" s="82"/>
      <c r="S62" s="82"/>
      <c r="T62" s="82"/>
      <c r="U62" s="102"/>
      <c r="V62" s="88"/>
      <c r="W62" s="111"/>
      <c r="X62" s="103"/>
      <c r="Y62" s="82"/>
      <c r="Z62" s="112"/>
      <c r="AD62" s="97"/>
      <c r="AE62" s="97"/>
      <c r="AF62" s="105"/>
      <c r="AG62" s="105"/>
      <c r="AH62" s="112"/>
      <c r="AI62" s="82"/>
      <c r="AJ62" s="107"/>
      <c r="AK62" s="82"/>
      <c r="AL62" s="82"/>
      <c r="AM62" s="113"/>
      <c r="AN62" s="112"/>
      <c r="AO62" s="112"/>
      <c r="AP62" s="82"/>
      <c r="AQ62" s="82"/>
      <c r="AR62" s="108"/>
      <c r="AS62" s="82"/>
      <c r="AT62" s="82"/>
      <c r="AU62" s="82"/>
      <c r="AV62" s="82"/>
      <c r="AW62" s="82"/>
      <c r="AX62" s="82"/>
      <c r="AY62" s="82"/>
      <c r="AZ62" s="82"/>
      <c r="BA62" s="82"/>
      <c r="BB62" s="82"/>
      <c r="BC62" s="82"/>
      <c r="BD62" s="82"/>
      <c r="BE62" s="82"/>
      <c r="BF62" s="82"/>
      <c r="BG62" s="112"/>
      <c r="BH62" s="107"/>
      <c r="BI62" s="107"/>
      <c r="BJ62" s="106">
        <f>SUM(BJ56:BJ61)</f>
        <v>0</v>
      </c>
    </row>
    <row r="63" spans="5:86" s="90" customFormat="1" ht="14.4" x14ac:dyDescent="0.3">
      <c r="Q63" s="104"/>
      <c r="R63" s="82"/>
      <c r="S63" s="82"/>
      <c r="T63" s="82"/>
      <c r="U63" s="102"/>
      <c r="V63" s="88"/>
      <c r="W63" s="111"/>
      <c r="X63" s="103"/>
      <c r="Y63" s="82"/>
      <c r="Z63" s="104"/>
      <c r="AA63" s="104"/>
      <c r="AB63" s="104"/>
      <c r="AD63" s="97"/>
      <c r="AE63" s="97"/>
      <c r="AF63" s="105"/>
      <c r="AG63" s="105"/>
      <c r="AH63" s="112"/>
      <c r="AI63" s="82"/>
      <c r="AJ63" s="82"/>
      <c r="AK63" s="82"/>
      <c r="AL63" s="82"/>
      <c r="AM63" s="113"/>
      <c r="AN63" s="112"/>
      <c r="AO63" s="112"/>
      <c r="AP63" s="82"/>
      <c r="AQ63" s="82"/>
      <c r="AR63" s="108"/>
      <c r="AS63" s="82"/>
      <c r="AT63" s="82"/>
      <c r="AU63" s="82"/>
      <c r="AV63" s="82"/>
      <c r="AW63" s="82"/>
      <c r="AX63" s="82"/>
      <c r="AY63" s="82"/>
      <c r="AZ63" s="82"/>
      <c r="BA63" s="82"/>
      <c r="BB63" s="82"/>
      <c r="BC63" s="82"/>
      <c r="BD63" s="82"/>
      <c r="BE63" s="82"/>
      <c r="BF63" s="82"/>
      <c r="BG63" s="112"/>
      <c r="BH63" s="109"/>
      <c r="BI63" s="109"/>
      <c r="BJ63" s="109">
        <f>BJ55-BJ62</f>
        <v>0</v>
      </c>
    </row>
    <row r="64" spans="5:86" s="90" customFormat="1" ht="14.4" x14ac:dyDescent="0.3">
      <c r="Q64" s="104"/>
      <c r="R64" s="82"/>
      <c r="S64" s="82"/>
      <c r="T64" s="82"/>
      <c r="U64" s="102"/>
      <c r="V64" s="88"/>
      <c r="W64" s="111"/>
      <c r="X64" s="103"/>
      <c r="Y64" s="82"/>
      <c r="Z64" s="82"/>
      <c r="AA64" s="104"/>
      <c r="AB64" s="104"/>
      <c r="AC64" s="104"/>
      <c r="AD64" s="97"/>
      <c r="AE64" s="97"/>
      <c r="AF64" s="105"/>
      <c r="AG64" s="105"/>
      <c r="AH64" s="112"/>
      <c r="AI64" s="82"/>
      <c r="AJ64" s="82"/>
      <c r="AK64" s="82"/>
      <c r="AL64" s="82"/>
      <c r="AM64" s="113"/>
      <c r="AN64" s="112"/>
      <c r="AO64" s="112"/>
      <c r="AP64" s="82"/>
      <c r="AQ64" s="82"/>
      <c r="AR64" s="108"/>
      <c r="AS64" s="82"/>
      <c r="AT64" s="82"/>
      <c r="AU64" s="82"/>
      <c r="AV64" s="82"/>
      <c r="AW64" s="82"/>
      <c r="AX64" s="82"/>
      <c r="AY64" s="82"/>
      <c r="AZ64" s="82"/>
      <c r="BA64" s="82"/>
      <c r="BB64" s="82"/>
      <c r="BC64" s="82"/>
      <c r="BD64" s="82"/>
      <c r="BE64" s="82"/>
      <c r="BF64" s="82"/>
      <c r="BG64" s="112"/>
      <c r="BH64" s="82"/>
      <c r="BI64" s="82"/>
      <c r="BJ64" s="82"/>
    </row>
    <row r="65" spans="14:62" s="90" customFormat="1" ht="14.4" x14ac:dyDescent="0.3">
      <c r="Q65" s="104"/>
      <c r="R65" s="82"/>
      <c r="S65" s="82"/>
      <c r="T65" s="82"/>
      <c r="U65" s="102"/>
      <c r="V65" s="88"/>
      <c r="W65" s="111"/>
      <c r="X65" s="103"/>
      <c r="Y65" s="82"/>
      <c r="Z65" s="82"/>
      <c r="AA65" s="104"/>
      <c r="AB65" s="82"/>
      <c r="AC65" s="104"/>
      <c r="AD65" s="97"/>
      <c r="AE65" s="97"/>
      <c r="AF65" s="105"/>
      <c r="AG65" s="105"/>
      <c r="AH65" s="112"/>
      <c r="AI65" s="82"/>
      <c r="AJ65" s="82"/>
      <c r="AK65" s="82"/>
      <c r="AL65" s="82"/>
      <c r="AM65" s="97"/>
      <c r="AN65" s="112"/>
      <c r="AO65" s="112"/>
      <c r="AP65" s="82"/>
      <c r="AQ65" s="82"/>
      <c r="AR65" s="108"/>
      <c r="AS65" s="82"/>
      <c r="AT65" s="82"/>
      <c r="AU65" s="82"/>
      <c r="AV65" s="82"/>
      <c r="AW65" s="82"/>
      <c r="AX65" s="82"/>
      <c r="AY65" s="82"/>
      <c r="AZ65" s="82"/>
      <c r="BA65" s="82"/>
      <c r="BB65" s="82"/>
      <c r="BC65" s="82"/>
      <c r="BD65" s="82"/>
      <c r="BE65" s="82"/>
      <c r="BF65" s="82"/>
      <c r="BG65" s="112"/>
      <c r="BH65" s="97"/>
      <c r="BI65" s="97"/>
      <c r="BJ65" s="82"/>
    </row>
    <row r="66" spans="14:62" s="90" customFormat="1" ht="14.4" x14ac:dyDescent="0.3">
      <c r="Q66" s="104"/>
      <c r="R66" s="82"/>
      <c r="S66" s="82"/>
      <c r="T66" s="82"/>
      <c r="U66" s="102"/>
      <c r="V66" s="88"/>
      <c r="W66" s="111"/>
      <c r="X66" s="103"/>
      <c r="Y66" s="82"/>
      <c r="Z66" s="82"/>
      <c r="AA66" s="104"/>
      <c r="AB66" s="82"/>
      <c r="AD66" s="97"/>
      <c r="AE66" s="97"/>
      <c r="AF66" s="105"/>
      <c r="AG66" s="105"/>
      <c r="AH66" s="112"/>
      <c r="AI66" s="82"/>
      <c r="AJ66" s="82"/>
      <c r="AK66" s="82"/>
      <c r="AL66" s="82"/>
      <c r="AM66" s="97"/>
      <c r="AN66" s="112"/>
      <c r="AO66" s="112"/>
      <c r="AP66" s="82"/>
      <c r="AQ66" s="82"/>
      <c r="AR66" s="108"/>
      <c r="AS66" s="82"/>
      <c r="AT66" s="82"/>
      <c r="AU66" s="82"/>
      <c r="AV66" s="82"/>
      <c r="AW66" s="82"/>
      <c r="AX66" s="82"/>
      <c r="AY66" s="82"/>
      <c r="AZ66" s="82"/>
      <c r="BA66" s="82"/>
      <c r="BB66" s="82"/>
      <c r="BC66" s="82"/>
      <c r="BD66" s="82"/>
      <c r="BE66" s="82"/>
      <c r="BF66" s="82"/>
      <c r="BG66" s="112"/>
      <c r="BH66" s="97"/>
      <c r="BI66" s="97"/>
      <c r="BJ66" s="82"/>
    </row>
    <row r="67" spans="14:62" s="90" customFormat="1" ht="14.4" x14ac:dyDescent="0.3">
      <c r="Q67" s="104"/>
      <c r="R67" s="82"/>
      <c r="S67" s="82"/>
      <c r="T67" s="82"/>
      <c r="U67" s="102"/>
      <c r="V67" s="88"/>
      <c r="W67" s="111"/>
      <c r="X67" s="103"/>
      <c r="Y67" s="82"/>
      <c r="Z67" s="82"/>
      <c r="AA67" s="104"/>
      <c r="AB67" s="82"/>
      <c r="AD67" s="97"/>
      <c r="AE67" s="97"/>
      <c r="AF67" s="105"/>
      <c r="AG67" s="105"/>
      <c r="AH67" s="112"/>
      <c r="AI67" s="82"/>
      <c r="AJ67" s="82"/>
      <c r="AK67" s="82"/>
      <c r="AL67" s="82"/>
      <c r="AM67" s="97"/>
      <c r="AN67" s="112"/>
      <c r="AO67" s="112"/>
      <c r="AP67" s="82"/>
      <c r="AQ67" s="82"/>
      <c r="AR67" s="108"/>
      <c r="AS67" s="82"/>
      <c r="AT67" s="82"/>
      <c r="AU67" s="82"/>
      <c r="AV67" s="82"/>
      <c r="AW67" s="82"/>
      <c r="AX67" s="82"/>
      <c r="AY67" s="82"/>
      <c r="AZ67" s="82"/>
      <c r="BA67" s="82"/>
      <c r="BB67" s="82"/>
      <c r="BC67" s="82"/>
      <c r="BD67" s="82"/>
      <c r="BE67" s="82"/>
      <c r="BF67" s="82"/>
      <c r="BG67" s="112"/>
      <c r="BH67" s="82"/>
      <c r="BI67" s="82"/>
      <c r="BJ67" s="82"/>
    </row>
    <row r="68" spans="14:62" s="90" customFormat="1" ht="14.4" x14ac:dyDescent="0.3">
      <c r="Q68" s="104"/>
      <c r="R68" s="82"/>
      <c r="S68" s="82"/>
      <c r="T68" s="82"/>
      <c r="U68" s="102"/>
      <c r="V68" s="88"/>
      <c r="W68" s="111"/>
      <c r="X68" s="103"/>
      <c r="Y68" s="82"/>
      <c r="Z68" s="82"/>
      <c r="AA68" s="104"/>
      <c r="AB68" s="82"/>
      <c r="AD68" s="97"/>
      <c r="AE68" s="97"/>
      <c r="AF68" s="105"/>
      <c r="AG68" s="105"/>
      <c r="AH68" s="112"/>
      <c r="AI68" s="82"/>
      <c r="AJ68" s="82"/>
      <c r="AK68" s="82"/>
      <c r="AL68" s="82"/>
      <c r="AM68" s="113"/>
      <c r="AN68" s="112"/>
      <c r="AO68" s="112"/>
      <c r="AP68" s="82"/>
      <c r="AQ68" s="82"/>
      <c r="AR68" s="108"/>
      <c r="AS68" s="82"/>
      <c r="AT68" s="82"/>
      <c r="AU68" s="82"/>
      <c r="AV68" s="82"/>
      <c r="AW68" s="82"/>
      <c r="AX68" s="82"/>
      <c r="AY68" s="82"/>
      <c r="AZ68" s="82"/>
      <c r="BA68" s="82"/>
      <c r="BB68" s="82"/>
      <c r="BC68" s="82"/>
      <c r="BD68" s="82"/>
      <c r="BE68" s="82"/>
      <c r="BF68" s="82"/>
      <c r="BG68" s="112"/>
      <c r="BH68" s="82"/>
      <c r="BI68" s="82"/>
      <c r="BJ68" s="82"/>
    </row>
    <row r="69" spans="14:62" s="90" customFormat="1" ht="14.4" x14ac:dyDescent="0.3">
      <c r="Q69" s="104"/>
      <c r="R69" s="82"/>
      <c r="S69" s="82"/>
      <c r="T69" s="82"/>
      <c r="U69" s="102"/>
      <c r="V69" s="88"/>
      <c r="W69" s="111"/>
      <c r="X69" s="103"/>
      <c r="Y69" s="82"/>
      <c r="Z69" s="82"/>
      <c r="AA69" s="104"/>
      <c r="AB69" s="82"/>
      <c r="AD69" s="97"/>
      <c r="AE69" s="97"/>
      <c r="AF69" s="105"/>
      <c r="AG69" s="105"/>
      <c r="AH69" s="112"/>
      <c r="AI69" s="82"/>
      <c r="AJ69" s="82"/>
      <c r="AK69" s="82">
        <f>AK70-AK71</f>
        <v>0</v>
      </c>
      <c r="AL69" s="82"/>
      <c r="AM69" s="97"/>
      <c r="AN69" s="112"/>
      <c r="AO69" s="112"/>
      <c r="AP69" s="82"/>
      <c r="AQ69" s="82"/>
      <c r="AR69" s="108"/>
      <c r="AS69" s="82"/>
      <c r="AT69" s="82"/>
      <c r="AU69" s="82"/>
      <c r="AV69" s="82"/>
      <c r="AW69" s="82"/>
      <c r="AX69" s="82"/>
      <c r="AY69" s="82"/>
      <c r="AZ69" s="82"/>
      <c r="BA69" s="82"/>
      <c r="BB69" s="82"/>
      <c r="BC69" s="82"/>
      <c r="BD69" s="82"/>
      <c r="BE69" s="82"/>
      <c r="BF69" s="82"/>
      <c r="BG69" s="112"/>
      <c r="BH69" s="82"/>
      <c r="BI69" s="82"/>
      <c r="BJ69" s="82"/>
    </row>
    <row r="70" spans="14:62" s="90" customFormat="1" ht="14.4" x14ac:dyDescent="0.3">
      <c r="Q70" s="104"/>
      <c r="R70" s="82"/>
      <c r="S70" s="82"/>
      <c r="T70" s="82"/>
      <c r="U70" s="102"/>
      <c r="V70" s="88"/>
      <c r="W70" s="111"/>
      <c r="X70" s="103"/>
      <c r="Y70" s="82"/>
      <c r="Z70" s="82"/>
      <c r="AA70" s="104"/>
      <c r="AB70" s="82"/>
      <c r="AD70" s="97"/>
      <c r="AE70" s="97"/>
      <c r="AF70" s="105"/>
      <c r="AG70" s="105"/>
      <c r="AH70" s="112"/>
      <c r="AJ70" s="82"/>
      <c r="AK70" s="82"/>
      <c r="AL70" s="82"/>
      <c r="AM70" s="97"/>
      <c r="AN70" s="112"/>
      <c r="AO70" s="112"/>
      <c r="AP70" s="82"/>
      <c r="AQ70" s="82"/>
      <c r="AR70" s="108"/>
      <c r="AS70" s="82"/>
      <c r="AT70" s="82"/>
      <c r="AU70" s="82"/>
      <c r="AV70" s="82"/>
      <c r="AW70" s="82"/>
      <c r="AX70" s="82"/>
      <c r="AY70" s="82"/>
      <c r="AZ70" s="82"/>
      <c r="BA70" s="82"/>
      <c r="BB70" s="82"/>
      <c r="BC70" s="82"/>
      <c r="BD70" s="82"/>
      <c r="BE70" s="82"/>
      <c r="BF70" s="82"/>
      <c r="BG70" s="114"/>
      <c r="BH70" s="82"/>
      <c r="BI70" s="82"/>
      <c r="BJ70" s="82"/>
    </row>
    <row r="71" spans="14:62" s="90" customFormat="1" ht="14.4" x14ac:dyDescent="0.3">
      <c r="Q71" s="104"/>
      <c r="R71" s="82"/>
      <c r="S71" s="82"/>
      <c r="T71" s="82"/>
      <c r="U71" s="102"/>
      <c r="V71" s="88"/>
      <c r="W71" s="111"/>
      <c r="X71" s="103"/>
      <c r="Y71" s="107"/>
      <c r="Z71" s="82"/>
      <c r="AA71" s="82"/>
      <c r="AB71" s="82"/>
      <c r="AC71" s="82"/>
      <c r="AD71" s="97"/>
      <c r="AE71" s="97"/>
      <c r="AF71" s="105"/>
      <c r="AG71" s="105"/>
      <c r="AH71" s="112"/>
      <c r="AI71" s="82"/>
      <c r="AJ71" s="82"/>
      <c r="AK71" s="82"/>
      <c r="AL71" s="82"/>
      <c r="AM71" s="97"/>
      <c r="AN71" s="112"/>
      <c r="AO71" s="112"/>
      <c r="AP71" s="82"/>
      <c r="AQ71" s="82"/>
      <c r="AR71" s="108"/>
      <c r="AS71" s="82"/>
      <c r="AT71" s="82"/>
      <c r="AU71" s="82"/>
      <c r="AV71" s="82"/>
      <c r="AW71" s="82"/>
      <c r="AX71" s="82"/>
      <c r="AY71" s="82"/>
      <c r="AZ71" s="82"/>
      <c r="BA71" s="82"/>
      <c r="BB71" s="82"/>
      <c r="BC71" s="82"/>
      <c r="BD71" s="82"/>
      <c r="BE71" s="82"/>
      <c r="BF71" s="82"/>
      <c r="BG71" s="112"/>
      <c r="BH71" s="82"/>
      <c r="BI71" s="82"/>
      <c r="BJ71" s="82"/>
    </row>
    <row r="72" spans="14:62" x14ac:dyDescent="0.2">
      <c r="N72" s="90"/>
      <c r="O72" s="90"/>
    </row>
  </sheetData>
  <dataConsolidate link="1">
    <dataRefs count="1">
      <dataRef name="s"/>
    </dataRefs>
  </dataConsolidate>
  <mergeCells count="16">
    <mergeCell ref="CN3:CR3"/>
    <mergeCell ref="AA48:AB48"/>
    <mergeCell ref="AA41:AB41"/>
    <mergeCell ref="AA42:AB42"/>
    <mergeCell ref="AA43:AB43"/>
    <mergeCell ref="AA44:AB44"/>
    <mergeCell ref="AA45:AB45"/>
    <mergeCell ref="AA46:AB46"/>
    <mergeCell ref="AA47:AB47"/>
    <mergeCell ref="CK3:CM3"/>
    <mergeCell ref="CE3:CF3"/>
    <mergeCell ref="B3:D3"/>
    <mergeCell ref="BV3:CA3"/>
    <mergeCell ref="BV2:CA2"/>
    <mergeCell ref="AR49:AS49"/>
    <mergeCell ref="AR41:AS41"/>
  </mergeCells>
  <conditionalFormatting sqref="E3">
    <cfRule type="duplicateValues" dxfId="62" priority="15890"/>
  </conditionalFormatting>
  <conditionalFormatting sqref="E4">
    <cfRule type="duplicateValues" dxfId="61" priority="15624"/>
  </conditionalFormatting>
  <conditionalFormatting sqref="E4:E22">
    <cfRule type="duplicateValues" dxfId="60" priority="20084"/>
  </conditionalFormatting>
  <conditionalFormatting sqref="E27">
    <cfRule type="duplicateValues" dxfId="59" priority="4"/>
    <cfRule type="duplicateValues" dxfId="58" priority="5"/>
    <cfRule type="duplicateValues" dxfId="57" priority="6"/>
    <cfRule type="duplicateValues" dxfId="56" priority="7"/>
    <cfRule type="duplicateValues" dxfId="55" priority="8"/>
    <cfRule type="duplicateValues" dxfId="54" priority="9"/>
    <cfRule type="duplicateValues" dxfId="53" priority="10"/>
  </conditionalFormatting>
  <conditionalFormatting sqref="E27:E38">
    <cfRule type="duplicateValues" dxfId="52" priority="20083"/>
  </conditionalFormatting>
  <conditionalFormatting sqref="I41:I1048576 I24:I25 CH2 E4 I1 E2:AY2 CB2">
    <cfRule type="duplicateValues" dxfId="51" priority="19818"/>
    <cfRule type="duplicateValues" dxfId="50" priority="19819"/>
    <cfRule type="duplicateValues" dxfId="49" priority="19820"/>
    <cfRule type="duplicateValues" dxfId="48" priority="19821"/>
    <cfRule type="duplicateValues" dxfId="47" priority="19822"/>
  </conditionalFormatting>
  <conditionalFormatting sqref="I53:I1048576 CH2 E47:E52 I1 E4 I24:I25 E2:AY2 CB2 I41:I46">
    <cfRule type="duplicateValues" dxfId="46" priority="19848"/>
  </conditionalFormatting>
  <conditionalFormatting sqref="AM50:AM1048576 AO23:AP23 AJ49 AM24:AM25 AM1 AO4:AP4 AM3 AJ41:AJ45">
    <cfRule type="duplicateValues" dxfId="45" priority="138"/>
  </conditionalFormatting>
  <conditionalFormatting sqref="AM62">
    <cfRule type="duplicateValues" dxfId="44" priority="153"/>
  </conditionalFormatting>
  <conditionalFormatting sqref="AN70:AO70">
    <cfRule type="duplicateValues" dxfId="43" priority="164"/>
  </conditionalFormatting>
  <conditionalFormatting sqref="AO39:AP40 AO27:AP27">
    <cfRule type="duplicateValues" dxfId="42" priority="3"/>
  </conditionalFormatting>
  <conditionalFormatting sqref="AZ5:AZ22 BB5:BK22 AZ28:AZ38 BB28:BK38">
    <cfRule type="containsText" dxfId="41" priority="23" operator="containsText" text="FALSE">
      <formula>NOT(ISERROR(SEARCH("FALSE",AZ5)))</formula>
    </cfRule>
  </conditionalFormatting>
  <conditionalFormatting sqref="AZ4:BK4">
    <cfRule type="containsText" dxfId="40" priority="58" operator="containsText" text="FALSE">
      <formula>NOT(ISERROR(SEARCH("FALSE",AZ4)))</formula>
    </cfRule>
  </conditionalFormatting>
  <conditionalFormatting sqref="AZ27:BK27">
    <cfRule type="containsText" dxfId="39" priority="2" operator="containsText" text="FALSE">
      <formula>NOT(ISERROR(SEARCH("FALSE",AZ27)))</formula>
    </cfRule>
  </conditionalFormatting>
  <conditionalFormatting sqref="BO62">
    <cfRule type="duplicateValues" dxfId="38" priority="148"/>
    <cfRule type="duplicateValues" dxfId="37" priority="149"/>
  </conditionalFormatting>
  <conditionalFormatting sqref="BO63">
    <cfRule type="duplicateValues" dxfId="36" priority="144"/>
    <cfRule type="duplicateValues" dxfId="35" priority="145"/>
  </conditionalFormatting>
  <conditionalFormatting sqref="BV55">
    <cfRule type="duplicateValues" dxfId="34" priority="159"/>
    <cfRule type="duplicateValues" dxfId="33" priority="160"/>
  </conditionalFormatting>
  <conditionalFormatting sqref="BV60">
    <cfRule type="duplicateValues" dxfId="32" priority="155"/>
    <cfRule type="duplicateValues" dxfId="31" priority="156"/>
  </conditionalFormatting>
  <conditionalFormatting sqref="BW57">
    <cfRule type="duplicateValues" dxfId="30" priority="161"/>
    <cfRule type="duplicateValues" dxfId="29" priority="162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3:AA700"/>
  <sheetViews>
    <sheetView showGridLines="0" showRowColHeaders="0" workbookViewId="0">
      <selection activeCell="K8" sqref="K8"/>
    </sheetView>
  </sheetViews>
  <sheetFormatPr defaultRowHeight="14.4" x14ac:dyDescent="0.3"/>
  <cols>
    <col min="1" max="1" width="4.33203125" customWidth="1"/>
    <col min="2" max="2" width="22.88671875" bestFit="1" customWidth="1"/>
    <col min="3" max="3" width="16.109375" style="4" bestFit="1" customWidth="1"/>
    <col min="4" max="4" width="4.109375" customWidth="1"/>
    <col min="5" max="5" width="35.77734375" bestFit="1" customWidth="1"/>
    <col min="6" max="6" width="12.33203125" style="4" bestFit="1" customWidth="1"/>
    <col min="7" max="7" width="6.44140625" bestFit="1" customWidth="1"/>
    <col min="8" max="8" width="4.77734375" customWidth="1"/>
    <col min="9" max="9" width="35.88671875" bestFit="1" customWidth="1"/>
    <col min="10" max="10" width="11.21875" bestFit="1" customWidth="1"/>
    <col min="11" max="11" width="8" bestFit="1" customWidth="1"/>
    <col min="12" max="12" width="44.109375" bestFit="1" customWidth="1"/>
    <col min="13" max="13" width="9.109375" bestFit="1" customWidth="1"/>
    <col min="14" max="14" width="8.88671875" bestFit="1" customWidth="1"/>
    <col min="16" max="16" width="25.44140625" bestFit="1" customWidth="1"/>
    <col min="17" max="17" width="8.109375" bestFit="1" customWidth="1"/>
    <col min="27" max="27" width="7.6640625" bestFit="1" customWidth="1"/>
  </cols>
  <sheetData>
    <row r="3" spans="2:17" ht="15" thickBot="1" x14ac:dyDescent="0.35">
      <c r="I3" s="50" t="s">
        <v>133</v>
      </c>
      <c r="L3" s="50" t="s">
        <v>273</v>
      </c>
      <c r="P3" s="50" t="s">
        <v>179</v>
      </c>
    </row>
    <row r="4" spans="2:17" ht="15" thickBot="1" x14ac:dyDescent="0.35">
      <c r="B4" s="30" t="s">
        <v>69</v>
      </c>
      <c r="C4" s="31" t="s">
        <v>56</v>
      </c>
      <c r="E4" s="30" t="s">
        <v>70</v>
      </c>
      <c r="F4" s="31" t="s">
        <v>56</v>
      </c>
      <c r="G4" s="40" t="s">
        <v>82</v>
      </c>
      <c r="I4" s="30" t="s">
        <v>57</v>
      </c>
      <c r="J4" s="34">
        <f>Details!AD43</f>
        <v>46203</v>
      </c>
      <c r="L4" s="30" t="s">
        <v>69</v>
      </c>
      <c r="M4" s="31" t="s">
        <v>56</v>
      </c>
      <c r="N4" s="31" t="s">
        <v>82</v>
      </c>
      <c r="P4" s="30" t="s">
        <v>140</v>
      </c>
      <c r="Q4" s="31" t="s">
        <v>56</v>
      </c>
    </row>
    <row r="5" spans="2:17" x14ac:dyDescent="0.3">
      <c r="B5" s="7"/>
      <c r="C5" s="14"/>
      <c r="E5" s="7"/>
      <c r="F5" s="14"/>
      <c r="G5" s="19"/>
      <c r="I5" s="7"/>
      <c r="J5" s="11"/>
      <c r="L5" s="7"/>
      <c r="M5" s="14"/>
      <c r="N5" s="16"/>
      <c r="P5" s="7"/>
      <c r="Q5" s="16"/>
    </row>
    <row r="6" spans="2:17" x14ac:dyDescent="0.3">
      <c r="B6" s="7"/>
      <c r="C6" s="14"/>
      <c r="E6" s="7"/>
      <c r="F6" s="14"/>
      <c r="G6" s="19"/>
      <c r="I6" s="7" t="s">
        <v>79</v>
      </c>
      <c r="J6" s="12">
        <f>-Details!AW23</f>
        <v>-274050</v>
      </c>
      <c r="L6" s="7"/>
      <c r="M6" s="14"/>
      <c r="N6" s="16"/>
      <c r="P6" s="7"/>
      <c r="Q6" s="16"/>
    </row>
    <row r="7" spans="2:17" ht="15" thickBot="1" x14ac:dyDescent="0.35">
      <c r="B7" s="7"/>
      <c r="C7" s="14"/>
      <c r="E7" s="7"/>
      <c r="F7" s="14"/>
      <c r="G7" s="19"/>
      <c r="I7" s="7" t="s">
        <v>420</v>
      </c>
      <c r="J7" s="12">
        <v>74960</v>
      </c>
      <c r="L7" s="7"/>
      <c r="M7" s="14"/>
      <c r="N7" s="16"/>
      <c r="P7" s="10"/>
      <c r="Q7" s="20"/>
    </row>
    <row r="8" spans="2:17" ht="15" thickBot="1" x14ac:dyDescent="0.35">
      <c r="B8" s="7"/>
      <c r="C8" s="14"/>
      <c r="E8" s="7"/>
      <c r="F8" s="14"/>
      <c r="G8" s="19"/>
      <c r="H8" s="21"/>
      <c r="I8" s="7" t="s">
        <v>272</v>
      </c>
      <c r="J8" s="12">
        <v>199090</v>
      </c>
      <c r="L8" s="7"/>
      <c r="M8" s="14"/>
      <c r="N8" s="16"/>
      <c r="Q8" s="33">
        <f>SUM(Q5:Q7)</f>
        <v>0</v>
      </c>
    </row>
    <row r="9" spans="2:17" ht="15" thickBot="1" x14ac:dyDescent="0.35">
      <c r="B9" s="7"/>
      <c r="C9" s="14"/>
      <c r="E9" s="7"/>
      <c r="F9" s="14"/>
      <c r="G9" s="19"/>
      <c r="H9" s="21"/>
      <c r="I9" s="10"/>
      <c r="J9" s="20"/>
      <c r="L9" s="7"/>
      <c r="M9" s="14"/>
      <c r="N9" s="16"/>
      <c r="P9" s="50" t="s">
        <v>179</v>
      </c>
      <c r="Q9" s="21"/>
    </row>
    <row r="10" spans="2:17" ht="15" thickBot="1" x14ac:dyDescent="0.35">
      <c r="B10" s="7"/>
      <c r="C10" s="14"/>
      <c r="E10" s="7"/>
      <c r="F10" s="14"/>
      <c r="G10" s="19"/>
      <c r="H10" s="21"/>
      <c r="I10" s="8" t="s">
        <v>66</v>
      </c>
      <c r="J10" s="13">
        <f>SUM(J6:J9)-G18</f>
        <v>0</v>
      </c>
      <c r="L10" s="7"/>
      <c r="M10" s="14"/>
      <c r="N10" s="16"/>
      <c r="P10" s="30" t="s">
        <v>140</v>
      </c>
      <c r="Q10" s="63" t="s">
        <v>82</v>
      </c>
    </row>
    <row r="11" spans="2:17" x14ac:dyDescent="0.3">
      <c r="B11" s="7"/>
      <c r="C11" s="14"/>
      <c r="E11" s="7"/>
      <c r="F11" s="14"/>
      <c r="G11" s="19"/>
      <c r="H11" s="21"/>
      <c r="I11" s="2"/>
      <c r="J11" s="15"/>
      <c r="L11" s="7"/>
      <c r="M11" s="14"/>
      <c r="N11" s="16"/>
      <c r="P11" s="7"/>
      <c r="Q11" s="11"/>
    </row>
    <row r="12" spans="2:17" x14ac:dyDescent="0.3">
      <c r="B12" s="7"/>
      <c r="C12" s="14"/>
      <c r="E12" s="7"/>
      <c r="F12" s="14"/>
      <c r="G12" s="19"/>
      <c r="H12" s="21"/>
      <c r="I12" s="2"/>
      <c r="J12" s="15"/>
      <c r="L12" s="7"/>
      <c r="M12" s="14"/>
      <c r="N12" s="16"/>
      <c r="P12" s="7"/>
      <c r="Q12" s="11"/>
    </row>
    <row r="13" spans="2:17" ht="15" thickBot="1" x14ac:dyDescent="0.35">
      <c r="B13" s="7"/>
      <c r="C13" s="14"/>
      <c r="E13" s="7"/>
      <c r="F13" s="14"/>
      <c r="G13" s="19"/>
      <c r="H13" s="21"/>
      <c r="I13" s="2"/>
      <c r="J13" s="15"/>
      <c r="L13" s="7"/>
      <c r="M13" s="14"/>
      <c r="N13" s="16"/>
      <c r="P13" s="7"/>
      <c r="Q13" s="11"/>
    </row>
    <row r="14" spans="2:17" ht="15" thickBot="1" x14ac:dyDescent="0.35">
      <c r="B14" s="7"/>
      <c r="C14" s="14"/>
      <c r="E14" s="7"/>
      <c r="F14" s="14"/>
      <c r="G14" s="19"/>
      <c r="H14" s="21"/>
      <c r="I14" s="30" t="s">
        <v>116</v>
      </c>
      <c r="J14" s="31" t="s">
        <v>56</v>
      </c>
      <c r="L14" s="7"/>
      <c r="M14" s="14"/>
      <c r="N14" s="16"/>
      <c r="P14" s="7"/>
      <c r="Q14" s="11"/>
    </row>
    <row r="15" spans="2:17" x14ac:dyDescent="0.3">
      <c r="B15" s="7"/>
      <c r="C15" s="14"/>
      <c r="E15" s="7"/>
      <c r="F15" s="14"/>
      <c r="G15" s="19"/>
      <c r="H15" s="21"/>
      <c r="I15" s="7"/>
      <c r="J15" s="14"/>
      <c r="L15" s="7"/>
      <c r="M15" s="14"/>
      <c r="N15" s="16"/>
      <c r="P15" s="7"/>
      <c r="Q15" s="11"/>
    </row>
    <row r="16" spans="2:17" x14ac:dyDescent="0.3">
      <c r="B16" s="7"/>
      <c r="C16" s="14"/>
      <c r="E16" s="7"/>
      <c r="F16" s="14"/>
      <c r="G16" s="19"/>
      <c r="H16" s="21"/>
      <c r="I16" s="7"/>
      <c r="J16" s="14"/>
      <c r="L16" s="7"/>
      <c r="M16" s="14"/>
      <c r="N16" s="16"/>
      <c r="P16" s="7"/>
      <c r="Q16" s="11"/>
    </row>
    <row r="17" spans="2:17" ht="15" thickBot="1" x14ac:dyDescent="0.35">
      <c r="B17" s="10"/>
      <c r="C17" s="14"/>
      <c r="E17" s="7"/>
      <c r="F17" s="14"/>
      <c r="G17" s="19"/>
      <c r="H17" s="21"/>
      <c r="I17" s="41"/>
      <c r="J17" s="42"/>
      <c r="L17" s="7"/>
      <c r="M17" s="14"/>
      <c r="N17" s="16"/>
      <c r="P17" s="7"/>
      <c r="Q17" s="11"/>
    </row>
    <row r="18" spans="2:17" ht="15" thickBot="1" x14ac:dyDescent="0.35">
      <c r="B18" s="8" t="s">
        <v>78</v>
      </c>
      <c r="C18" s="43">
        <f>SUM(C5:C17)</f>
        <v>0</v>
      </c>
      <c r="E18" s="46" t="s">
        <v>78</v>
      </c>
      <c r="F18" s="62">
        <f>SUBTOTAL(9,F5:F17)</f>
        <v>0</v>
      </c>
      <c r="G18" s="48">
        <f>SUBTOTAL(9,G5:G17)</f>
        <v>0</v>
      </c>
      <c r="H18" s="21"/>
      <c r="I18" s="8"/>
      <c r="J18" s="43">
        <f>SUM(J15:J17)</f>
        <v>0</v>
      </c>
      <c r="L18" s="46" t="s">
        <v>78</v>
      </c>
      <c r="M18" s="62">
        <f>SUM(M5:M17)</f>
        <v>0</v>
      </c>
      <c r="N18" s="48">
        <f>SUM(N5:N17)</f>
        <v>0</v>
      </c>
      <c r="P18" s="7"/>
      <c r="Q18" s="11"/>
    </row>
    <row r="19" spans="2:17" x14ac:dyDescent="0.3">
      <c r="B19" s="2"/>
      <c r="C19" s="37"/>
      <c r="E19" s="2"/>
      <c r="F19" s="5"/>
      <c r="I19" s="2"/>
      <c r="J19" s="15"/>
      <c r="L19" s="21"/>
      <c r="P19" s="7"/>
      <c r="Q19" s="11"/>
    </row>
    <row r="20" spans="2:17" ht="15" thickBot="1" x14ac:dyDescent="0.35">
      <c r="B20" s="2"/>
      <c r="C20" s="37"/>
      <c r="E20" s="2"/>
      <c r="F20" s="5"/>
      <c r="I20" s="2"/>
      <c r="J20" s="15"/>
      <c r="L20" s="21"/>
      <c r="P20" s="7"/>
      <c r="Q20" s="11"/>
    </row>
    <row r="21" spans="2:17" ht="15" thickBot="1" x14ac:dyDescent="0.35">
      <c r="B21" s="30" t="s">
        <v>71</v>
      </c>
      <c r="C21" s="35" t="s">
        <v>56</v>
      </c>
      <c r="E21" s="30" t="s">
        <v>72</v>
      </c>
      <c r="F21" s="31" t="s">
        <v>56</v>
      </c>
      <c r="G21" s="31" t="s">
        <v>82</v>
      </c>
      <c r="I21" s="31" t="s">
        <v>81</v>
      </c>
      <c r="J21" s="15"/>
      <c r="L21" s="21"/>
      <c r="P21" s="7"/>
      <c r="Q21" s="11"/>
    </row>
    <row r="22" spans="2:17" x14ac:dyDescent="0.3">
      <c r="B22" s="7"/>
      <c r="C22" s="36"/>
      <c r="E22" s="7"/>
      <c r="F22" s="66"/>
      <c r="G22" s="11"/>
      <c r="I22" s="11"/>
      <c r="J22" s="15"/>
      <c r="L22" s="21"/>
      <c r="P22" s="7"/>
      <c r="Q22" s="11"/>
    </row>
    <row r="23" spans="2:17" x14ac:dyDescent="0.3">
      <c r="B23" s="7"/>
      <c r="C23" s="16"/>
      <c r="E23" s="7"/>
      <c r="F23" s="25"/>
      <c r="G23" s="11"/>
      <c r="I23" s="11"/>
      <c r="J23" s="15"/>
      <c r="L23" s="21"/>
      <c r="P23" s="7"/>
      <c r="Q23" s="11"/>
    </row>
    <row r="24" spans="2:17" x14ac:dyDescent="0.3">
      <c r="B24" s="7"/>
      <c r="C24" s="16"/>
      <c r="D24" s="6"/>
      <c r="E24" s="7"/>
      <c r="F24" s="25"/>
      <c r="G24" s="11"/>
      <c r="I24" s="11"/>
      <c r="J24" s="15"/>
      <c r="L24" s="21"/>
      <c r="P24" s="7"/>
      <c r="Q24" s="11"/>
    </row>
    <row r="25" spans="2:17" ht="15" thickBot="1" x14ac:dyDescent="0.35">
      <c r="B25" s="7"/>
      <c r="C25" s="16"/>
      <c r="E25" s="7"/>
      <c r="F25" s="25"/>
      <c r="G25" s="11"/>
      <c r="I25" s="11"/>
      <c r="J25" s="15"/>
      <c r="L25" s="21"/>
      <c r="P25" s="7"/>
      <c r="Q25" s="11"/>
    </row>
    <row r="26" spans="2:17" ht="15" thickBot="1" x14ac:dyDescent="0.35">
      <c r="B26" s="7"/>
      <c r="C26" s="16"/>
      <c r="D26" s="6"/>
      <c r="E26" s="7"/>
      <c r="F26" s="25"/>
      <c r="G26" s="11"/>
      <c r="I26" s="11"/>
      <c r="J26" s="15"/>
      <c r="L26" s="21"/>
      <c r="P26" s="46" t="s">
        <v>78</v>
      </c>
      <c r="Q26" s="33">
        <f>SUM(Q11:Q25)</f>
        <v>0</v>
      </c>
    </row>
    <row r="27" spans="2:17" x14ac:dyDescent="0.3">
      <c r="B27" s="7"/>
      <c r="C27" s="16"/>
      <c r="E27" s="7"/>
      <c r="F27" s="25"/>
      <c r="G27" s="11"/>
      <c r="I27" s="11"/>
      <c r="J27" s="15"/>
      <c r="L27" s="21"/>
    </row>
    <row r="28" spans="2:17" ht="15" thickBot="1" x14ac:dyDescent="0.35">
      <c r="B28" s="7"/>
      <c r="C28" s="16"/>
      <c r="E28" s="7"/>
      <c r="F28" s="25"/>
      <c r="G28" s="11"/>
      <c r="I28" s="11"/>
      <c r="J28" s="15"/>
      <c r="L28" s="21"/>
    </row>
    <row r="29" spans="2:17" ht="15" thickBot="1" x14ac:dyDescent="0.35">
      <c r="B29" s="8" t="s">
        <v>78</v>
      </c>
      <c r="C29" s="33">
        <f>SUM(C22:C28)</f>
        <v>0</v>
      </c>
      <c r="E29" s="8" t="s">
        <v>78</v>
      </c>
      <c r="F29" s="38">
        <f>SUBTOTAL(9,F22:F28)</f>
        <v>0</v>
      </c>
      <c r="G29" s="38">
        <v>0</v>
      </c>
      <c r="I29" s="39" t="s">
        <v>78</v>
      </c>
      <c r="J29" s="15"/>
      <c r="L29" s="21"/>
    </row>
    <row r="695" spans="27:27" x14ac:dyDescent="0.3">
      <c r="AA695">
        <v>-568957</v>
      </c>
    </row>
    <row r="700" spans="27:27" x14ac:dyDescent="0.3">
      <c r="AA700">
        <f>-AA696+AA697-AA698</f>
        <v>0</v>
      </c>
    </row>
  </sheetData>
  <conditionalFormatting sqref="B5">
    <cfRule type="duplicateValues" dxfId="28" priority="47"/>
    <cfRule type="duplicateValues" dxfId="27" priority="49"/>
    <cfRule type="duplicateValues" dxfId="26" priority="50"/>
  </conditionalFormatting>
  <conditionalFormatting sqref="B5:B13 E5:E16">
    <cfRule type="duplicateValues" dxfId="25" priority="17775"/>
  </conditionalFormatting>
  <conditionalFormatting sqref="B5:B17 E5:E17">
    <cfRule type="duplicateValues" dxfId="24" priority="17778"/>
  </conditionalFormatting>
  <conditionalFormatting sqref="E5:E16">
    <cfRule type="duplicateValues" dxfId="23" priority="17777"/>
  </conditionalFormatting>
  <conditionalFormatting sqref="E17">
    <cfRule type="duplicateValues" dxfId="22" priority="8"/>
  </conditionalFormatting>
  <conditionalFormatting sqref="E22:F22">
    <cfRule type="duplicateValues" dxfId="21" priority="9"/>
    <cfRule type="duplicateValues" dxfId="20" priority="10"/>
    <cfRule type="duplicateValues" dxfId="19" priority="11"/>
    <cfRule type="duplicateValues" dxfId="18" priority="12"/>
    <cfRule type="duplicateValues" dxfId="17" priority="13"/>
  </conditionalFormatting>
  <conditionalFormatting sqref="I15:I16">
    <cfRule type="duplicateValues" dxfId="16" priority="17782"/>
    <cfRule type="duplicateValues" dxfId="15" priority="17783"/>
    <cfRule type="duplicateValues" dxfId="14" priority="17784"/>
    <cfRule type="duplicateValues" dxfId="13" priority="17785"/>
    <cfRule type="duplicateValues" dxfId="12" priority="17786"/>
  </conditionalFormatting>
  <conditionalFormatting sqref="L5">
    <cfRule type="duplicateValues" dxfId="11" priority="21"/>
    <cfRule type="duplicateValues" dxfId="10" priority="22"/>
    <cfRule type="duplicateValues" dxfId="9" priority="23"/>
  </conditionalFormatting>
  <conditionalFormatting sqref="L5:L13">
    <cfRule type="duplicateValues" dxfId="8" priority="24"/>
  </conditionalFormatting>
  <conditionalFormatting sqref="L5:L17 B5:B17 E5:E17">
    <cfRule type="duplicateValues" dxfId="7" priority="17787"/>
  </conditionalFormatting>
  <conditionalFormatting sqref="L5:L17">
    <cfRule type="duplicateValues" dxfId="6" priority="17793"/>
  </conditionalFormatting>
  <conditionalFormatting sqref="L14">
    <cfRule type="duplicateValues" dxfId="5" priority="6"/>
    <cfRule type="duplicateValues" dxfId="4" priority="7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EA96F-FFFD-4523-8291-41682D9F27C4}">
  <dimension ref="B1:AC46"/>
  <sheetViews>
    <sheetView showGridLines="0" showRowColHeaders="0" topLeftCell="M1" workbookViewId="0">
      <selection activeCell="Y2" sqref="Y2"/>
    </sheetView>
  </sheetViews>
  <sheetFormatPr defaultRowHeight="14.4" x14ac:dyDescent="0.3"/>
  <cols>
    <col min="2" max="2" width="10.109375" bestFit="1" customWidth="1"/>
    <col min="3" max="3" width="7.77734375" bestFit="1" customWidth="1"/>
    <col min="4" max="4" width="9.88671875" bestFit="1" customWidth="1"/>
    <col min="5" max="5" width="3.77734375" bestFit="1" customWidth="1"/>
    <col min="6" max="6" width="10.109375" bestFit="1" customWidth="1"/>
    <col min="7" max="7" width="18.21875" bestFit="1" customWidth="1"/>
    <col min="8" max="8" width="28.21875" bestFit="1" customWidth="1"/>
    <col min="9" max="10" width="9.6640625" style="3" bestFit="1" customWidth="1"/>
    <col min="11" max="11" width="17.88671875" bestFit="1" customWidth="1"/>
    <col min="12" max="12" width="11.21875" bestFit="1" customWidth="1"/>
    <col min="13" max="13" width="32.109375" bestFit="1" customWidth="1"/>
    <col min="14" max="15" width="38.109375" bestFit="1" customWidth="1"/>
    <col min="16" max="16" width="20.88671875" bestFit="1" customWidth="1"/>
    <col min="18" max="18" width="10.109375" bestFit="1" customWidth="1"/>
    <col min="19" max="19" width="12.21875" bestFit="1" customWidth="1"/>
    <col min="20" max="20" width="6.6640625" bestFit="1" customWidth="1"/>
    <col min="21" max="21" width="4.6640625" bestFit="1" customWidth="1"/>
    <col min="22" max="22" width="10.109375" bestFit="1" customWidth="1"/>
    <col min="23" max="23" width="19.109375" bestFit="1" customWidth="1"/>
    <col min="24" max="24" width="34.33203125" bestFit="1" customWidth="1"/>
    <col min="25" max="26" width="9.77734375" bestFit="1" customWidth="1"/>
    <col min="28" max="28" width="21.77734375" style="315" bestFit="1" customWidth="1"/>
    <col min="29" max="29" width="7.77734375" bestFit="1" customWidth="1"/>
  </cols>
  <sheetData>
    <row r="1" spans="2:29" x14ac:dyDescent="0.3">
      <c r="N1" s="338">
        <f>I2-N2</f>
        <v>1609904.82</v>
      </c>
    </row>
    <row r="2" spans="2:29" x14ac:dyDescent="0.3">
      <c r="I2" s="3">
        <f>SUBTOTAL(9,I4:I49)</f>
        <v>1745584.32</v>
      </c>
      <c r="J2" s="3">
        <f>SUBTOTAL(9,J4:J49)</f>
        <v>4249463.2</v>
      </c>
      <c r="N2">
        <f>SUBTOTAL(9,N4:N1048576)</f>
        <v>135679.5</v>
      </c>
      <c r="Y2" s="1">
        <f>SUM(Y4:Y24)</f>
        <v>485716.14999999991</v>
      </c>
      <c r="Z2" s="1">
        <f>SUM(Z4:Z24)</f>
        <v>3098041.25</v>
      </c>
    </row>
    <row r="3" spans="2:29" x14ac:dyDescent="0.3">
      <c r="B3" s="317" t="s">
        <v>224</v>
      </c>
      <c r="C3" s="316" t="s">
        <v>225</v>
      </c>
      <c r="D3" s="316" t="s">
        <v>226</v>
      </c>
      <c r="E3" s="316" t="s">
        <v>227</v>
      </c>
      <c r="F3" s="316" t="s">
        <v>228</v>
      </c>
      <c r="G3" s="316" t="s">
        <v>229</v>
      </c>
      <c r="H3" s="316" t="s">
        <v>230</v>
      </c>
      <c r="I3" s="318" t="s">
        <v>231</v>
      </c>
      <c r="J3" s="318" t="s">
        <v>232</v>
      </c>
      <c r="K3" s="318" t="s">
        <v>246</v>
      </c>
      <c r="L3" s="318" t="s">
        <v>247</v>
      </c>
      <c r="M3" s="318" t="s">
        <v>248</v>
      </c>
      <c r="N3" s="318" t="s">
        <v>344</v>
      </c>
      <c r="O3" s="318" t="s">
        <v>249</v>
      </c>
      <c r="P3" s="339" t="s">
        <v>60</v>
      </c>
      <c r="R3" s="318" t="s">
        <v>224</v>
      </c>
      <c r="S3" s="318" t="s">
        <v>225</v>
      </c>
      <c r="T3" s="318" t="s">
        <v>226</v>
      </c>
      <c r="U3" s="318" t="s">
        <v>227</v>
      </c>
      <c r="V3" s="318" t="s">
        <v>228</v>
      </c>
      <c r="W3" s="318" t="s">
        <v>229</v>
      </c>
      <c r="X3" s="318" t="s">
        <v>243</v>
      </c>
      <c r="Y3" s="318" t="s">
        <v>231</v>
      </c>
      <c r="Z3" s="318" t="s">
        <v>232</v>
      </c>
      <c r="AA3" s="339" t="s">
        <v>247</v>
      </c>
      <c r="AB3" s="340" t="s">
        <v>346</v>
      </c>
      <c r="AC3" s="339" t="s">
        <v>347</v>
      </c>
    </row>
    <row r="4" spans="2:29" x14ac:dyDescent="0.3">
      <c r="B4" s="315">
        <v>46104</v>
      </c>
      <c r="C4" t="s">
        <v>233</v>
      </c>
      <c r="D4" t="s">
        <v>235</v>
      </c>
      <c r="E4" t="s">
        <v>501</v>
      </c>
      <c r="F4" t="s">
        <v>258</v>
      </c>
      <c r="G4" t="s">
        <v>277</v>
      </c>
      <c r="H4" t="s">
        <v>274</v>
      </c>
      <c r="I4" s="3">
        <v>20780.2</v>
      </c>
      <c r="J4" s="3">
        <v>2098777.7000000002</v>
      </c>
      <c r="K4" t="s">
        <v>275</v>
      </c>
      <c r="L4" t="s">
        <v>276</v>
      </c>
      <c r="M4">
        <v>3000000</v>
      </c>
      <c r="N4">
        <v>0</v>
      </c>
      <c r="O4" t="s">
        <v>211</v>
      </c>
      <c r="P4" t="s">
        <v>345</v>
      </c>
      <c r="R4" s="320" t="s">
        <v>260</v>
      </c>
      <c r="S4" s="319" t="s">
        <v>233</v>
      </c>
      <c r="T4" s="319" t="s">
        <v>244</v>
      </c>
      <c r="U4" s="319" t="s">
        <v>506</v>
      </c>
      <c r="V4" s="319" t="s">
        <v>260</v>
      </c>
      <c r="W4" s="319" t="s">
        <v>241</v>
      </c>
      <c r="X4" s="319" t="s">
        <v>254</v>
      </c>
      <c r="Y4" s="321">
        <v>42170.85</v>
      </c>
      <c r="Z4" s="321">
        <v>276453.34999999998</v>
      </c>
      <c r="AA4" t="s">
        <v>279</v>
      </c>
      <c r="AB4" s="315" t="s">
        <v>211</v>
      </c>
      <c r="AC4" t="s">
        <v>350</v>
      </c>
    </row>
    <row r="5" spans="2:29" x14ac:dyDescent="0.3">
      <c r="B5" s="315">
        <v>46151</v>
      </c>
      <c r="C5" t="s">
        <v>233</v>
      </c>
      <c r="D5" t="s">
        <v>235</v>
      </c>
      <c r="E5" t="s">
        <v>502</v>
      </c>
      <c r="F5" t="s">
        <v>368</v>
      </c>
      <c r="G5" t="s">
        <v>355</v>
      </c>
      <c r="H5" t="s">
        <v>239</v>
      </c>
      <c r="I5" s="3">
        <v>14670.78</v>
      </c>
      <c r="J5" s="3">
        <v>296534</v>
      </c>
      <c r="K5" t="s">
        <v>250</v>
      </c>
      <c r="L5" t="s">
        <v>221</v>
      </c>
      <c r="M5">
        <v>4800000</v>
      </c>
      <c r="N5">
        <v>0</v>
      </c>
      <c r="O5" t="s">
        <v>211</v>
      </c>
      <c r="P5" t="s">
        <v>345</v>
      </c>
      <c r="R5" s="320" t="s">
        <v>260</v>
      </c>
      <c r="S5" s="319" t="s">
        <v>233</v>
      </c>
      <c r="T5" s="319" t="s">
        <v>244</v>
      </c>
      <c r="U5" s="319" t="s">
        <v>506</v>
      </c>
      <c r="V5" s="319" t="s">
        <v>260</v>
      </c>
      <c r="W5" s="319" t="s">
        <v>237</v>
      </c>
      <c r="X5" s="319" t="s">
        <v>254</v>
      </c>
      <c r="Y5" s="321">
        <v>4572</v>
      </c>
      <c r="Z5" s="321">
        <v>29972</v>
      </c>
      <c r="AA5" t="s">
        <v>279</v>
      </c>
      <c r="AB5" s="315" t="s">
        <v>211</v>
      </c>
      <c r="AC5" t="s">
        <v>350</v>
      </c>
    </row>
    <row r="6" spans="2:29" x14ac:dyDescent="0.3">
      <c r="B6" s="315">
        <v>46155</v>
      </c>
      <c r="C6" t="s">
        <v>233</v>
      </c>
      <c r="D6" t="s">
        <v>235</v>
      </c>
      <c r="E6" t="s">
        <v>503</v>
      </c>
      <c r="F6" t="s">
        <v>369</v>
      </c>
      <c r="G6" t="s">
        <v>362</v>
      </c>
      <c r="H6" t="s">
        <v>239</v>
      </c>
      <c r="I6" s="3">
        <v>296771.71999999997</v>
      </c>
      <c r="J6" s="3">
        <v>358232.42</v>
      </c>
      <c r="K6" t="s">
        <v>250</v>
      </c>
      <c r="L6" t="s">
        <v>221</v>
      </c>
      <c r="M6">
        <v>4800000</v>
      </c>
      <c r="N6">
        <v>0</v>
      </c>
      <c r="O6" t="s">
        <v>211</v>
      </c>
      <c r="P6" t="s">
        <v>345</v>
      </c>
      <c r="R6" s="320" t="s">
        <v>260</v>
      </c>
      <c r="S6" s="319" t="s">
        <v>233</v>
      </c>
      <c r="T6" s="319" t="s">
        <v>244</v>
      </c>
      <c r="U6" s="319" t="s">
        <v>506</v>
      </c>
      <c r="V6" s="319" t="s">
        <v>260</v>
      </c>
      <c r="W6" s="319" t="s">
        <v>242</v>
      </c>
      <c r="X6" s="319" t="s">
        <v>254</v>
      </c>
      <c r="Y6" s="321">
        <v>4185</v>
      </c>
      <c r="Z6" s="321">
        <v>27435</v>
      </c>
      <c r="AA6" t="s">
        <v>279</v>
      </c>
      <c r="AB6" s="315" t="s">
        <v>211</v>
      </c>
      <c r="AC6" t="s">
        <v>350</v>
      </c>
    </row>
    <row r="7" spans="2:29" x14ac:dyDescent="0.3">
      <c r="B7" s="315">
        <v>46168</v>
      </c>
      <c r="C7" t="s">
        <v>233</v>
      </c>
      <c r="D7" t="s">
        <v>235</v>
      </c>
      <c r="E7" t="s">
        <v>504</v>
      </c>
      <c r="F7" t="s">
        <v>384</v>
      </c>
      <c r="G7" t="s">
        <v>380</v>
      </c>
      <c r="H7" t="s">
        <v>239</v>
      </c>
      <c r="I7" s="3">
        <v>147860.70000000001</v>
      </c>
      <c r="J7" s="3">
        <v>207201.16</v>
      </c>
      <c r="K7" t="s">
        <v>250</v>
      </c>
      <c r="L7" t="s">
        <v>221</v>
      </c>
      <c r="M7">
        <v>4800000</v>
      </c>
      <c r="N7">
        <v>0</v>
      </c>
      <c r="O7" t="s">
        <v>211</v>
      </c>
      <c r="P7" t="s">
        <v>345</v>
      </c>
      <c r="R7" s="320" t="s">
        <v>252</v>
      </c>
      <c r="S7" s="319" t="s">
        <v>233</v>
      </c>
      <c r="T7" s="319" t="s">
        <v>244</v>
      </c>
      <c r="U7" s="319" t="s">
        <v>507</v>
      </c>
      <c r="V7" s="319" t="s">
        <v>252</v>
      </c>
      <c r="W7" s="319" t="s">
        <v>259</v>
      </c>
      <c r="X7" s="319" t="s">
        <v>254</v>
      </c>
      <c r="Y7" s="321">
        <v>1068</v>
      </c>
      <c r="Z7" s="321">
        <v>22428</v>
      </c>
      <c r="AA7" t="s">
        <v>279</v>
      </c>
      <c r="AB7" s="315" t="s">
        <v>211</v>
      </c>
      <c r="AC7" t="s">
        <v>350</v>
      </c>
    </row>
    <row r="8" spans="2:29" x14ac:dyDescent="0.3">
      <c r="B8" s="315">
        <v>46186</v>
      </c>
      <c r="C8" t="s">
        <v>233</v>
      </c>
      <c r="D8" t="s">
        <v>235</v>
      </c>
      <c r="E8" t="s">
        <v>505</v>
      </c>
      <c r="F8" t="s">
        <v>441</v>
      </c>
      <c r="G8" t="s">
        <v>435</v>
      </c>
      <c r="H8" t="s">
        <v>239</v>
      </c>
      <c r="I8" s="3">
        <v>227368.54</v>
      </c>
      <c r="J8" s="3">
        <v>227368.54</v>
      </c>
      <c r="K8" t="s">
        <v>250</v>
      </c>
      <c r="L8" t="s">
        <v>221</v>
      </c>
      <c r="M8">
        <v>4800000</v>
      </c>
      <c r="N8">
        <v>0</v>
      </c>
      <c r="O8" t="s">
        <v>211</v>
      </c>
      <c r="P8" t="s">
        <v>345</v>
      </c>
      <c r="R8" s="315" t="s">
        <v>370</v>
      </c>
      <c r="S8" t="s">
        <v>233</v>
      </c>
      <c r="T8" t="s">
        <v>244</v>
      </c>
      <c r="U8" t="s">
        <v>508</v>
      </c>
      <c r="V8" t="s">
        <v>357</v>
      </c>
      <c r="W8" t="s">
        <v>352</v>
      </c>
      <c r="X8" t="s">
        <v>254</v>
      </c>
      <c r="Y8">
        <v>36613.699999999997</v>
      </c>
      <c r="Z8">
        <v>243581.5</v>
      </c>
      <c r="AA8" t="s">
        <v>279</v>
      </c>
      <c r="AB8" s="315" t="s">
        <v>211</v>
      </c>
      <c r="AC8" t="s">
        <v>350</v>
      </c>
    </row>
    <row r="9" spans="2:29" x14ac:dyDescent="0.3">
      <c r="B9" s="315">
        <v>46191</v>
      </c>
      <c r="C9" t="s">
        <v>367</v>
      </c>
      <c r="D9" t="s">
        <v>235</v>
      </c>
      <c r="E9" t="s">
        <v>240</v>
      </c>
      <c r="F9" t="s">
        <v>456</v>
      </c>
      <c r="G9" t="s">
        <v>453</v>
      </c>
      <c r="H9" t="s">
        <v>239</v>
      </c>
      <c r="I9" s="3">
        <v>226024.04</v>
      </c>
      <c r="J9" s="3">
        <v>226024.04</v>
      </c>
      <c r="K9" t="s">
        <v>250</v>
      </c>
      <c r="L9" t="s">
        <v>221</v>
      </c>
      <c r="M9">
        <v>4800000</v>
      </c>
      <c r="N9">
        <v>0</v>
      </c>
      <c r="O9" t="s">
        <v>211</v>
      </c>
      <c r="P9" t="s">
        <v>345</v>
      </c>
      <c r="R9" s="315" t="s">
        <v>357</v>
      </c>
      <c r="S9" t="s">
        <v>233</v>
      </c>
      <c r="T9" t="s">
        <v>244</v>
      </c>
      <c r="U9" t="s">
        <v>509</v>
      </c>
      <c r="V9" t="s">
        <v>371</v>
      </c>
      <c r="W9" t="s">
        <v>359</v>
      </c>
      <c r="X9" t="s">
        <v>254</v>
      </c>
      <c r="Y9">
        <v>51796.800000000003</v>
      </c>
      <c r="Z9">
        <v>339556.8</v>
      </c>
      <c r="AA9" t="s">
        <v>279</v>
      </c>
      <c r="AB9" s="315" t="s">
        <v>211</v>
      </c>
      <c r="AC9" t="s">
        <v>350</v>
      </c>
    </row>
    <row r="10" spans="2:29" x14ac:dyDescent="0.3">
      <c r="B10" s="315">
        <v>46196</v>
      </c>
      <c r="C10" t="s">
        <v>367</v>
      </c>
      <c r="D10" t="s">
        <v>235</v>
      </c>
      <c r="E10" t="s">
        <v>240</v>
      </c>
      <c r="F10" t="s">
        <v>488</v>
      </c>
      <c r="G10" t="s">
        <v>468</v>
      </c>
      <c r="H10" t="s">
        <v>239</v>
      </c>
      <c r="I10" s="3">
        <v>219002.8</v>
      </c>
      <c r="J10" s="3">
        <v>219002.8</v>
      </c>
      <c r="K10" t="s">
        <v>250</v>
      </c>
      <c r="L10" t="s">
        <v>221</v>
      </c>
      <c r="M10">
        <v>4800000</v>
      </c>
      <c r="N10">
        <v>0</v>
      </c>
      <c r="O10" t="s">
        <v>211</v>
      </c>
      <c r="P10" t="s">
        <v>345</v>
      </c>
      <c r="R10" s="315" t="s">
        <v>374</v>
      </c>
      <c r="S10" t="s">
        <v>233</v>
      </c>
      <c r="T10" t="s">
        <v>244</v>
      </c>
      <c r="U10" t="s">
        <v>498</v>
      </c>
      <c r="V10" t="s">
        <v>375</v>
      </c>
      <c r="W10" t="s">
        <v>372</v>
      </c>
      <c r="X10" t="s">
        <v>254</v>
      </c>
      <c r="Y10">
        <v>32400</v>
      </c>
      <c r="Z10">
        <v>210600</v>
      </c>
      <c r="AA10" t="s">
        <v>279</v>
      </c>
      <c r="AB10" s="315" t="s">
        <v>211</v>
      </c>
      <c r="AC10" t="s">
        <v>350</v>
      </c>
    </row>
    <row r="11" spans="2:29" x14ac:dyDescent="0.3">
      <c r="B11" s="315">
        <v>46197</v>
      </c>
      <c r="C11" t="s">
        <v>489</v>
      </c>
      <c r="D11" t="s">
        <v>235</v>
      </c>
      <c r="E11" t="s">
        <v>240</v>
      </c>
      <c r="F11" t="s">
        <v>490</v>
      </c>
      <c r="G11" t="s">
        <v>469</v>
      </c>
      <c r="H11" t="s">
        <v>410</v>
      </c>
      <c r="I11" s="3">
        <v>135679.5</v>
      </c>
      <c r="J11" s="3">
        <v>158896.5</v>
      </c>
      <c r="K11" t="s">
        <v>438</v>
      </c>
      <c r="L11" t="s">
        <v>411</v>
      </c>
      <c r="M11">
        <v>12000000</v>
      </c>
      <c r="N11">
        <v>135679.5</v>
      </c>
      <c r="O11" t="s">
        <v>211</v>
      </c>
      <c r="P11" t="s">
        <v>345</v>
      </c>
      <c r="R11" s="315" t="s">
        <v>385</v>
      </c>
      <c r="S11" t="s">
        <v>233</v>
      </c>
      <c r="T11" t="s">
        <v>244</v>
      </c>
      <c r="U11" t="s">
        <v>510</v>
      </c>
      <c r="V11" t="s">
        <v>386</v>
      </c>
      <c r="W11" t="s">
        <v>377</v>
      </c>
      <c r="X11" t="s">
        <v>254</v>
      </c>
      <c r="Y11">
        <v>29959.200000000001</v>
      </c>
      <c r="Z11">
        <v>196399.2</v>
      </c>
      <c r="AA11" t="s">
        <v>279</v>
      </c>
      <c r="AB11" s="315" t="s">
        <v>211</v>
      </c>
      <c r="AC11" t="s">
        <v>350</v>
      </c>
    </row>
    <row r="12" spans="2:29" x14ac:dyDescent="0.3">
      <c r="B12" s="315">
        <v>46197</v>
      </c>
      <c r="C12" t="s">
        <v>367</v>
      </c>
      <c r="D12" t="s">
        <v>235</v>
      </c>
      <c r="E12" t="s">
        <v>240</v>
      </c>
      <c r="F12" t="s">
        <v>491</v>
      </c>
      <c r="G12" t="s">
        <v>471</v>
      </c>
      <c r="H12" t="s">
        <v>239</v>
      </c>
      <c r="I12" s="3">
        <v>226472.2</v>
      </c>
      <c r="J12" s="3">
        <v>226472.2</v>
      </c>
      <c r="K12" t="s">
        <v>250</v>
      </c>
      <c r="L12" t="s">
        <v>221</v>
      </c>
      <c r="M12">
        <v>4800000</v>
      </c>
      <c r="N12">
        <v>0</v>
      </c>
      <c r="O12" t="s">
        <v>211</v>
      </c>
      <c r="P12" t="s">
        <v>345</v>
      </c>
      <c r="R12" s="315" t="s">
        <v>443</v>
      </c>
      <c r="S12" t="s">
        <v>233</v>
      </c>
      <c r="T12" t="s">
        <v>244</v>
      </c>
      <c r="U12" t="s">
        <v>511</v>
      </c>
      <c r="V12" t="s">
        <v>437</v>
      </c>
      <c r="W12" t="s">
        <v>401</v>
      </c>
      <c r="X12" t="s">
        <v>254</v>
      </c>
      <c r="Y12">
        <v>20863.2</v>
      </c>
      <c r="Z12">
        <v>146980.79999999999</v>
      </c>
      <c r="AA12" t="s">
        <v>279</v>
      </c>
      <c r="AB12" s="315" t="s">
        <v>211</v>
      </c>
      <c r="AC12" t="s">
        <v>350</v>
      </c>
    </row>
    <row r="13" spans="2:29" x14ac:dyDescent="0.3">
      <c r="B13" s="315">
        <v>46200</v>
      </c>
      <c r="C13" t="s">
        <v>367</v>
      </c>
      <c r="D13" t="s">
        <v>235</v>
      </c>
      <c r="E13" t="s">
        <v>240</v>
      </c>
      <c r="F13" t="s">
        <v>496</v>
      </c>
      <c r="G13" t="s">
        <v>497</v>
      </c>
      <c r="H13" t="s">
        <v>239</v>
      </c>
      <c r="I13" s="3">
        <v>230953.84</v>
      </c>
      <c r="J13" s="3">
        <v>230953.84</v>
      </c>
      <c r="K13" t="s">
        <v>250</v>
      </c>
      <c r="L13" t="s">
        <v>221</v>
      </c>
      <c r="M13">
        <v>4800000</v>
      </c>
      <c r="N13">
        <v>0</v>
      </c>
      <c r="O13" t="s">
        <v>211</v>
      </c>
      <c r="P13" t="s">
        <v>345</v>
      </c>
      <c r="R13" s="315" t="s">
        <v>442</v>
      </c>
      <c r="S13" t="s">
        <v>233</v>
      </c>
      <c r="T13" t="s">
        <v>244</v>
      </c>
      <c r="U13" t="s">
        <v>377</v>
      </c>
      <c r="V13" t="s">
        <v>444</v>
      </c>
      <c r="W13" t="s">
        <v>405</v>
      </c>
      <c r="X13" t="s">
        <v>254</v>
      </c>
      <c r="Y13">
        <v>28936.799999999999</v>
      </c>
      <c r="Z13">
        <v>203620.8</v>
      </c>
      <c r="AA13" t="s">
        <v>279</v>
      </c>
      <c r="AB13" s="315" t="s">
        <v>211</v>
      </c>
      <c r="AC13" t="s">
        <v>350</v>
      </c>
    </row>
    <row r="14" spans="2:29" x14ac:dyDescent="0.3">
      <c r="B14" s="315"/>
      <c r="R14" t="s">
        <v>437</v>
      </c>
      <c r="S14" t="s">
        <v>233</v>
      </c>
      <c r="T14" t="s">
        <v>244</v>
      </c>
      <c r="U14" t="s">
        <v>512</v>
      </c>
      <c r="V14" t="s">
        <v>445</v>
      </c>
      <c r="W14" t="s">
        <v>426</v>
      </c>
      <c r="X14" t="s">
        <v>254</v>
      </c>
      <c r="Y14">
        <v>27088.799999999999</v>
      </c>
      <c r="Z14">
        <v>184080</v>
      </c>
      <c r="AA14" t="s">
        <v>279</v>
      </c>
      <c r="AB14" s="315" t="s">
        <v>211</v>
      </c>
      <c r="AC14" t="s">
        <v>350</v>
      </c>
    </row>
    <row r="15" spans="2:29" x14ac:dyDescent="0.3">
      <c r="B15" s="315"/>
      <c r="R15" t="s">
        <v>446</v>
      </c>
      <c r="S15" t="s">
        <v>233</v>
      </c>
      <c r="T15" t="s">
        <v>244</v>
      </c>
      <c r="U15" t="s">
        <v>359</v>
      </c>
      <c r="V15" t="s">
        <v>447</v>
      </c>
      <c r="W15" t="s">
        <v>430</v>
      </c>
      <c r="X15" t="s">
        <v>254</v>
      </c>
      <c r="Y15">
        <v>32875.199999999997</v>
      </c>
      <c r="Z15">
        <v>215515.2</v>
      </c>
      <c r="AA15" t="s">
        <v>279</v>
      </c>
      <c r="AB15" s="315" t="s">
        <v>211</v>
      </c>
      <c r="AC15" t="s">
        <v>350</v>
      </c>
    </row>
    <row r="16" spans="2:29" x14ac:dyDescent="0.3">
      <c r="B16" s="315"/>
      <c r="R16" t="s">
        <v>439</v>
      </c>
      <c r="S16" t="s">
        <v>233</v>
      </c>
      <c r="T16" t="s">
        <v>244</v>
      </c>
      <c r="U16" t="s">
        <v>341</v>
      </c>
      <c r="V16" t="s">
        <v>440</v>
      </c>
      <c r="W16" t="s">
        <v>450</v>
      </c>
      <c r="X16" t="s">
        <v>254</v>
      </c>
      <c r="Y16">
        <v>50836.800000000003</v>
      </c>
      <c r="Z16">
        <v>214240.8</v>
      </c>
      <c r="AA16" t="s">
        <v>279</v>
      </c>
      <c r="AB16" s="315" t="s">
        <v>211</v>
      </c>
      <c r="AC16" t="s">
        <v>350</v>
      </c>
    </row>
    <row r="17" spans="2:29" x14ac:dyDescent="0.3">
      <c r="B17" s="315"/>
      <c r="R17" t="s">
        <v>440</v>
      </c>
      <c r="S17" t="s">
        <v>233</v>
      </c>
      <c r="T17" t="s">
        <v>244</v>
      </c>
      <c r="U17" t="s">
        <v>513</v>
      </c>
      <c r="V17" t="s">
        <v>492</v>
      </c>
      <c r="W17" t="s">
        <v>458</v>
      </c>
      <c r="X17" t="s">
        <v>254</v>
      </c>
      <c r="Y17">
        <v>49257.599999999999</v>
      </c>
      <c r="Z17">
        <v>207585.6</v>
      </c>
      <c r="AA17" t="s">
        <v>279</v>
      </c>
      <c r="AB17" s="315" t="s">
        <v>211</v>
      </c>
      <c r="AC17" t="s">
        <v>350</v>
      </c>
    </row>
    <row r="18" spans="2:29" x14ac:dyDescent="0.3">
      <c r="B18" s="315"/>
      <c r="R18" t="s">
        <v>493</v>
      </c>
      <c r="S18" t="s">
        <v>233</v>
      </c>
      <c r="T18" t="s">
        <v>244</v>
      </c>
      <c r="U18" t="s">
        <v>238</v>
      </c>
      <c r="V18" t="s">
        <v>494</v>
      </c>
      <c r="W18" t="s">
        <v>461</v>
      </c>
      <c r="X18" t="s">
        <v>253</v>
      </c>
      <c r="Y18">
        <v>6953</v>
      </c>
      <c r="Z18">
        <v>146013</v>
      </c>
      <c r="AA18" t="s">
        <v>348</v>
      </c>
      <c r="AB18" s="315" t="s">
        <v>211</v>
      </c>
      <c r="AC18" t="s">
        <v>349</v>
      </c>
    </row>
    <row r="19" spans="2:29" x14ac:dyDescent="0.3">
      <c r="B19" s="315"/>
      <c r="R19" t="s">
        <v>493</v>
      </c>
      <c r="S19" t="s">
        <v>233</v>
      </c>
      <c r="T19" t="s">
        <v>244</v>
      </c>
      <c r="U19" t="s">
        <v>238</v>
      </c>
      <c r="V19" t="s">
        <v>494</v>
      </c>
      <c r="W19" t="s">
        <v>465</v>
      </c>
      <c r="X19" t="s">
        <v>254</v>
      </c>
      <c r="Y19">
        <v>32745.599999999999</v>
      </c>
      <c r="Z19">
        <v>214665.60000000001</v>
      </c>
      <c r="AA19" t="s">
        <v>279</v>
      </c>
      <c r="AB19" s="315" t="s">
        <v>211</v>
      </c>
      <c r="AC19" t="s">
        <v>350</v>
      </c>
    </row>
    <row r="20" spans="2:29" x14ac:dyDescent="0.3">
      <c r="B20" s="315"/>
      <c r="R20" t="s">
        <v>441</v>
      </c>
      <c r="S20" t="s">
        <v>489</v>
      </c>
      <c r="T20" t="s">
        <v>244</v>
      </c>
      <c r="U20" t="s">
        <v>240</v>
      </c>
      <c r="V20" t="s">
        <v>490</v>
      </c>
      <c r="W20" t="s">
        <v>498</v>
      </c>
      <c r="X20" t="s">
        <v>254</v>
      </c>
      <c r="Y20">
        <v>33393.599999999999</v>
      </c>
      <c r="Z20">
        <v>218913.6</v>
      </c>
      <c r="AA20" t="s">
        <v>279</v>
      </c>
      <c r="AB20" s="315" t="s">
        <v>211</v>
      </c>
      <c r="AC20" t="s">
        <v>350</v>
      </c>
    </row>
    <row r="21" spans="2:29" x14ac:dyDescent="0.3">
      <c r="B21" s="315"/>
    </row>
    <row r="22" spans="2:29" x14ac:dyDescent="0.3">
      <c r="B22" s="315"/>
    </row>
    <row r="23" spans="2:29" x14ac:dyDescent="0.3">
      <c r="B23" s="315"/>
    </row>
    <row r="24" spans="2:29" x14ac:dyDescent="0.3">
      <c r="B24" s="315"/>
    </row>
    <row r="25" spans="2:29" x14ac:dyDescent="0.3">
      <c r="B25" s="315"/>
    </row>
    <row r="26" spans="2:29" x14ac:dyDescent="0.3">
      <c r="B26" s="315"/>
    </row>
    <row r="27" spans="2:29" x14ac:dyDescent="0.3">
      <c r="B27" s="315"/>
    </row>
    <row r="28" spans="2:29" x14ac:dyDescent="0.3">
      <c r="B28" s="315"/>
    </row>
    <row r="29" spans="2:29" x14ac:dyDescent="0.3">
      <c r="B29" s="315"/>
    </row>
    <row r="30" spans="2:29" x14ac:dyDescent="0.3">
      <c r="B30" s="315"/>
    </row>
    <row r="31" spans="2:29" x14ac:dyDescent="0.3">
      <c r="B31" s="315"/>
    </row>
    <row r="32" spans="2:29" x14ac:dyDescent="0.3">
      <c r="B32" s="315"/>
    </row>
    <row r="33" spans="2:2" x14ac:dyDescent="0.3">
      <c r="B33" s="315"/>
    </row>
    <row r="34" spans="2:2" x14ac:dyDescent="0.3">
      <c r="B34" s="315"/>
    </row>
    <row r="35" spans="2:2" x14ac:dyDescent="0.3">
      <c r="B35" s="315"/>
    </row>
    <row r="36" spans="2:2" x14ac:dyDescent="0.3">
      <c r="B36" s="315"/>
    </row>
    <row r="37" spans="2:2" x14ac:dyDescent="0.3">
      <c r="B37" s="315"/>
    </row>
    <row r="38" spans="2:2" x14ac:dyDescent="0.3">
      <c r="B38" s="315"/>
    </row>
    <row r="39" spans="2:2" x14ac:dyDescent="0.3">
      <c r="B39" s="315"/>
    </row>
    <row r="40" spans="2:2" x14ac:dyDescent="0.3">
      <c r="B40" s="315"/>
    </row>
    <row r="41" spans="2:2" x14ac:dyDescent="0.3">
      <c r="B41" s="315"/>
    </row>
    <row r="42" spans="2:2" x14ac:dyDescent="0.3">
      <c r="B42" s="315"/>
    </row>
    <row r="43" spans="2:2" x14ac:dyDescent="0.3">
      <c r="B43" s="315"/>
    </row>
    <row r="44" spans="2:2" x14ac:dyDescent="0.3">
      <c r="B44" s="315"/>
    </row>
    <row r="45" spans="2:2" x14ac:dyDescent="0.3">
      <c r="B45" s="315"/>
    </row>
    <row r="46" spans="2:2" x14ac:dyDescent="0.3">
      <c r="B46" s="3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2:H13"/>
  <sheetViews>
    <sheetView showGridLines="0" showRowColHeaders="0" zoomScale="86" zoomScaleNormal="80" workbookViewId="0">
      <selection activeCell="B7" sqref="B7"/>
    </sheetView>
  </sheetViews>
  <sheetFormatPr defaultColWidth="8.88671875" defaultRowHeight="14.4" x14ac:dyDescent="0.3"/>
  <cols>
    <col min="1" max="1" width="2.6640625" style="3" customWidth="1"/>
    <col min="2" max="2" width="52.6640625" style="3" bestFit="1" customWidth="1"/>
    <col min="3" max="3" width="20" style="3" bestFit="1" customWidth="1"/>
    <col min="4" max="4" width="31.33203125" style="3" customWidth="1"/>
    <col min="5" max="5" width="21" style="3" bestFit="1" customWidth="1"/>
    <col min="6" max="6" width="31.33203125" style="3" customWidth="1"/>
    <col min="7" max="7" width="8.88671875" style="3"/>
    <col min="8" max="8" width="31.33203125" style="3" customWidth="1"/>
    <col min="9" max="16384" width="8.88671875" style="3"/>
  </cols>
  <sheetData>
    <row r="2" spans="1:8" ht="16.2" thickBot="1" x14ac:dyDescent="0.35">
      <c r="A2" s="78"/>
      <c r="B2" s="78">
        <f>COUNTA(B4:B150)</f>
        <v>1</v>
      </c>
      <c r="C2" s="78"/>
      <c r="D2" s="78">
        <f>SUBTOTAL(9,D4:D9)</f>
        <v>2241645</v>
      </c>
      <c r="E2" s="68">
        <f>COUNTA(_xlfn.ANCHORARRAY(E4))-1</f>
        <v>1</v>
      </c>
    </row>
    <row r="3" spans="1:8" s="78" customFormat="1" ht="16.2" customHeight="1" thickBot="1" x14ac:dyDescent="0.35">
      <c r="A3" s="3"/>
      <c r="B3" s="77" t="s">
        <v>30</v>
      </c>
      <c r="C3" s="75" t="s">
        <v>21</v>
      </c>
      <c r="D3" s="79" t="s">
        <v>2</v>
      </c>
      <c r="E3" s="77" t="s">
        <v>175</v>
      </c>
    </row>
    <row r="4" spans="1:8" s="78" customFormat="1" ht="15.6" x14ac:dyDescent="0.3">
      <c r="A4" s="3"/>
      <c r="B4" s="66" t="str">
        <f>_xlfn.XLOOKUP(C4,Details!$G$5:$G$22,Details!$F$5:$F$22)</f>
        <v>SRI PRASANNA TRADERS</v>
      </c>
      <c r="C4" s="12" t="str" cm="1">
        <f t="array" ref="C4:C5">_xlfn.UNIQUE(_xlfn._TRO_TRAILING(Details!G5:G22))</f>
        <v>37ANHPG0363J1Z1</v>
      </c>
      <c r="D4" s="67">
        <f>SUMIFS(Details!$Q$5:$Q$22,Details!$G$5:$G$22,'Supplier Metrics'!C4)</f>
        <v>2241645</v>
      </c>
      <c r="E4" s="66" t="str" cm="1">
        <f t="array" ref="E4:E5">_xlfn.UNIQUE(MID(_xlfn._TRO_TRAILING(Details!G5:G22),3,10))</f>
        <v>ANHPG0363J</v>
      </c>
    </row>
    <row r="5" spans="1:8" ht="15.6" x14ac:dyDescent="0.3">
      <c r="B5" s="66"/>
      <c r="C5" s="12" t="str">
        <v>37AGCPV7437N2ZK</v>
      </c>
      <c r="D5" s="67"/>
      <c r="E5" s="3" t="str">
        <v>AGCPV7437N</v>
      </c>
      <c r="F5" s="78"/>
      <c r="H5" s="78"/>
    </row>
    <row r="6" spans="1:8" ht="15.6" x14ac:dyDescent="0.3">
      <c r="B6" s="66"/>
      <c r="C6" s="12"/>
      <c r="D6" s="67"/>
      <c r="F6" s="78"/>
      <c r="H6" s="78"/>
    </row>
    <row r="7" spans="1:8" x14ac:dyDescent="0.3">
      <c r="B7" s="66"/>
      <c r="C7" s="12"/>
      <c r="D7" s="67"/>
      <c r="F7" s="67"/>
      <c r="H7" s="67"/>
    </row>
    <row r="8" spans="1:8" x14ac:dyDescent="0.3">
      <c r="B8" s="66"/>
      <c r="C8" s="12"/>
      <c r="D8" s="67"/>
      <c r="F8" s="67"/>
      <c r="H8" s="67"/>
    </row>
    <row r="9" spans="1:8" x14ac:dyDescent="0.3">
      <c r="B9" s="66"/>
      <c r="C9" s="12"/>
      <c r="D9" s="67"/>
      <c r="F9" s="67"/>
      <c r="H9" s="67"/>
    </row>
    <row r="10" spans="1:8" x14ac:dyDescent="0.3">
      <c r="B10" s="66"/>
      <c r="D10" s="67"/>
    </row>
    <row r="11" spans="1:8" x14ac:dyDescent="0.3">
      <c r="B11" s="66"/>
      <c r="D11" s="67"/>
    </row>
    <row r="12" spans="1:8" x14ac:dyDescent="0.3">
      <c r="B12" s="66"/>
      <c r="D12" s="67"/>
    </row>
    <row r="13" spans="1:8" x14ac:dyDescent="0.3">
      <c r="B13" s="66"/>
      <c r="D13" s="67"/>
    </row>
  </sheetData>
  <conditionalFormatting sqref="B1:B1048576">
    <cfRule type="duplicateValues" dxfId="3" priority="19838"/>
  </conditionalFormatting>
  <conditionalFormatting sqref="C4:C9">
    <cfRule type="duplicateValues" dxfId="2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/>
  <dimension ref="B2:M11"/>
  <sheetViews>
    <sheetView showGridLines="0" showRowColHeaders="0" zoomScale="104" zoomScaleNormal="110" workbookViewId="0">
      <selection activeCell="E7" sqref="E7"/>
    </sheetView>
  </sheetViews>
  <sheetFormatPr defaultColWidth="8.88671875" defaultRowHeight="14.4" x14ac:dyDescent="0.3"/>
  <cols>
    <col min="1" max="1" width="8.88671875" style="3"/>
    <col min="2" max="2" width="15" style="3" bestFit="1" customWidth="1"/>
    <col min="3" max="3" width="19" style="3" bestFit="1" customWidth="1"/>
    <col min="4" max="4" width="16.6640625" style="3" bestFit="1" customWidth="1"/>
    <col min="5" max="5" width="7.44140625" style="67" bestFit="1" customWidth="1"/>
    <col min="6" max="6" width="9" style="3" bestFit="1" customWidth="1"/>
    <col min="7" max="7" width="10.77734375" style="3" bestFit="1" customWidth="1"/>
    <col min="8" max="8" width="9.77734375" style="74" bestFit="1" customWidth="1"/>
    <col min="9" max="9" width="10.33203125" style="3" bestFit="1" customWidth="1"/>
    <col min="10" max="10" width="11.6640625" style="3" bestFit="1" customWidth="1"/>
    <col min="11" max="11" width="13.21875" style="74" bestFit="1" customWidth="1"/>
    <col min="12" max="12" width="17.21875" style="3" bestFit="1" customWidth="1"/>
    <col min="13" max="13" width="14.21875" style="3" bestFit="1" customWidth="1"/>
    <col min="14" max="16384" width="8.88671875" style="3"/>
  </cols>
  <sheetData>
    <row r="2" spans="2:13" s="65" customFormat="1" x14ac:dyDescent="0.3">
      <c r="E2" s="80"/>
      <c r="F2" s="3">
        <f>F3-Summary!R6</f>
        <v>0</v>
      </c>
      <c r="G2" s="65">
        <f>G3-Summary!R8</f>
        <v>-12270.000000000116</v>
      </c>
      <c r="H2" s="65">
        <f>H3-Summary!R9</f>
        <v>-4.7977034836254456E-3</v>
      </c>
      <c r="I2" s="65">
        <f>I3-Details!AY23</f>
        <v>0</v>
      </c>
      <c r="J2" s="65">
        <f>J3+Details!BZ23</f>
        <v>27752</v>
      </c>
      <c r="K2" s="76"/>
      <c r="L2" s="65">
        <f>L3-Summary!R19</f>
        <v>-4</v>
      </c>
    </row>
    <row r="3" spans="2:13" s="68" customFormat="1" ht="15" thickBot="1" x14ac:dyDescent="0.35">
      <c r="B3" s="68">
        <f>COUNTA(_xlfn.ANCHORARRAY(B5))</f>
        <v>2</v>
      </c>
      <c r="C3" s="68">
        <f>COUNTA(_xlfn.ANCHORARRAY(C5))</f>
        <v>3</v>
      </c>
      <c r="E3" s="81">
        <f>SUM(E$5:E10)</f>
        <v>229250</v>
      </c>
      <c r="F3" s="68">
        <f>SUM(F$5:F150)</f>
        <v>2557473.6</v>
      </c>
      <c r="G3" s="68">
        <f>SUM(G$5:G150)</f>
        <v>192250.59999999998</v>
      </c>
      <c r="H3" s="69">
        <f>G3/F3</f>
        <v>7.5172076067569177E-2</v>
      </c>
      <c r="I3" s="68">
        <f>SUM(I$5:I10)</f>
        <v>2751328.4000000004</v>
      </c>
      <c r="J3" s="68">
        <f>SUM(J$5:J10)</f>
        <v>28094.799999999999</v>
      </c>
      <c r="K3" s="69">
        <f>J3/F3</f>
        <v>1.0985372439426159E-2</v>
      </c>
      <c r="L3" s="68">
        <f>SUM(L$5:L10)</f>
        <v>13</v>
      </c>
      <c r="M3" s="68">
        <f>SUBTOTAL(1,M5:M150)</f>
        <v>259971.60000000003</v>
      </c>
    </row>
    <row r="4" spans="2:13" ht="15" thickBot="1" x14ac:dyDescent="0.35">
      <c r="B4" s="72" t="s">
        <v>174</v>
      </c>
      <c r="C4" s="72" t="s">
        <v>180</v>
      </c>
      <c r="D4" s="72" t="s">
        <v>75</v>
      </c>
      <c r="E4" s="79" t="s">
        <v>82</v>
      </c>
      <c r="F4" s="75" t="s">
        <v>150</v>
      </c>
      <c r="G4" s="75" t="s">
        <v>59</v>
      </c>
      <c r="H4" s="75" t="s">
        <v>151</v>
      </c>
      <c r="I4" s="75" t="s">
        <v>153</v>
      </c>
      <c r="J4" s="75" t="s">
        <v>152</v>
      </c>
      <c r="K4" s="75" t="s">
        <v>154</v>
      </c>
      <c r="L4" s="75" t="s">
        <v>156</v>
      </c>
      <c r="M4" s="73" t="s">
        <v>157</v>
      </c>
    </row>
    <row r="5" spans="2:13" x14ac:dyDescent="0.3">
      <c r="B5" s="66" t="str" cm="1">
        <f t="array" ref="B5:B6">_xlfn.UNIQUE(MID(_xlfn._TRO_TRAILING(Details!AR5:AR22),3,10))</f>
        <v>AAACM4154G</v>
      </c>
      <c r="C5" s="66" t="str" cm="1">
        <f t="array" ref="C5:C7">_xlfn.UNIQUE(Details!AR5:AR22)</f>
        <v>36AAACM4154G1ZO</v>
      </c>
      <c r="D5" s="67" t="str">
        <f>(_xlfn.XLOOKUP(C5,Details!$AR$5:$AR$22,Details!$AQ$5:$AQ$22))</f>
        <v>MRF LIMITED (36)</v>
      </c>
      <c r="E5" s="67">
        <f>SUMIFS(Details!BB:BB,Details!AR:AR,'Buyer Metrics'!$C5)</f>
        <v>188350</v>
      </c>
      <c r="F5" s="67">
        <f>SUMIFS(Details!BO:BO,Details!AR:AR,'Buyer Metrics'!$C5)</f>
        <v>2429360.6</v>
      </c>
      <c r="G5" s="67">
        <f>SUMIFS(Details!BP:BP,Details!AR:AR,'Buyer Metrics'!$C5)</f>
        <v>192250.59999999998</v>
      </c>
      <c r="H5" s="70">
        <f>IFERROR((G5/F5),0)</f>
        <v>7.9136296192504299E-2</v>
      </c>
      <c r="I5" s="12">
        <f>SUMIFS(Details!$AY$5:$AY22,Details!$AR$5:$AR22,'Buyer Metrics'!$C5)</f>
        <v>2434238.4000000004</v>
      </c>
      <c r="J5" s="67">
        <f>-SUMIFS(Details!$BZ$5:$BZ22,Details!$AR$5:$AR22,'Buyer Metrics'!$C5)</f>
        <v>4877.8</v>
      </c>
      <c r="K5" s="71">
        <f>IFERROR((J5/I5),0)</f>
        <v>2.0038300274944311E-3</v>
      </c>
      <c r="L5" s="67" cm="1">
        <f t="array" ref="L5">COUNTA(_xlfn.UNIQUE(_xlfn._xlws.FILTER(Details!AO5:AO22,Details!AR5:AR22='Buyer Metrics'!$C5)))</f>
        <v>12</v>
      </c>
      <c r="M5" s="12">
        <f>I5/L5</f>
        <v>202853.20000000004</v>
      </c>
    </row>
    <row r="6" spans="2:13" x14ac:dyDescent="0.3">
      <c r="B6" s="66" t="str">
        <v>AAACL6442L</v>
      </c>
      <c r="C6" s="66" t="str">
        <v>37AAACL6442L1Z9</v>
      </c>
      <c r="D6" s="67" t="str">
        <f>(_xlfn.XLOOKUP(C6,Details!$AR$5:$AR$22,Details!$AQ$5:$AQ$22))</f>
        <v>ULTRATECH CEMENT LIMITED</v>
      </c>
      <c r="E6" s="67">
        <f>SUMIFS(Details!BB:BB,Details!AR:AR,'Buyer Metrics'!$C6)</f>
        <v>40900</v>
      </c>
      <c r="F6" s="67">
        <f>SUMIFS(Details!BO:BO,Details!AR:AR,'Buyer Metrics'!$C6)</f>
        <v>128113</v>
      </c>
      <c r="G6" s="67">
        <v>0</v>
      </c>
      <c r="H6" s="70">
        <f t="shared" ref="H6" si="0">IFERROR((G6/F6),0)</f>
        <v>0</v>
      </c>
      <c r="I6" s="12">
        <f>SUMIFS(Details!$AY$5:$AY23,Details!$AR$5:$AR23,'Buyer Metrics'!$C6)</f>
        <v>317090</v>
      </c>
      <c r="J6" s="67">
        <f>-SUMIFS(Details!$BZ$5:$BZ23,Details!$AR$5:$AR23,'Buyer Metrics'!$C6)</f>
        <v>23217</v>
      </c>
      <c r="K6" s="71">
        <f t="shared" ref="K6" si="1">IFERROR((J6/I6),0)</f>
        <v>7.3218959916742876E-2</v>
      </c>
      <c r="L6" s="67" cm="1">
        <f t="array" ref="L6">COUNTA(_xlfn.UNIQUE(_xlfn._xlws.FILTER(Details!AO22:AO23,Details!AR22:AR23='Buyer Metrics'!$C6)))</f>
        <v>1</v>
      </c>
      <c r="M6" s="12">
        <f t="shared" ref="M6" si="2">I6/L6</f>
        <v>317090</v>
      </c>
    </row>
    <row r="7" spans="2:13" x14ac:dyDescent="0.3">
      <c r="B7" s="66"/>
      <c r="C7" s="66">
        <v>0</v>
      </c>
      <c r="D7" s="67"/>
      <c r="F7" s="67"/>
      <c r="G7" s="67"/>
      <c r="H7" s="70"/>
      <c r="I7" s="12"/>
      <c r="J7" s="67"/>
      <c r="K7" s="71"/>
      <c r="L7" s="67"/>
      <c r="M7" s="12"/>
    </row>
    <row r="8" spans="2:13" x14ac:dyDescent="0.3">
      <c r="B8" s="66"/>
      <c r="C8" s="66"/>
      <c r="D8" s="67"/>
      <c r="F8" s="67"/>
      <c r="G8" s="67"/>
      <c r="H8" s="70"/>
      <c r="I8" s="12"/>
      <c r="J8" s="67"/>
      <c r="K8" s="71"/>
      <c r="L8" s="67"/>
      <c r="M8" s="12"/>
    </row>
    <row r="9" spans="2:13" x14ac:dyDescent="0.3">
      <c r="D9" s="67"/>
      <c r="F9" s="67"/>
      <c r="G9" s="67">
        <v>0</v>
      </c>
      <c r="H9" s="70"/>
      <c r="I9" s="12"/>
      <c r="J9" s="67"/>
      <c r="K9" s="71"/>
      <c r="L9" s="67"/>
      <c r="M9" s="12"/>
    </row>
    <row r="10" spans="2:13" x14ac:dyDescent="0.3">
      <c r="D10" s="67"/>
      <c r="F10" s="67"/>
      <c r="G10" s="67"/>
      <c r="H10" s="70"/>
      <c r="I10" s="12"/>
      <c r="J10" s="67"/>
      <c r="K10" s="71"/>
      <c r="L10" s="67"/>
      <c r="M10" s="12"/>
    </row>
    <row r="11" spans="2:13" x14ac:dyDescent="0.3">
      <c r="D11" s="67"/>
      <c r="F11" s="67"/>
      <c r="G11" s="67"/>
      <c r="H11" s="70"/>
      <c r="I11" s="12"/>
      <c r="J11" s="67"/>
      <c r="K11" s="71"/>
      <c r="L11" s="67"/>
      <c r="M11" s="1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T43"/>
  <sheetViews>
    <sheetView showGridLines="0" workbookViewId="0">
      <selection activeCell="E20" sqref="E20"/>
    </sheetView>
  </sheetViews>
  <sheetFormatPr defaultRowHeight="14.4" x14ac:dyDescent="0.3"/>
  <cols>
    <col min="2" max="2" width="31.88671875" bestFit="1" customWidth="1"/>
    <col min="3" max="3" width="6.5546875" bestFit="1" customWidth="1"/>
    <col min="4" max="4" width="14.44140625" bestFit="1" customWidth="1"/>
    <col min="5" max="5" width="17.77734375" bestFit="1" customWidth="1"/>
    <col min="6" max="6" width="32.6640625" bestFit="1" customWidth="1"/>
    <col min="7" max="7" width="11.21875" bestFit="1" customWidth="1"/>
    <col min="8" max="8" width="9.44140625" bestFit="1" customWidth="1"/>
    <col min="9" max="9" width="32.33203125" bestFit="1" customWidth="1"/>
    <col min="10" max="10" width="6.5546875" bestFit="1" customWidth="1"/>
    <col min="11" max="11" width="15" bestFit="1" customWidth="1"/>
    <col min="12" max="12" width="17.88671875" bestFit="1" customWidth="1"/>
    <col min="13" max="13" width="53.77734375" bestFit="1" customWidth="1"/>
    <col min="14" max="14" width="11.21875" bestFit="1" customWidth="1"/>
    <col min="15" max="15" width="9.77734375" bestFit="1" customWidth="1"/>
    <col min="16" max="16" width="30.77734375" bestFit="1" customWidth="1"/>
    <col min="17" max="17" width="10.5546875" bestFit="1" customWidth="1"/>
    <col min="18" max="18" width="13.44140625" bestFit="1" customWidth="1"/>
    <col min="19" max="19" width="12.33203125" bestFit="1" customWidth="1"/>
    <col min="20" max="20" width="7.6640625" bestFit="1" customWidth="1"/>
  </cols>
  <sheetData>
    <row r="1" spans="2:20" ht="15" thickBot="1" x14ac:dyDescent="0.35"/>
    <row r="2" spans="2:20" ht="15" thickBot="1" x14ac:dyDescent="0.35">
      <c r="E2" s="222" t="s">
        <v>89</v>
      </c>
      <c r="F2" s="223" t="s">
        <v>87</v>
      </c>
      <c r="G2" s="227" t="s">
        <v>56</v>
      </c>
      <c r="L2" s="222" t="s">
        <v>89</v>
      </c>
      <c r="M2" s="223" t="s">
        <v>87</v>
      </c>
      <c r="N2" s="227" t="s">
        <v>56</v>
      </c>
    </row>
    <row r="3" spans="2:20" x14ac:dyDescent="0.3">
      <c r="E3" s="224"/>
      <c r="F3" s="17" t="s">
        <v>321</v>
      </c>
      <c r="G3" s="229">
        <v>244602</v>
      </c>
      <c r="L3" s="224"/>
      <c r="M3" s="17" t="s">
        <v>305</v>
      </c>
      <c r="N3" s="229">
        <v>227297.5</v>
      </c>
    </row>
    <row r="4" spans="2:20" x14ac:dyDescent="0.3">
      <c r="E4" s="224"/>
      <c r="F4" s="17" t="s">
        <v>303</v>
      </c>
      <c r="G4" s="230">
        <f>G8</f>
        <v>295366</v>
      </c>
      <c r="L4" s="224"/>
      <c r="M4" s="17" t="s">
        <v>90</v>
      </c>
      <c r="N4" s="230">
        <v>0</v>
      </c>
    </row>
    <row r="5" spans="2:20" ht="15" thickBot="1" x14ac:dyDescent="0.35">
      <c r="E5" s="224"/>
      <c r="F5" s="17" t="s">
        <v>102</v>
      </c>
      <c r="G5" s="231"/>
      <c r="L5" s="224"/>
      <c r="M5" s="17" t="s">
        <v>306</v>
      </c>
      <c r="N5" s="231">
        <f>N8</f>
        <v>168763.5</v>
      </c>
    </row>
    <row r="6" spans="2:20" ht="15" thickBot="1" x14ac:dyDescent="0.35">
      <c r="E6" s="225"/>
      <c r="F6" s="226"/>
      <c r="G6" s="228">
        <f>G3-G4-G5</f>
        <v>-50764</v>
      </c>
      <c r="L6" s="225"/>
      <c r="M6" s="226" t="s">
        <v>91</v>
      </c>
      <c r="N6" s="228">
        <f>N3-N4-N5</f>
        <v>58534</v>
      </c>
    </row>
    <row r="7" spans="2:20" x14ac:dyDescent="0.3">
      <c r="G7" s="1"/>
    </row>
    <row r="8" spans="2:20" ht="15" thickBot="1" x14ac:dyDescent="0.35">
      <c r="B8" s="45" t="s">
        <v>301</v>
      </c>
      <c r="C8" s="45"/>
      <c r="D8" s="45"/>
      <c r="G8" s="3">
        <f>SUBTOTAL(9,G10:G82)</f>
        <v>295366</v>
      </c>
      <c r="I8" s="49" t="s">
        <v>302</v>
      </c>
      <c r="J8" s="49"/>
      <c r="K8" s="49"/>
      <c r="L8" s="49"/>
      <c r="N8" s="3">
        <f>SUBTOTAL(9,N10:N82)</f>
        <v>168763.5</v>
      </c>
      <c r="P8" s="45" t="s">
        <v>304</v>
      </c>
      <c r="Q8" s="45"/>
      <c r="R8" s="45"/>
    </row>
    <row r="9" spans="2:20" ht="15" thickBot="1" x14ac:dyDescent="0.35">
      <c r="B9" s="32" t="s">
        <v>80</v>
      </c>
      <c r="C9" s="32" t="s">
        <v>19</v>
      </c>
      <c r="D9" s="27" t="s">
        <v>84</v>
      </c>
      <c r="E9" s="28" t="s">
        <v>85</v>
      </c>
      <c r="F9" s="27" t="s">
        <v>121</v>
      </c>
      <c r="G9" s="29" t="s">
        <v>76</v>
      </c>
      <c r="I9" s="26" t="s">
        <v>80</v>
      </c>
      <c r="J9" s="32" t="s">
        <v>19</v>
      </c>
      <c r="K9" s="27" t="s">
        <v>73</v>
      </c>
      <c r="L9" s="28" t="s">
        <v>74</v>
      </c>
      <c r="M9" s="27" t="s">
        <v>75</v>
      </c>
      <c r="N9" s="29" t="s">
        <v>122</v>
      </c>
      <c r="P9" s="30" t="s">
        <v>118</v>
      </c>
      <c r="Q9" s="31" t="s">
        <v>119</v>
      </c>
      <c r="R9" s="40" t="s">
        <v>120</v>
      </c>
      <c r="S9" s="40" t="s">
        <v>121</v>
      </c>
      <c r="T9" s="40" t="s">
        <v>56</v>
      </c>
    </row>
    <row r="10" spans="2:20" x14ac:dyDescent="0.3">
      <c r="B10" s="11" t="s">
        <v>255</v>
      </c>
      <c r="C10" s="11" t="str">
        <f>TEXT(D10,"mmm-yy")</f>
        <v>Apr-26</v>
      </c>
      <c r="D10" s="47">
        <v>46113</v>
      </c>
      <c r="E10" t="s">
        <v>263</v>
      </c>
      <c r="F10" s="11" t="s">
        <v>254</v>
      </c>
      <c r="G10" s="19">
        <v>1380</v>
      </c>
      <c r="I10" s="7" t="s">
        <v>255</v>
      </c>
      <c r="J10" s="11" t="str">
        <f>TEXT(K10,"mmm-yy")</f>
        <v>Apr-26</v>
      </c>
      <c r="K10" s="47">
        <v>46113</v>
      </c>
      <c r="L10" t="s">
        <v>267</v>
      </c>
      <c r="M10" s="11" t="s">
        <v>239</v>
      </c>
      <c r="N10" s="18">
        <v>1680</v>
      </c>
      <c r="P10" s="44"/>
      <c r="Q10" s="11"/>
      <c r="R10" s="9"/>
      <c r="S10" s="9"/>
      <c r="T10" s="19"/>
    </row>
    <row r="11" spans="2:20" x14ac:dyDescent="0.3">
      <c r="B11" s="11" t="s">
        <v>256</v>
      </c>
      <c r="C11" s="11" t="str">
        <f t="shared" ref="C11:C20" si="0">TEXT(D11,"mmm-yy")</f>
        <v>Apr-26</v>
      </c>
      <c r="D11" s="47">
        <v>46114</v>
      </c>
      <c r="E11" t="s">
        <v>264</v>
      </c>
      <c r="F11" s="11" t="s">
        <v>254</v>
      </c>
      <c r="G11" s="19">
        <v>114.99999999999999</v>
      </c>
      <c r="I11" s="7" t="s">
        <v>266</v>
      </c>
      <c r="J11" s="11" t="str">
        <f>TEXT(K11,"mmm-yy")</f>
        <v>Apr-26</v>
      </c>
      <c r="K11" s="47">
        <v>46114</v>
      </c>
      <c r="L11" t="s">
        <v>269</v>
      </c>
      <c r="M11" s="11" t="s">
        <v>239</v>
      </c>
      <c r="N11" s="18">
        <v>420</v>
      </c>
      <c r="P11" s="44"/>
      <c r="Q11" s="11"/>
      <c r="R11" s="9"/>
      <c r="S11" s="9"/>
      <c r="T11" s="19"/>
    </row>
    <row r="12" spans="2:20" x14ac:dyDescent="0.3">
      <c r="B12" s="11" t="s">
        <v>266</v>
      </c>
      <c r="C12" s="11" t="str">
        <f t="shared" si="0"/>
        <v>Apr-26</v>
      </c>
      <c r="D12" s="47">
        <v>46114</v>
      </c>
      <c r="E12" t="s">
        <v>265</v>
      </c>
      <c r="F12" s="11" t="s">
        <v>254</v>
      </c>
      <c r="G12" s="19">
        <v>345</v>
      </c>
      <c r="I12" s="7" t="s">
        <v>256</v>
      </c>
      <c r="J12" s="11" t="str">
        <f t="shared" ref="J12:J20" si="1">TEXT(K12,"mmm-yy")</f>
        <v>Apr-26</v>
      </c>
      <c r="K12" s="47">
        <v>46114</v>
      </c>
      <c r="L12" t="s">
        <v>268</v>
      </c>
      <c r="M12" s="11" t="s">
        <v>239</v>
      </c>
      <c r="N12" s="18">
        <v>140</v>
      </c>
      <c r="P12" s="44"/>
      <c r="Q12" s="11"/>
      <c r="R12" s="9"/>
      <c r="S12" s="9"/>
      <c r="T12" s="19"/>
    </row>
    <row r="13" spans="2:20" x14ac:dyDescent="0.3">
      <c r="B13" s="11" t="s">
        <v>291</v>
      </c>
      <c r="C13" s="11" t="str">
        <f t="shared" si="0"/>
        <v>Apr-26</v>
      </c>
      <c r="D13" s="47">
        <v>46118</v>
      </c>
      <c r="E13" t="s">
        <v>294</v>
      </c>
      <c r="F13" s="11" t="s">
        <v>253</v>
      </c>
      <c r="G13" s="19">
        <v>637</v>
      </c>
      <c r="I13" s="7" t="s">
        <v>291</v>
      </c>
      <c r="J13" s="11" t="str">
        <f t="shared" si="1"/>
        <v>Apr-26</v>
      </c>
      <c r="K13" s="47">
        <v>46118</v>
      </c>
      <c r="L13" t="s">
        <v>297</v>
      </c>
      <c r="M13" s="11" t="s">
        <v>239</v>
      </c>
      <c r="N13" s="18">
        <v>734.5</v>
      </c>
      <c r="P13" s="44"/>
      <c r="Q13" s="11"/>
      <c r="R13" s="9"/>
      <c r="S13" s="9"/>
      <c r="T13" s="19"/>
    </row>
    <row r="14" spans="2:20" x14ac:dyDescent="0.3">
      <c r="B14" s="11" t="s">
        <v>292</v>
      </c>
      <c r="C14" s="11" t="str">
        <f t="shared" si="0"/>
        <v>Apr-26</v>
      </c>
      <c r="D14" s="47">
        <v>46118</v>
      </c>
      <c r="E14" t="s">
        <v>295</v>
      </c>
      <c r="F14" s="11" t="s">
        <v>253</v>
      </c>
      <c r="G14" s="19">
        <v>1176</v>
      </c>
      <c r="I14" s="7" t="s">
        <v>293</v>
      </c>
      <c r="J14" s="11" t="str">
        <f t="shared" si="1"/>
        <v>Apr-26</v>
      </c>
      <c r="K14" s="47">
        <v>46118</v>
      </c>
      <c r="L14" t="s">
        <v>299</v>
      </c>
      <c r="M14" s="11" t="s">
        <v>239</v>
      </c>
      <c r="N14" s="18">
        <v>1356</v>
      </c>
      <c r="P14" s="44"/>
      <c r="Q14" s="11"/>
      <c r="R14" s="9"/>
      <c r="S14" s="9"/>
      <c r="T14" s="19"/>
    </row>
    <row r="15" spans="2:20" x14ac:dyDescent="0.3">
      <c r="B15" s="11" t="s">
        <v>293</v>
      </c>
      <c r="C15" s="11" t="str">
        <f t="shared" si="0"/>
        <v>Apr-26</v>
      </c>
      <c r="D15" s="47">
        <v>46118</v>
      </c>
      <c r="E15" t="s">
        <v>296</v>
      </c>
      <c r="F15" s="11" t="s">
        <v>253</v>
      </c>
      <c r="G15" s="19">
        <v>1372</v>
      </c>
      <c r="I15" s="7" t="s">
        <v>292</v>
      </c>
      <c r="J15" s="11" t="str">
        <f t="shared" si="1"/>
        <v>Apr-26</v>
      </c>
      <c r="K15" s="47">
        <v>46118</v>
      </c>
      <c r="L15" t="s">
        <v>298</v>
      </c>
      <c r="M15" s="11" t="s">
        <v>239</v>
      </c>
      <c r="N15" s="18">
        <v>1582</v>
      </c>
      <c r="P15" s="44"/>
      <c r="Q15" s="11"/>
      <c r="R15" s="9"/>
      <c r="S15" s="9"/>
      <c r="T15" s="19"/>
    </row>
    <row r="16" spans="2:20" x14ac:dyDescent="0.3">
      <c r="B16" s="11" t="s">
        <v>307</v>
      </c>
      <c r="C16" s="11" t="str">
        <f t="shared" si="0"/>
        <v>Apr-26</v>
      </c>
      <c r="D16" s="47">
        <v>46126</v>
      </c>
      <c r="E16" t="s">
        <v>315</v>
      </c>
      <c r="F16" s="11" t="s">
        <v>253</v>
      </c>
      <c r="G16" s="19">
        <v>2750</v>
      </c>
      <c r="I16" s="7" t="s">
        <v>307</v>
      </c>
      <c r="J16" s="11" t="str">
        <f t="shared" si="1"/>
        <v>Apr-26</v>
      </c>
      <c r="K16" s="47">
        <v>46126</v>
      </c>
      <c r="L16" t="s">
        <v>308</v>
      </c>
      <c r="M16" s="11" t="s">
        <v>274</v>
      </c>
      <c r="N16" s="18">
        <v>2775</v>
      </c>
      <c r="P16" s="44"/>
      <c r="Q16" s="11"/>
      <c r="R16" s="9"/>
      <c r="S16" s="9"/>
      <c r="T16" s="19"/>
    </row>
    <row r="17" spans="2:20" x14ac:dyDescent="0.3">
      <c r="B17" s="11" t="s">
        <v>309</v>
      </c>
      <c r="C17" s="11" t="str">
        <f t="shared" si="0"/>
        <v>Apr-26</v>
      </c>
      <c r="D17" s="47">
        <v>46127</v>
      </c>
      <c r="E17" t="s">
        <v>316</v>
      </c>
      <c r="F17" s="11" t="s">
        <v>236</v>
      </c>
      <c r="G17" s="19">
        <v>80808</v>
      </c>
      <c r="I17" s="7" t="s">
        <v>309</v>
      </c>
      <c r="J17" s="11" t="str">
        <f t="shared" si="1"/>
        <v>Apr-26</v>
      </c>
      <c r="K17" s="47">
        <v>46127</v>
      </c>
      <c r="L17" t="s">
        <v>310</v>
      </c>
      <c r="M17" s="11" t="s">
        <v>239</v>
      </c>
      <c r="N17" s="18">
        <v>74592</v>
      </c>
      <c r="P17" s="44"/>
      <c r="Q17" s="11"/>
      <c r="R17" s="9"/>
      <c r="S17" s="9"/>
      <c r="T17" s="19"/>
    </row>
    <row r="18" spans="2:20" x14ac:dyDescent="0.3">
      <c r="B18" s="11" t="s">
        <v>313</v>
      </c>
      <c r="C18" s="11" t="str">
        <f t="shared" si="0"/>
        <v>Apr-26</v>
      </c>
      <c r="D18" s="47">
        <v>46127</v>
      </c>
      <c r="E18" t="s">
        <v>317</v>
      </c>
      <c r="F18" s="11" t="s">
        <v>236</v>
      </c>
      <c r="G18" s="19">
        <v>78851</v>
      </c>
      <c r="I18" s="7" t="s">
        <v>311</v>
      </c>
      <c r="J18" s="11" t="str">
        <f t="shared" si="1"/>
        <v>Apr-26</v>
      </c>
      <c r="K18" s="47">
        <v>46127</v>
      </c>
      <c r="L18" t="s">
        <v>312</v>
      </c>
      <c r="M18" s="11" t="s">
        <v>239</v>
      </c>
      <c r="N18" s="18">
        <v>71232</v>
      </c>
      <c r="P18" s="44"/>
      <c r="Q18" s="11"/>
      <c r="R18" s="9"/>
      <c r="S18" s="9"/>
      <c r="T18" s="19"/>
    </row>
    <row r="19" spans="2:20" x14ac:dyDescent="0.3">
      <c r="B19" s="11" t="s">
        <v>311</v>
      </c>
      <c r="C19" s="11" t="str">
        <f t="shared" si="0"/>
        <v>Apr-26</v>
      </c>
      <c r="D19" s="47">
        <v>46127</v>
      </c>
      <c r="E19" t="s">
        <v>318</v>
      </c>
      <c r="F19" s="11" t="s">
        <v>236</v>
      </c>
      <c r="G19" s="19">
        <v>77168</v>
      </c>
      <c r="I19" s="7" t="s">
        <v>313</v>
      </c>
      <c r="J19" s="11" t="str">
        <f t="shared" si="1"/>
        <v>Apr-26</v>
      </c>
      <c r="K19" s="47">
        <v>46127</v>
      </c>
      <c r="L19" t="s">
        <v>314</v>
      </c>
      <c r="M19" s="11" t="s">
        <v>239</v>
      </c>
      <c r="N19" s="18">
        <v>72786</v>
      </c>
      <c r="P19" s="44"/>
      <c r="Q19" s="11"/>
      <c r="R19" s="9"/>
      <c r="S19" s="9"/>
      <c r="T19" s="19"/>
    </row>
    <row r="20" spans="2:20" x14ac:dyDescent="0.3">
      <c r="B20" s="11" t="s">
        <v>292</v>
      </c>
      <c r="C20" s="11" t="str">
        <f t="shared" si="0"/>
        <v>Jun-26</v>
      </c>
      <c r="D20" s="47">
        <v>46188</v>
      </c>
      <c r="E20" t="s">
        <v>454</v>
      </c>
      <c r="F20" s="11" t="s">
        <v>253</v>
      </c>
      <c r="G20" s="19">
        <v>50764</v>
      </c>
      <c r="I20" s="7" t="s">
        <v>292</v>
      </c>
      <c r="J20" s="11" t="str">
        <f t="shared" si="1"/>
        <v>Jun-26</v>
      </c>
      <c r="K20" s="47">
        <v>46188</v>
      </c>
      <c r="L20" t="s">
        <v>455</v>
      </c>
      <c r="M20" s="11" t="s">
        <v>239</v>
      </c>
      <c r="N20" s="18">
        <v>-58534</v>
      </c>
      <c r="P20" s="44"/>
      <c r="Q20" s="11"/>
      <c r="R20" s="9"/>
      <c r="S20" s="9"/>
      <c r="T20" s="19"/>
    </row>
    <row r="21" spans="2:20" x14ac:dyDescent="0.3">
      <c r="B21" s="11"/>
      <c r="C21" s="11"/>
      <c r="D21" s="47"/>
      <c r="F21" s="11"/>
      <c r="G21" s="19"/>
      <c r="I21" s="7"/>
      <c r="J21" s="7"/>
      <c r="K21" s="47"/>
      <c r="M21" s="11"/>
      <c r="N21" s="18"/>
      <c r="P21" s="44"/>
      <c r="Q21" s="11"/>
      <c r="R21" s="9"/>
      <c r="S21" s="9"/>
      <c r="T21" s="19"/>
    </row>
    <row r="22" spans="2:20" x14ac:dyDescent="0.3">
      <c r="B22" s="11"/>
      <c r="C22" s="11"/>
      <c r="D22" s="47"/>
      <c r="F22" s="11"/>
      <c r="G22" s="19"/>
      <c r="I22" s="7"/>
      <c r="J22" s="7"/>
      <c r="K22" s="47"/>
      <c r="M22" s="11"/>
      <c r="N22" s="18"/>
      <c r="P22" s="44"/>
      <c r="Q22" s="11"/>
      <c r="R22" s="9"/>
      <c r="S22" s="9"/>
      <c r="T22" s="19"/>
    </row>
    <row r="23" spans="2:20" x14ac:dyDescent="0.3">
      <c r="B23" s="11"/>
      <c r="C23" s="11"/>
      <c r="D23" s="47"/>
      <c r="F23" s="11"/>
      <c r="G23" s="19"/>
      <c r="I23" s="7"/>
      <c r="J23" s="7"/>
      <c r="K23" s="47"/>
      <c r="M23" s="11"/>
      <c r="N23" s="18"/>
      <c r="P23" s="44"/>
      <c r="Q23" s="11"/>
      <c r="R23" s="9"/>
      <c r="S23" s="9"/>
      <c r="T23" s="19"/>
    </row>
    <row r="24" spans="2:20" x14ac:dyDescent="0.3">
      <c r="B24" s="11"/>
      <c r="C24" s="11"/>
      <c r="D24" s="47"/>
      <c r="F24" s="11"/>
      <c r="G24" s="19"/>
      <c r="I24" s="7"/>
      <c r="J24" s="7"/>
      <c r="K24" s="47"/>
      <c r="M24" s="11"/>
      <c r="N24" s="18"/>
      <c r="P24" s="44"/>
      <c r="Q24" s="11"/>
      <c r="R24" s="9"/>
      <c r="S24" s="9"/>
      <c r="T24" s="19"/>
    </row>
    <row r="25" spans="2:20" x14ac:dyDescent="0.3">
      <c r="B25" s="11"/>
      <c r="C25" s="11"/>
      <c r="D25" s="47"/>
      <c r="F25" s="11"/>
      <c r="G25" s="19"/>
      <c r="I25" s="7"/>
      <c r="J25" s="7"/>
      <c r="K25" s="47"/>
      <c r="M25" s="11"/>
      <c r="N25" s="18"/>
      <c r="P25" s="44"/>
      <c r="Q25" s="11"/>
      <c r="R25" s="9"/>
      <c r="S25" s="9"/>
      <c r="T25" s="19"/>
    </row>
    <row r="26" spans="2:20" x14ac:dyDescent="0.3">
      <c r="B26" s="11"/>
      <c r="C26" s="11"/>
      <c r="D26" s="47"/>
      <c r="F26" s="11"/>
      <c r="G26" s="19"/>
      <c r="I26" s="7"/>
      <c r="J26" s="7"/>
      <c r="K26" s="47"/>
      <c r="M26" s="11"/>
      <c r="N26" s="18"/>
      <c r="P26" s="44"/>
      <c r="Q26" s="11"/>
      <c r="R26" s="9"/>
      <c r="S26" s="9"/>
      <c r="T26" s="19"/>
    </row>
    <row r="27" spans="2:20" x14ac:dyDescent="0.3">
      <c r="B27" s="11"/>
      <c r="C27" s="11"/>
      <c r="D27" s="47"/>
      <c r="F27" s="11"/>
      <c r="G27" s="19"/>
      <c r="I27" s="7"/>
      <c r="J27" s="7"/>
      <c r="K27" s="47"/>
      <c r="M27" s="11"/>
      <c r="N27" s="18"/>
      <c r="P27" s="44"/>
      <c r="Q27" s="11"/>
      <c r="R27" s="9"/>
      <c r="S27" s="9"/>
      <c r="T27" s="19"/>
    </row>
    <row r="28" spans="2:20" x14ac:dyDescent="0.3">
      <c r="B28" s="11"/>
      <c r="C28" s="11"/>
      <c r="D28" s="47"/>
      <c r="F28" s="11"/>
      <c r="G28" s="19"/>
      <c r="I28" s="7"/>
      <c r="J28" s="7"/>
      <c r="K28" s="47"/>
      <c r="M28" s="11"/>
      <c r="N28" s="18"/>
      <c r="P28" s="44"/>
      <c r="Q28" s="11"/>
      <c r="R28" s="9"/>
      <c r="S28" s="9"/>
      <c r="T28" s="19"/>
    </row>
    <row r="29" spans="2:20" x14ac:dyDescent="0.3">
      <c r="B29" s="11"/>
      <c r="C29" s="11"/>
      <c r="D29" s="47"/>
      <c r="F29" s="11"/>
      <c r="G29" s="19"/>
      <c r="I29" s="7"/>
      <c r="J29" s="7"/>
      <c r="K29" s="47"/>
      <c r="M29" s="11"/>
      <c r="N29" s="18"/>
      <c r="P29" s="44"/>
      <c r="Q29" s="11"/>
      <c r="R29" s="9"/>
      <c r="S29" s="9"/>
      <c r="T29" s="19"/>
    </row>
    <row r="30" spans="2:20" x14ac:dyDescent="0.3">
      <c r="B30" s="11"/>
      <c r="C30" s="11"/>
      <c r="D30" s="47"/>
      <c r="F30" s="11"/>
      <c r="G30" s="19"/>
      <c r="I30" s="7"/>
      <c r="J30" s="7"/>
      <c r="K30" s="47"/>
      <c r="M30" s="11"/>
      <c r="N30" s="18"/>
      <c r="P30" s="44"/>
      <c r="Q30" s="11"/>
      <c r="R30" s="9"/>
      <c r="S30" s="9"/>
      <c r="T30" s="19"/>
    </row>
    <row r="31" spans="2:20" ht="15" thickBot="1" x14ac:dyDescent="0.35">
      <c r="B31" s="11"/>
      <c r="C31" s="11"/>
      <c r="D31" s="47"/>
      <c r="F31" s="11"/>
      <c r="G31" s="19"/>
      <c r="I31" s="7"/>
      <c r="J31" s="7"/>
      <c r="K31" s="47"/>
      <c r="M31" s="11"/>
      <c r="N31" s="18"/>
      <c r="P31" s="44"/>
      <c r="Q31" s="11"/>
      <c r="R31" s="9"/>
      <c r="S31" s="9"/>
      <c r="T31" s="19"/>
    </row>
    <row r="32" spans="2:20" ht="15" thickBot="1" x14ac:dyDescent="0.35">
      <c r="B32" s="11"/>
      <c r="C32" s="11"/>
      <c r="D32" s="47"/>
      <c r="F32" s="11"/>
      <c r="G32" s="19"/>
      <c r="I32" s="7"/>
      <c r="J32" s="7"/>
      <c r="K32" s="47"/>
      <c r="M32" s="11"/>
      <c r="N32" s="18"/>
      <c r="P32" s="357" t="s">
        <v>78</v>
      </c>
      <c r="Q32" s="358"/>
      <c r="R32" s="358"/>
      <c r="S32" s="359"/>
      <c r="T32" s="33">
        <f>SUM(T10:T31)</f>
        <v>0</v>
      </c>
    </row>
    <row r="33" spans="2:14" x14ac:dyDescent="0.3">
      <c r="B33" s="11"/>
      <c r="C33" s="11"/>
      <c r="D33" s="47"/>
      <c r="F33" s="11"/>
      <c r="G33" s="19"/>
      <c r="I33" s="7"/>
      <c r="J33" s="7"/>
      <c r="K33" s="47"/>
      <c r="M33" s="11"/>
      <c r="N33" s="18"/>
    </row>
    <row r="34" spans="2:14" x14ac:dyDescent="0.3">
      <c r="B34" s="11"/>
      <c r="C34" s="11"/>
      <c r="D34" s="47"/>
      <c r="F34" s="11"/>
      <c r="G34" s="19"/>
      <c r="I34" s="7"/>
      <c r="J34" s="7"/>
      <c r="K34" s="47"/>
      <c r="M34" s="11"/>
      <c r="N34" s="18"/>
    </row>
    <row r="35" spans="2:14" x14ac:dyDescent="0.3">
      <c r="B35" s="11"/>
      <c r="C35" s="11"/>
      <c r="D35" s="47"/>
      <c r="F35" s="11"/>
      <c r="G35" s="19"/>
      <c r="I35" s="7"/>
      <c r="J35" s="7"/>
      <c r="K35" s="47"/>
      <c r="M35" s="11"/>
      <c r="N35" s="18"/>
    </row>
    <row r="36" spans="2:14" x14ac:dyDescent="0.3">
      <c r="B36" s="11"/>
      <c r="C36" s="11"/>
      <c r="D36" s="47"/>
      <c r="F36" s="11"/>
      <c r="G36" s="19"/>
      <c r="I36" s="7"/>
      <c r="J36" s="7"/>
      <c r="K36" s="47"/>
      <c r="M36" s="11"/>
      <c r="N36" s="18"/>
    </row>
    <row r="37" spans="2:14" x14ac:dyDescent="0.3">
      <c r="B37" s="11"/>
      <c r="C37" s="11"/>
      <c r="D37" s="47"/>
      <c r="F37" s="11"/>
      <c r="G37" s="19"/>
      <c r="I37" s="7"/>
      <c r="J37" s="7"/>
      <c r="K37" s="47"/>
      <c r="M37" s="11"/>
      <c r="N37" s="18"/>
    </row>
    <row r="38" spans="2:14" x14ac:dyDescent="0.3">
      <c r="B38" s="11"/>
      <c r="C38" s="11"/>
      <c r="D38" s="47"/>
      <c r="F38" s="11"/>
      <c r="G38" s="19"/>
      <c r="I38" s="7"/>
      <c r="J38" s="7"/>
      <c r="K38" s="47"/>
      <c r="M38" s="11"/>
      <c r="N38" s="18"/>
    </row>
    <row r="39" spans="2:14" x14ac:dyDescent="0.3">
      <c r="B39" s="11"/>
      <c r="C39" s="11"/>
      <c r="D39" s="47"/>
      <c r="F39" s="11"/>
      <c r="G39" s="19"/>
      <c r="I39" s="7"/>
      <c r="J39" s="7"/>
      <c r="K39" s="47"/>
      <c r="M39" s="11"/>
      <c r="N39" s="18"/>
    </row>
    <row r="40" spans="2:14" x14ac:dyDescent="0.3">
      <c r="B40" s="11"/>
      <c r="C40" s="11"/>
      <c r="D40" s="47"/>
      <c r="F40" s="11"/>
      <c r="G40" s="19"/>
      <c r="I40" s="7"/>
      <c r="J40" s="7"/>
      <c r="K40" s="47"/>
      <c r="M40" s="11"/>
      <c r="N40" s="18"/>
    </row>
    <row r="41" spans="2:14" x14ac:dyDescent="0.3">
      <c r="B41" s="11"/>
      <c r="C41" s="11"/>
      <c r="D41" s="47"/>
      <c r="F41" s="11"/>
      <c r="G41" s="19"/>
      <c r="I41" s="7"/>
      <c r="J41" s="7"/>
      <c r="K41" s="47"/>
      <c r="M41" s="11"/>
      <c r="N41" s="18"/>
    </row>
    <row r="42" spans="2:14" x14ac:dyDescent="0.3">
      <c r="B42" s="11"/>
      <c r="C42" s="11"/>
      <c r="D42" s="47"/>
      <c r="F42" s="11"/>
      <c r="G42" s="19"/>
      <c r="I42" s="7"/>
      <c r="J42" s="7"/>
      <c r="K42" s="47"/>
      <c r="M42" s="11"/>
      <c r="N42" s="18"/>
    </row>
    <row r="43" spans="2:14" x14ac:dyDescent="0.3">
      <c r="I43" s="7"/>
      <c r="J43" s="7"/>
      <c r="K43" s="47"/>
      <c r="M43" s="11"/>
      <c r="N43" s="18"/>
    </row>
  </sheetData>
  <mergeCells count="1">
    <mergeCell ref="P32:S32"/>
  </mergeCells>
  <conditionalFormatting sqref="B10:B41">
    <cfRule type="duplicateValues" dxfId="1" priority="19807"/>
  </conditionalFormatting>
  <conditionalFormatting sqref="I21:J42 I10:I20">
    <cfRule type="duplicateValues" dxfId="0" priority="20027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C4:J40"/>
  <sheetViews>
    <sheetView showGridLines="0" showRowColHeaders="0" workbookViewId="0">
      <selection activeCell="F23" sqref="F23"/>
    </sheetView>
  </sheetViews>
  <sheetFormatPr defaultRowHeight="14.4" x14ac:dyDescent="0.3"/>
  <cols>
    <col min="3" max="3" width="40.109375" bestFit="1" customWidth="1"/>
    <col min="4" max="4" width="14.21875" bestFit="1" customWidth="1"/>
    <col min="6" max="6" width="39.5546875" bestFit="1" customWidth="1"/>
    <col min="7" max="7" width="14.21875" bestFit="1" customWidth="1"/>
    <col min="9" max="9" width="39.6640625" bestFit="1" customWidth="1"/>
    <col min="10" max="10" width="11.5546875" bestFit="1" customWidth="1"/>
  </cols>
  <sheetData>
    <row r="4" spans="3:10" s="64" customFormat="1" ht="16.2" thickBot="1" x14ac:dyDescent="0.35">
      <c r="C4" s="64" t="s">
        <v>92</v>
      </c>
      <c r="F4" s="64" t="s">
        <v>95</v>
      </c>
      <c r="I4" s="64" t="s">
        <v>97</v>
      </c>
    </row>
    <row r="5" spans="3:10" ht="15" thickBot="1" x14ac:dyDescent="0.35">
      <c r="C5" s="52" t="s">
        <v>87</v>
      </c>
      <c r="D5" s="53" t="s">
        <v>56</v>
      </c>
      <c r="F5" s="52" t="s">
        <v>87</v>
      </c>
      <c r="G5" s="53" t="s">
        <v>56</v>
      </c>
      <c r="I5" s="52" t="s">
        <v>87</v>
      </c>
      <c r="J5" s="53" t="s">
        <v>56</v>
      </c>
    </row>
    <row r="6" spans="3:10" x14ac:dyDescent="0.3">
      <c r="C6" s="51" t="s">
        <v>93</v>
      </c>
      <c r="D6" s="54">
        <f>Details!AT42</f>
        <v>2557473.6000000006</v>
      </c>
      <c r="F6" s="51" t="s">
        <v>96</v>
      </c>
      <c r="G6" s="54">
        <f>Details!O42</f>
        <v>2907859</v>
      </c>
      <c r="I6" s="59" t="s">
        <v>98</v>
      </c>
      <c r="J6" s="60">
        <f>Details!AC42</f>
        <v>54711</v>
      </c>
    </row>
    <row r="7" spans="3:10" x14ac:dyDescent="0.3">
      <c r="C7" s="51" t="s">
        <v>161</v>
      </c>
      <c r="D7" s="54">
        <f>Details!AT46</f>
        <v>168763.5</v>
      </c>
      <c r="F7" s="51" t="s">
        <v>162</v>
      </c>
      <c r="G7" s="54">
        <f>-Details!O47</f>
        <v>-295366</v>
      </c>
      <c r="I7" s="51" t="s">
        <v>163</v>
      </c>
      <c r="J7" s="54">
        <f>Details!AC46</f>
        <v>0</v>
      </c>
    </row>
    <row r="8" spans="3:10" ht="15" thickBot="1" x14ac:dyDescent="0.35">
      <c r="C8" s="51" t="s">
        <v>147</v>
      </c>
      <c r="D8" s="54">
        <f>'Recon Items'!Q8</f>
        <v>0</v>
      </c>
      <c r="F8" s="51" t="s">
        <v>148</v>
      </c>
      <c r="G8" s="54">
        <f>Details!O45</f>
        <v>244602</v>
      </c>
      <c r="I8" s="51" t="s">
        <v>164</v>
      </c>
      <c r="J8" s="54">
        <f>Details!AC45</f>
        <v>0</v>
      </c>
    </row>
    <row r="9" spans="3:10" ht="15" thickBot="1" x14ac:dyDescent="0.35">
      <c r="C9" s="51" t="s">
        <v>83</v>
      </c>
      <c r="D9" s="54">
        <f>Details!AT47</f>
        <v>0</v>
      </c>
      <c r="F9" s="51" t="s">
        <v>173</v>
      </c>
      <c r="G9" s="54">
        <v>0</v>
      </c>
      <c r="I9" s="51"/>
      <c r="J9" s="61">
        <f>SUM(J6:J8)</f>
        <v>54711</v>
      </c>
    </row>
    <row r="10" spans="3:10" ht="15" thickBot="1" x14ac:dyDescent="0.35">
      <c r="C10" s="51" t="s">
        <v>149</v>
      </c>
      <c r="D10" s="54">
        <f>Details!AT45</f>
        <v>227297.5</v>
      </c>
      <c r="F10" s="51" t="s">
        <v>132</v>
      </c>
      <c r="G10" s="54">
        <f>-'Recon Items'!M18</f>
        <v>0</v>
      </c>
      <c r="I10" s="51" t="s">
        <v>99</v>
      </c>
      <c r="J10" s="54">
        <f>Details!AC43</f>
        <v>54711</v>
      </c>
    </row>
    <row r="11" spans="3:10" ht="15" thickBot="1" x14ac:dyDescent="0.35">
      <c r="C11" s="51"/>
      <c r="D11" s="61">
        <f>SUM(D6:D10)</f>
        <v>2953534.6000000006</v>
      </c>
      <c r="F11" s="56" t="s">
        <v>100</v>
      </c>
      <c r="G11" s="54">
        <f>'Recon Items'!F18</f>
        <v>0</v>
      </c>
      <c r="I11" s="57" t="s">
        <v>100</v>
      </c>
      <c r="J11" s="55">
        <f>J9-J10</f>
        <v>0</v>
      </c>
    </row>
    <row r="12" spans="3:10" ht="15" thickBot="1" x14ac:dyDescent="0.35">
      <c r="C12" s="51" t="s">
        <v>94</v>
      </c>
      <c r="D12" s="54">
        <f>Details!AT43</f>
        <v>2498939.6</v>
      </c>
      <c r="F12" s="51"/>
      <c r="G12" s="61">
        <f>SUM(G6:G11)</f>
        <v>2857095</v>
      </c>
    </row>
    <row r="13" spans="3:10" ht="15" thickBot="1" x14ac:dyDescent="0.35">
      <c r="C13" s="57" t="s">
        <v>100</v>
      </c>
      <c r="D13" s="55">
        <f>D11-D12</f>
        <v>454595.00000000047</v>
      </c>
      <c r="F13" s="51" t="s">
        <v>101</v>
      </c>
      <c r="G13" s="54">
        <f>Details!O43</f>
        <v>2857095</v>
      </c>
    </row>
    <row r="14" spans="3:10" ht="15" thickBot="1" x14ac:dyDescent="0.35">
      <c r="C14" s="22"/>
      <c r="D14" s="23"/>
      <c r="F14" s="57" t="s">
        <v>100</v>
      </c>
      <c r="G14" s="58">
        <f>G12-G13-'Recon Items'!C18</f>
        <v>0</v>
      </c>
    </row>
    <row r="24" spans="3:4" x14ac:dyDescent="0.3">
      <c r="C24" s="22"/>
      <c r="D24" s="24"/>
    </row>
    <row r="32" spans="3:4" x14ac:dyDescent="0.3">
      <c r="D32" s="3"/>
    </row>
    <row r="33" spans="4:4" x14ac:dyDescent="0.3">
      <c r="D33" s="3"/>
    </row>
    <row r="34" spans="4:4" x14ac:dyDescent="0.3">
      <c r="D34" s="3"/>
    </row>
    <row r="35" spans="4:4" x14ac:dyDescent="0.3">
      <c r="D35" s="3"/>
    </row>
    <row r="36" spans="4:4" x14ac:dyDescent="0.3">
      <c r="D36" s="3"/>
    </row>
    <row r="37" spans="4:4" x14ac:dyDescent="0.3">
      <c r="D37" s="3"/>
    </row>
    <row r="38" spans="4:4" x14ac:dyDescent="0.3">
      <c r="D38" s="3"/>
    </row>
    <row r="39" spans="4:4" x14ac:dyDescent="0.3">
      <c r="D39" s="3"/>
    </row>
    <row r="40" spans="4:4" x14ac:dyDescent="0.3">
      <c r="D40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B2554D-C845-44A4-81A0-01C3807B03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Details</vt:lpstr>
      <vt:lpstr>Recon Items</vt:lpstr>
      <vt:lpstr>AP &amp; AR</vt:lpstr>
      <vt:lpstr>Supplier Metrics</vt:lpstr>
      <vt:lpstr>Buyer Metrics</vt:lpstr>
      <vt:lpstr>Last year's</vt:lpstr>
      <vt:lpstr>Revenue - Reco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Recykal RT0095</dc:creator>
  <cp:lastModifiedBy>Finance6</cp:lastModifiedBy>
  <cp:lastPrinted>2024-05-14T07:36:53Z</cp:lastPrinted>
  <dcterms:created xsi:type="dcterms:W3CDTF">2015-06-05T18:17:20Z</dcterms:created>
  <dcterms:modified xsi:type="dcterms:W3CDTF">2026-07-01T05:54:35Z</dcterms:modified>
</cp:coreProperties>
</file>