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sandeep.gundapuneni\Desktop\MIS Reports\June 2026\MIS Reports till 30th June 2026\"/>
    </mc:Choice>
  </mc:AlternateContent>
  <xr:revisionPtr revIDLastSave="0" documentId="13_ncr:1_{8CB2E61D-E1E0-462B-AF69-9ECED9F8B83C}" xr6:coauthVersionLast="47" xr6:coauthVersionMax="47" xr10:uidLastSave="{00000000-0000-0000-0000-000000000000}"/>
  <bookViews>
    <workbookView xWindow="-108" yWindow="-108" windowWidth="23256" windowHeight="12456" tabRatio="742" xr2:uid="{00000000-000D-0000-FFFF-FFFF00000000}"/>
  </bookViews>
  <sheets>
    <sheet name="Enterprise" sheetId="5" r:id="rId1"/>
    <sheet name="IB" sheetId="116" state="hidden" r:id="rId2"/>
    <sheet name="Processing Centre" sheetId="118" state="hidden" r:id="rId3"/>
    <sheet name="Details PC" sheetId="107" state="hidden" r:id="rId4"/>
    <sheet name="Pune MIS" sheetId="104" state="hidden" r:id="rId5"/>
    <sheet name="Details" sheetId="4" r:id="rId6"/>
    <sheet name="AP &amp; AR" sheetId="97" r:id="rId7"/>
    <sheet name="Recon Items" sheetId="80" r:id="rId8"/>
    <sheet name="Last year's" sheetId="81" r:id="rId9"/>
    <sheet name="Stock &amp; Processing" sheetId="117" state="hidden" r:id="rId10"/>
    <sheet name="Opex &amp; Capex Detail" sheetId="114" state="hidden" r:id="rId11"/>
    <sheet name="Automation" sheetId="115" state="hidden" r:id="rId12"/>
    <sheet name="Indirect Exp" sheetId="110" state="hidden" r:id="rId13"/>
    <sheet name="Co-hort" sheetId="112" state="hidden" r:id="rId14"/>
    <sheet name="Revenue - Reco" sheetId="84" state="hidden" r:id="rId15"/>
  </sheets>
  <definedNames>
    <definedName name="_xlnm._FilterDatabase" localSheetId="6" hidden="1">'AP &amp; AR'!$U$3:$AJ$49</definedName>
    <definedName name="_xlnm._FilterDatabase" localSheetId="5" hidden="1">Details!$B$4:$CW$246</definedName>
    <definedName name="_xlnm._FilterDatabase" localSheetId="3" hidden="1">'Details PC'!$A$4:$AV$421</definedName>
    <definedName name="_xlnm._FilterDatabase" localSheetId="0" hidden="1">Enterprise!$C$3:$U$29</definedName>
    <definedName name="_xlnm._FilterDatabase" localSheetId="12" hidden="1">'Indirect Exp'!$B$2:$P$213</definedName>
    <definedName name="_xlnm._FilterDatabase" localSheetId="8" hidden="1">'Last year''s'!$B$13:$F$34</definedName>
    <definedName name="_xlnm._FilterDatabase" localSheetId="10" hidden="1">'Opex &amp; Capex Detail'!$B$3:$I$633</definedName>
    <definedName name="_xlnm._FilterDatabase" localSheetId="4" hidden="1">'Pune MIS'!$A$3:$L$414</definedName>
    <definedName name="_xlnm._FilterDatabase" localSheetId="7" hidden="1">'Recon Items'!$U$3:$AA$12</definedName>
    <definedName name="_xlnm._FilterDatabase" localSheetId="9" hidden="1">'Stock &amp; Processing'!$R$3:$U$17</definedName>
    <definedName name="_xlcn.WorksheetConnection_DetailsB4BN19801" hidden="1">Details!$D$4:$BT$243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3c0ce2b5-7498-409b-938e-e65f70856903" name="Range" connection="WorksheetConnection_Details!$B$4:$BN$198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80" l="1"/>
  <c r="H2" i="80" s="1"/>
  <c r="G7" i="80"/>
  <c r="G2" i="80"/>
  <c r="AC249" i="4"/>
  <c r="J430" i="104"/>
  <c r="L430" i="104"/>
  <c r="J431" i="104"/>
  <c r="L431" i="104"/>
  <c r="J432" i="104"/>
  <c r="L432" i="104"/>
  <c r="J433" i="104"/>
  <c r="L433" i="104"/>
  <c r="D430" i="104"/>
  <c r="D431" i="104"/>
  <c r="D432" i="104"/>
  <c r="D433" i="104"/>
  <c r="B417" i="107"/>
  <c r="D417" i="107"/>
  <c r="D418" i="107"/>
  <c r="D419" i="107"/>
  <c r="D420" i="107"/>
  <c r="T417" i="107"/>
  <c r="T418" i="107"/>
  <c r="T419" i="107"/>
  <c r="T420" i="107"/>
  <c r="BN232" i="4"/>
  <c r="BS232" i="4"/>
  <c r="BV232" i="4"/>
  <c r="BW232" i="4"/>
  <c r="BX232" i="4"/>
  <c r="BY232" i="4"/>
  <c r="BZ232" i="4"/>
  <c r="CA232" i="4"/>
  <c r="CB232" i="4"/>
  <c r="CE232" i="4"/>
  <c r="CF232" i="4"/>
  <c r="CH232" i="4"/>
  <c r="CI232" i="4"/>
  <c r="CL232" i="4"/>
  <c r="CM232" i="4"/>
  <c r="CO232" i="4"/>
  <c r="CP232" i="4"/>
  <c r="CQ232" i="4"/>
  <c r="CR232" i="4"/>
  <c r="CS232" i="4"/>
  <c r="CV232" i="4"/>
  <c r="CW232" i="4"/>
  <c r="BN233" i="4"/>
  <c r="BO233" i="4"/>
  <c r="BP233" i="4"/>
  <c r="BQ233" i="4"/>
  <c r="BS233" i="4"/>
  <c r="BT233" i="4"/>
  <c r="BV233" i="4"/>
  <c r="BW233" i="4"/>
  <c r="BX233" i="4"/>
  <c r="BY233" i="4"/>
  <c r="BZ233" i="4"/>
  <c r="CA233" i="4"/>
  <c r="CE233" i="4"/>
  <c r="CF233" i="4"/>
  <c r="CG233" i="4"/>
  <c r="CH233" i="4"/>
  <c r="CI233" i="4"/>
  <c r="CL233" i="4"/>
  <c r="CN233" i="4"/>
  <c r="CO233" i="4"/>
  <c r="CP233" i="4"/>
  <c r="CQ233" i="4"/>
  <c r="CV233" i="4"/>
  <c r="CW233" i="4"/>
  <c r="BN234" i="4"/>
  <c r="BS234" i="4"/>
  <c r="BV234" i="4"/>
  <c r="BW234" i="4"/>
  <c r="BX234" i="4"/>
  <c r="BY234" i="4"/>
  <c r="BZ234" i="4"/>
  <c r="CA234" i="4"/>
  <c r="CE234" i="4"/>
  <c r="CF234" i="4"/>
  <c r="CH234" i="4"/>
  <c r="CI234" i="4"/>
  <c r="CL234" i="4"/>
  <c r="CO234" i="4"/>
  <c r="CP234" i="4"/>
  <c r="CQ234" i="4"/>
  <c r="CR234" i="4"/>
  <c r="CS234" i="4"/>
  <c r="CV234" i="4"/>
  <c r="CW234" i="4"/>
  <c r="BN235" i="4"/>
  <c r="BO235" i="4"/>
  <c r="BS235" i="4"/>
  <c r="BT235" i="4"/>
  <c r="BV235" i="4"/>
  <c r="BW235" i="4"/>
  <c r="BX235" i="4"/>
  <c r="BZ235" i="4"/>
  <c r="CA235" i="4"/>
  <c r="CB235" i="4"/>
  <c r="CE235" i="4"/>
  <c r="CF235" i="4"/>
  <c r="CG235" i="4"/>
  <c r="CH235" i="4"/>
  <c r="CI235" i="4"/>
  <c r="CL235" i="4"/>
  <c r="CM235" i="4"/>
  <c r="CN235" i="4"/>
  <c r="CO235" i="4"/>
  <c r="CP235" i="4"/>
  <c r="CQ235" i="4"/>
  <c r="CR235" i="4"/>
  <c r="CS235" i="4"/>
  <c r="CV235" i="4"/>
  <c r="CW235" i="4"/>
  <c r="BN236" i="4"/>
  <c r="BO236" i="4"/>
  <c r="BS236" i="4"/>
  <c r="BV236" i="4"/>
  <c r="BW236" i="4"/>
  <c r="BX236" i="4"/>
  <c r="BZ236" i="4"/>
  <c r="CA236" i="4"/>
  <c r="CE236" i="4"/>
  <c r="CF236" i="4"/>
  <c r="CG236" i="4"/>
  <c r="CH236" i="4"/>
  <c r="CI236" i="4"/>
  <c r="CL236" i="4"/>
  <c r="CM236" i="4"/>
  <c r="CN236" i="4"/>
  <c r="CO236" i="4"/>
  <c r="CP236" i="4"/>
  <c r="CQ236" i="4"/>
  <c r="CR236" i="4"/>
  <c r="CS236" i="4"/>
  <c r="CV236" i="4"/>
  <c r="CW236" i="4"/>
  <c r="BN237" i="4"/>
  <c r="BO237" i="4"/>
  <c r="BS237" i="4"/>
  <c r="BV237" i="4"/>
  <c r="BW237" i="4"/>
  <c r="BX237" i="4"/>
  <c r="BY237" i="4"/>
  <c r="BZ237" i="4"/>
  <c r="CA237" i="4"/>
  <c r="CB237" i="4"/>
  <c r="CE237" i="4"/>
  <c r="CF237" i="4"/>
  <c r="CG237" i="4"/>
  <c r="CH237" i="4"/>
  <c r="CI237" i="4"/>
  <c r="CL237" i="4"/>
  <c r="CM237" i="4"/>
  <c r="CN237" i="4"/>
  <c r="CO237" i="4"/>
  <c r="CP237" i="4"/>
  <c r="CQ237" i="4"/>
  <c r="CR237" i="4"/>
  <c r="CS237" i="4"/>
  <c r="CV237" i="4"/>
  <c r="CW237" i="4"/>
  <c r="BN238" i="4"/>
  <c r="BO238" i="4"/>
  <c r="BP238" i="4"/>
  <c r="BQ238" i="4"/>
  <c r="BS238" i="4"/>
  <c r="BT238" i="4"/>
  <c r="BV238" i="4"/>
  <c r="BW238" i="4"/>
  <c r="BX238" i="4"/>
  <c r="BY238" i="4"/>
  <c r="BZ238" i="4"/>
  <c r="CA238" i="4"/>
  <c r="CB238" i="4"/>
  <c r="CE238" i="4"/>
  <c r="CF238" i="4"/>
  <c r="CG238" i="4"/>
  <c r="CH238" i="4"/>
  <c r="CI238" i="4"/>
  <c r="CL238" i="4"/>
  <c r="CM238" i="4"/>
  <c r="CN238" i="4"/>
  <c r="CO238" i="4"/>
  <c r="CP238" i="4"/>
  <c r="CQ238" i="4"/>
  <c r="CR238" i="4"/>
  <c r="CS238" i="4"/>
  <c r="CV238" i="4"/>
  <c r="CW238" i="4"/>
  <c r="BN239" i="4"/>
  <c r="BO239" i="4"/>
  <c r="BP239" i="4"/>
  <c r="BS239" i="4"/>
  <c r="BT239" i="4"/>
  <c r="BV239" i="4"/>
  <c r="BW239" i="4"/>
  <c r="BX239" i="4"/>
  <c r="BY239" i="4"/>
  <c r="BZ239" i="4"/>
  <c r="CA239" i="4"/>
  <c r="CB239" i="4"/>
  <c r="CE239" i="4"/>
  <c r="CF239" i="4"/>
  <c r="CG239" i="4"/>
  <c r="CH239" i="4"/>
  <c r="CI239" i="4"/>
  <c r="CL239" i="4"/>
  <c r="CM239" i="4"/>
  <c r="CN239" i="4"/>
  <c r="CO239" i="4"/>
  <c r="CP239" i="4"/>
  <c r="CQ239" i="4"/>
  <c r="CR239" i="4"/>
  <c r="CS239" i="4"/>
  <c r="CV239" i="4"/>
  <c r="CW239" i="4"/>
  <c r="BN240" i="4"/>
  <c r="BO240" i="4"/>
  <c r="BP240" i="4"/>
  <c r="BQ240" i="4"/>
  <c r="BS240" i="4"/>
  <c r="BT240" i="4"/>
  <c r="BV240" i="4"/>
  <c r="BW240" i="4"/>
  <c r="BX240" i="4"/>
  <c r="BY240" i="4"/>
  <c r="BZ240" i="4"/>
  <c r="CA240" i="4"/>
  <c r="CB240" i="4"/>
  <c r="CE240" i="4"/>
  <c r="CF240" i="4"/>
  <c r="CG240" i="4"/>
  <c r="CH240" i="4"/>
  <c r="CI240" i="4"/>
  <c r="CL240" i="4"/>
  <c r="CM240" i="4"/>
  <c r="CN240" i="4"/>
  <c r="CO240" i="4"/>
  <c r="CP240" i="4"/>
  <c r="CQ240" i="4"/>
  <c r="CR240" i="4"/>
  <c r="CS240" i="4"/>
  <c r="CV240" i="4"/>
  <c r="CW240" i="4"/>
  <c r="BN241" i="4"/>
  <c r="BO241" i="4"/>
  <c r="BP241" i="4"/>
  <c r="BQ241" i="4"/>
  <c r="BS241" i="4"/>
  <c r="BT241" i="4"/>
  <c r="BV241" i="4"/>
  <c r="BW241" i="4"/>
  <c r="BX241" i="4"/>
  <c r="BY241" i="4"/>
  <c r="BZ241" i="4"/>
  <c r="CA241" i="4"/>
  <c r="CB241" i="4"/>
  <c r="CE241" i="4"/>
  <c r="CF241" i="4"/>
  <c r="CG241" i="4"/>
  <c r="CH241" i="4"/>
  <c r="CI241" i="4"/>
  <c r="CL241" i="4"/>
  <c r="CN241" i="4"/>
  <c r="CO241" i="4"/>
  <c r="CP241" i="4"/>
  <c r="CQ241" i="4"/>
  <c r="CR241" i="4"/>
  <c r="CS241" i="4"/>
  <c r="CV241" i="4"/>
  <c r="CW241" i="4"/>
  <c r="AY232" i="4"/>
  <c r="AZ232" i="4"/>
  <c r="BB232" i="4"/>
  <c r="AY233" i="4"/>
  <c r="AZ233" i="4"/>
  <c r="BB233" i="4"/>
  <c r="AY234" i="4"/>
  <c r="AZ234" i="4"/>
  <c r="BB234" i="4"/>
  <c r="AY235" i="4"/>
  <c r="AZ235" i="4"/>
  <c r="BB235" i="4"/>
  <c r="AY236" i="4"/>
  <c r="AZ236" i="4"/>
  <c r="BB236" i="4"/>
  <c r="AY237" i="4"/>
  <c r="AZ237" i="4"/>
  <c r="BB237" i="4"/>
  <c r="AY238" i="4"/>
  <c r="AZ238" i="4"/>
  <c r="BB238" i="4"/>
  <c r="AY239" i="4"/>
  <c r="AZ239" i="4"/>
  <c r="BB239" i="4"/>
  <c r="AY240" i="4"/>
  <c r="AZ240" i="4"/>
  <c r="BB240" i="4"/>
  <c r="AY241" i="4"/>
  <c r="AZ241" i="4"/>
  <c r="BB241" i="4"/>
  <c r="Q232" i="4"/>
  <c r="S232" i="4"/>
  <c r="AB232" i="4"/>
  <c r="AD232" i="4"/>
  <c r="AM232" i="4"/>
  <c r="Q233" i="4"/>
  <c r="S233" i="4"/>
  <c r="AB233" i="4"/>
  <c r="AD233" i="4"/>
  <c r="AM233" i="4"/>
  <c r="Q234" i="4"/>
  <c r="S234" i="4"/>
  <c r="AB234" i="4"/>
  <c r="AD234" i="4"/>
  <c r="AM234" i="4"/>
  <c r="Q235" i="4"/>
  <c r="S235" i="4"/>
  <c r="AB235" i="4"/>
  <c r="AD235" i="4"/>
  <c r="AM235" i="4"/>
  <c r="Q236" i="4"/>
  <c r="S236" i="4"/>
  <c r="AB236" i="4"/>
  <c r="AD236" i="4"/>
  <c r="AM236" i="4"/>
  <c r="Q237" i="4"/>
  <c r="S237" i="4"/>
  <c r="AB237" i="4"/>
  <c r="AD237" i="4"/>
  <c r="AM237" i="4"/>
  <c r="Q238" i="4"/>
  <c r="S238" i="4"/>
  <c r="AB238" i="4"/>
  <c r="AD238" i="4"/>
  <c r="Q239" i="4"/>
  <c r="S239" i="4"/>
  <c r="AB239" i="4"/>
  <c r="AD239" i="4"/>
  <c r="AM239" i="4"/>
  <c r="Q240" i="4"/>
  <c r="S240" i="4"/>
  <c r="AB240" i="4"/>
  <c r="AD240" i="4"/>
  <c r="AM240" i="4"/>
  <c r="Q241" i="4"/>
  <c r="S241" i="4"/>
  <c r="AB241" i="4"/>
  <c r="AD241" i="4"/>
  <c r="AM241" i="4"/>
  <c r="B232" i="4"/>
  <c r="B233" i="4"/>
  <c r="B234" i="4"/>
  <c r="B235" i="4"/>
  <c r="B236" i="4"/>
  <c r="B237" i="4"/>
  <c r="B238" i="4"/>
  <c r="B239" i="4"/>
  <c r="B240" i="4"/>
  <c r="B241" i="4"/>
  <c r="C676" i="114"/>
  <c r="J429" i="104"/>
  <c r="D429" i="104"/>
  <c r="T416" i="107"/>
  <c r="D416" i="107"/>
  <c r="BB229" i="4"/>
  <c r="BV229" i="4"/>
  <c r="BX229" i="4"/>
  <c r="BZ229" i="4"/>
  <c r="CA229" i="4"/>
  <c r="CB229" i="4"/>
  <c r="CE229" i="4"/>
  <c r="CH229" i="4"/>
  <c r="CI229" i="4"/>
  <c r="CQ229" i="4"/>
  <c r="CR229" i="4"/>
  <c r="CV229" i="4"/>
  <c r="CW229" i="4"/>
  <c r="BB230" i="4"/>
  <c r="BV230" i="4"/>
  <c r="BX230" i="4"/>
  <c r="BZ230" i="4"/>
  <c r="CA230" i="4"/>
  <c r="CB230" i="4"/>
  <c r="CE230" i="4"/>
  <c r="CH230" i="4"/>
  <c r="CI230" i="4"/>
  <c r="CQ230" i="4"/>
  <c r="CR230" i="4"/>
  <c r="CV230" i="4"/>
  <c r="CW230" i="4"/>
  <c r="BB231" i="4"/>
  <c r="BV231" i="4"/>
  <c r="BX231" i="4"/>
  <c r="BZ231" i="4"/>
  <c r="CA231" i="4"/>
  <c r="CB231" i="4"/>
  <c r="CE231" i="4"/>
  <c r="CH231" i="4"/>
  <c r="CI231" i="4"/>
  <c r="CQ231" i="4"/>
  <c r="CR231" i="4"/>
  <c r="CV231" i="4"/>
  <c r="CW231" i="4"/>
  <c r="AY229" i="4"/>
  <c r="AZ229" i="4"/>
  <c r="AY230" i="4"/>
  <c r="AZ230" i="4"/>
  <c r="AY231" i="4"/>
  <c r="AZ231" i="4"/>
  <c r="Q229" i="4"/>
  <c r="S229" i="4"/>
  <c r="AB229" i="4"/>
  <c r="AD229" i="4"/>
  <c r="AM229" i="4"/>
  <c r="Q230" i="4"/>
  <c r="S230" i="4"/>
  <c r="AB230" i="4"/>
  <c r="AD230" i="4"/>
  <c r="Q231" i="4"/>
  <c r="S231" i="4"/>
  <c r="AB231" i="4"/>
  <c r="AD231" i="4"/>
  <c r="B229" i="4"/>
  <c r="C229" i="4"/>
  <c r="B230" i="4"/>
  <c r="C230" i="4"/>
  <c r="B231" i="4"/>
  <c r="C231" i="4"/>
  <c r="BZ227" i="4"/>
  <c r="CA227" i="4"/>
  <c r="CE227" i="4"/>
  <c r="CH227" i="4"/>
  <c r="CI227" i="4"/>
  <c r="CQ227" i="4"/>
  <c r="CR227" i="4"/>
  <c r="CV227" i="4"/>
  <c r="CW227" i="4"/>
  <c r="BZ228" i="4"/>
  <c r="CA228" i="4"/>
  <c r="CB228" i="4"/>
  <c r="CE228" i="4"/>
  <c r="CH228" i="4"/>
  <c r="CI228" i="4"/>
  <c r="CQ228" i="4"/>
  <c r="CR228" i="4"/>
  <c r="CV228" i="4"/>
  <c r="CW228" i="4"/>
  <c r="BX227" i="4"/>
  <c r="BX228" i="4"/>
  <c r="BV227" i="4"/>
  <c r="BV228" i="4"/>
  <c r="BB227" i="4"/>
  <c r="BB228" i="4"/>
  <c r="AY228" i="4"/>
  <c r="AZ228" i="4"/>
  <c r="AY227" i="4"/>
  <c r="AZ227" i="4"/>
  <c r="AB227" i="4"/>
  <c r="AB228" i="4"/>
  <c r="B228" i="4"/>
  <c r="C228" i="4"/>
  <c r="S228" i="4"/>
  <c r="Q228" i="4"/>
  <c r="S227" i="4"/>
  <c r="Q227" i="4"/>
  <c r="B227" i="4"/>
  <c r="C227" i="4"/>
  <c r="X10" i="5"/>
  <c r="W10" i="5"/>
  <c r="AG3" i="118"/>
  <c r="AG23" i="118"/>
  <c r="AG10" i="118"/>
  <c r="CV252" i="4"/>
  <c r="CW252" i="4"/>
  <c r="CV253" i="4"/>
  <c r="CW253" i="4"/>
  <c r="AY252" i="4"/>
  <c r="AZ252" i="4"/>
  <c r="BB252" i="4"/>
  <c r="BN252" i="4"/>
  <c r="BX252" i="4"/>
  <c r="BZ252" i="4"/>
  <c r="CA252" i="4"/>
  <c r="CB252" i="4"/>
  <c r="CH252" i="4"/>
  <c r="CI252" i="4"/>
  <c r="AY253" i="4"/>
  <c r="AZ253" i="4"/>
  <c r="BB253" i="4"/>
  <c r="BN253" i="4"/>
  <c r="BW253" i="4"/>
  <c r="BX253" i="4"/>
  <c r="BY253" i="4"/>
  <c r="BZ253" i="4"/>
  <c r="CA253" i="4"/>
  <c r="CB253" i="4"/>
  <c r="CH253" i="4"/>
  <c r="CI253" i="4"/>
  <c r="Q252" i="4"/>
  <c r="S252" i="4"/>
  <c r="AB252" i="4"/>
  <c r="Q253" i="4"/>
  <c r="S253" i="4"/>
  <c r="AB253" i="4"/>
  <c r="B252" i="4"/>
  <c r="C252" i="4"/>
  <c r="B253" i="4"/>
  <c r="C253" i="4"/>
  <c r="O23" i="116"/>
  <c r="P23" i="5"/>
  <c r="AJ5" i="97"/>
  <c r="AJ6" i="97"/>
  <c r="AJ7" i="97"/>
  <c r="AJ8" i="97"/>
  <c r="AJ9" i="97"/>
  <c r="AJ10" i="97"/>
  <c r="AJ11" i="97"/>
  <c r="AJ12" i="97"/>
  <c r="AJ13" i="97"/>
  <c r="AJ14" i="97"/>
  <c r="AJ15" i="97"/>
  <c r="AJ16" i="97"/>
  <c r="AJ17" i="97"/>
  <c r="AJ18" i="97"/>
  <c r="AJ19" i="97"/>
  <c r="AJ20" i="97"/>
  <c r="AJ21" i="97"/>
  <c r="AJ22" i="97"/>
  <c r="AJ23" i="97"/>
  <c r="AJ24" i="97"/>
  <c r="AJ25" i="97"/>
  <c r="AJ26" i="97"/>
  <c r="AJ27" i="97"/>
  <c r="AJ28" i="97"/>
  <c r="AJ29" i="97"/>
  <c r="AJ30" i="97"/>
  <c r="AJ31" i="97"/>
  <c r="AJ32" i="97"/>
  <c r="AJ33" i="97"/>
  <c r="AJ34" i="97"/>
  <c r="AJ35" i="97"/>
  <c r="AJ36" i="97"/>
  <c r="AJ37" i="97"/>
  <c r="AJ38" i="97"/>
  <c r="AJ39" i="97"/>
  <c r="AJ40" i="97"/>
  <c r="AJ41" i="97"/>
  <c r="AJ42" i="97"/>
  <c r="AJ43" i="97"/>
  <c r="AJ44" i="97"/>
  <c r="AJ45" i="97"/>
  <c r="AJ46" i="97"/>
  <c r="AJ47" i="97"/>
  <c r="AJ48" i="97"/>
  <c r="AJ49" i="97"/>
  <c r="AJ4" i="97"/>
  <c r="BX222" i="4"/>
  <c r="BZ222" i="4"/>
  <c r="CA222" i="4"/>
  <c r="CE222" i="4"/>
  <c r="CH222" i="4"/>
  <c r="CI222" i="4"/>
  <c r="CQ222" i="4"/>
  <c r="CR222" i="4"/>
  <c r="CV222" i="4"/>
  <c r="CW222" i="4"/>
  <c r="BX223" i="4"/>
  <c r="BZ223" i="4"/>
  <c r="CA223" i="4"/>
  <c r="CB223" i="4"/>
  <c r="CE223" i="4"/>
  <c r="CH223" i="4"/>
  <c r="CI223" i="4"/>
  <c r="CQ223" i="4"/>
  <c r="CR223" i="4"/>
  <c r="CV223" i="4"/>
  <c r="CW223" i="4"/>
  <c r="BX224" i="4"/>
  <c r="BZ224" i="4"/>
  <c r="CA224" i="4"/>
  <c r="CB224" i="4"/>
  <c r="CE224" i="4"/>
  <c r="CH224" i="4"/>
  <c r="CI224" i="4"/>
  <c r="CQ224" i="4"/>
  <c r="CR224" i="4"/>
  <c r="CV224" i="4"/>
  <c r="CW224" i="4"/>
  <c r="BX225" i="4"/>
  <c r="BZ225" i="4"/>
  <c r="CA225" i="4"/>
  <c r="CE225" i="4"/>
  <c r="CH225" i="4"/>
  <c r="CI225" i="4"/>
  <c r="CQ225" i="4"/>
  <c r="CR225" i="4"/>
  <c r="CV225" i="4"/>
  <c r="CW225" i="4"/>
  <c r="BX226" i="4"/>
  <c r="BZ226" i="4"/>
  <c r="CA226" i="4"/>
  <c r="CE226" i="4"/>
  <c r="CH226" i="4"/>
  <c r="CI226" i="4"/>
  <c r="CQ226" i="4"/>
  <c r="CR226" i="4"/>
  <c r="CV226" i="4"/>
  <c r="CW226" i="4"/>
  <c r="BB222" i="4"/>
  <c r="BB223" i="4"/>
  <c r="BB224" i="4"/>
  <c r="BB225" i="4"/>
  <c r="BB226" i="4"/>
  <c r="AY222" i="4"/>
  <c r="AZ222" i="4"/>
  <c r="AY223" i="4"/>
  <c r="AZ223" i="4"/>
  <c r="AY224" i="4"/>
  <c r="AZ224" i="4"/>
  <c r="AY225" i="4"/>
  <c r="AZ225" i="4"/>
  <c r="AY226" i="4"/>
  <c r="AZ226" i="4"/>
  <c r="Q222" i="4"/>
  <c r="S222" i="4"/>
  <c r="AB222" i="4"/>
  <c r="Q223" i="4"/>
  <c r="S223" i="4"/>
  <c r="AB223" i="4"/>
  <c r="AD223" i="4"/>
  <c r="AM223" i="4"/>
  <c r="Q224" i="4"/>
  <c r="S224" i="4"/>
  <c r="AB224" i="4"/>
  <c r="AD224" i="4"/>
  <c r="AM224" i="4"/>
  <c r="Q225" i="4"/>
  <c r="S225" i="4"/>
  <c r="AB225" i="4"/>
  <c r="Q226" i="4"/>
  <c r="S226" i="4"/>
  <c r="AB226" i="4"/>
  <c r="AD226" i="4"/>
  <c r="B222" i="4"/>
  <c r="C222" i="4"/>
  <c r="B223" i="4"/>
  <c r="C223" i="4"/>
  <c r="B224" i="4"/>
  <c r="C224" i="4"/>
  <c r="B225" i="4"/>
  <c r="C225" i="4"/>
  <c r="B226" i="4"/>
  <c r="C226" i="4"/>
  <c r="AD3" i="118"/>
  <c r="T748" i="107"/>
  <c r="T749" i="107"/>
  <c r="T750" i="107"/>
  <c r="N34" i="80"/>
  <c r="AY251" i="4"/>
  <c r="AZ251" i="4"/>
  <c r="BB251" i="4"/>
  <c r="BN251" i="4"/>
  <c r="BX251" i="4"/>
  <c r="BZ251" i="4"/>
  <c r="CA251" i="4"/>
  <c r="CH251" i="4"/>
  <c r="CI251" i="4"/>
  <c r="CO251" i="4"/>
  <c r="CQ251" i="4"/>
  <c r="CR251" i="4"/>
  <c r="CV251" i="4"/>
  <c r="CW251" i="4"/>
  <c r="Q251" i="4"/>
  <c r="S251" i="4"/>
  <c r="AB251" i="4"/>
  <c r="B251" i="4"/>
  <c r="C251" i="4"/>
  <c r="H34" i="80"/>
  <c r="W63" i="104"/>
  <c r="W61" i="104"/>
  <c r="AH85" i="107"/>
  <c r="AH83" i="107"/>
  <c r="W87" i="104"/>
  <c r="AH110" i="107"/>
  <c r="W233" i="104"/>
  <c r="AH403" i="107"/>
  <c r="D748" i="107"/>
  <c r="D749" i="107"/>
  <c r="D750" i="107"/>
  <c r="AP210" i="104"/>
  <c r="AP211" i="104"/>
  <c r="AP212" i="104"/>
  <c r="AP213" i="104"/>
  <c r="AP214" i="104"/>
  <c r="AP215" i="104"/>
  <c r="AP216" i="104"/>
  <c r="AP217" i="104"/>
  <c r="AP218" i="104"/>
  <c r="AR218" i="104"/>
  <c r="AP219" i="104"/>
  <c r="AR219" i="104"/>
  <c r="AP220" i="104"/>
  <c r="AP221" i="104"/>
  <c r="AP222" i="104"/>
  <c r="AR222" i="104"/>
  <c r="AP223" i="104"/>
  <c r="AP224" i="104"/>
  <c r="AB210" i="104"/>
  <c r="AB211" i="104"/>
  <c r="AB212" i="104"/>
  <c r="AB213" i="104"/>
  <c r="AB214" i="104"/>
  <c r="AB215" i="104"/>
  <c r="AB216" i="104"/>
  <c r="AB217" i="104"/>
  <c r="AB218" i="104"/>
  <c r="AB219" i="104"/>
  <c r="AB220" i="104"/>
  <c r="AB221" i="104"/>
  <c r="AB222" i="104"/>
  <c r="AB223" i="104"/>
  <c r="AB224" i="104"/>
  <c r="AB209" i="104"/>
  <c r="D733" i="107"/>
  <c r="D734" i="107"/>
  <c r="D735" i="107"/>
  <c r="D736" i="107"/>
  <c r="D737" i="107"/>
  <c r="D738" i="107"/>
  <c r="D739" i="107"/>
  <c r="D740" i="107"/>
  <c r="D741" i="107"/>
  <c r="D742" i="107"/>
  <c r="D743" i="107"/>
  <c r="D744" i="107"/>
  <c r="D745" i="107"/>
  <c r="D746" i="107"/>
  <c r="D747" i="107"/>
  <c r="T733" i="107"/>
  <c r="T734" i="107"/>
  <c r="T735" i="107"/>
  <c r="T736" i="107"/>
  <c r="T737" i="107"/>
  <c r="T738" i="107"/>
  <c r="T739" i="107"/>
  <c r="T740" i="107"/>
  <c r="T741" i="107"/>
  <c r="T742" i="107"/>
  <c r="T743" i="107"/>
  <c r="T744" i="107"/>
  <c r="T745" i="107"/>
  <c r="T746" i="107"/>
  <c r="T747" i="107"/>
  <c r="J424" i="104"/>
  <c r="J425" i="104"/>
  <c r="L425" i="104"/>
  <c r="J426" i="104"/>
  <c r="J427" i="104"/>
  <c r="L427" i="104"/>
  <c r="J428" i="104"/>
  <c r="D424" i="104"/>
  <c r="D425" i="104"/>
  <c r="D426" i="104"/>
  <c r="D427" i="104"/>
  <c r="D428" i="104"/>
  <c r="T411" i="107"/>
  <c r="T412" i="107"/>
  <c r="T413" i="107"/>
  <c r="T414" i="107"/>
  <c r="T415" i="107"/>
  <c r="D411" i="107"/>
  <c r="D412" i="107"/>
  <c r="D413" i="107"/>
  <c r="D414" i="107"/>
  <c r="D415" i="107"/>
  <c r="AP209" i="104"/>
  <c r="V232" i="104"/>
  <c r="V233" i="104"/>
  <c r="V234" i="104"/>
  <c r="AG404" i="107"/>
  <c r="AK404" i="107"/>
  <c r="AL404" i="107"/>
  <c r="AO404" i="107"/>
  <c r="AP404" i="107"/>
  <c r="AG403" i="107"/>
  <c r="AK403" i="107"/>
  <c r="AL403" i="107"/>
  <c r="AO403" i="107"/>
  <c r="AP403" i="107"/>
  <c r="AK402" i="107"/>
  <c r="AO402" i="107"/>
  <c r="AP402" i="107"/>
  <c r="AG402" i="107"/>
  <c r="W402" i="107"/>
  <c r="W403" i="107"/>
  <c r="W404" i="107"/>
  <c r="J422" i="104"/>
  <c r="L422" i="104"/>
  <c r="J423" i="104"/>
  <c r="D422" i="104"/>
  <c r="D423" i="104"/>
  <c r="T521" i="107"/>
  <c r="D521" i="107"/>
  <c r="T520" i="107"/>
  <c r="D520" i="107"/>
  <c r="BB166" i="4"/>
  <c r="BX166" i="4"/>
  <c r="BZ166" i="4"/>
  <c r="CA166" i="4"/>
  <c r="CB166" i="4"/>
  <c r="CE166" i="4"/>
  <c r="CH166" i="4"/>
  <c r="CI166" i="4"/>
  <c r="CV166" i="4"/>
  <c r="CW166" i="4"/>
  <c r="BB167" i="4"/>
  <c r="BX167" i="4"/>
  <c r="BZ167" i="4"/>
  <c r="CA167" i="4"/>
  <c r="CE167" i="4"/>
  <c r="CH167" i="4"/>
  <c r="CI167" i="4"/>
  <c r="CV167" i="4"/>
  <c r="CW167" i="4"/>
  <c r="BB168" i="4"/>
  <c r="BX168" i="4"/>
  <c r="BZ168" i="4"/>
  <c r="CA168" i="4"/>
  <c r="CB168" i="4"/>
  <c r="CE168" i="4"/>
  <c r="CH168" i="4"/>
  <c r="CI168" i="4"/>
  <c r="CQ168" i="4"/>
  <c r="CR168" i="4"/>
  <c r="CV168" i="4"/>
  <c r="CW168" i="4"/>
  <c r="BB169" i="4"/>
  <c r="BX169" i="4"/>
  <c r="BZ169" i="4"/>
  <c r="CA169" i="4"/>
  <c r="CB169" i="4"/>
  <c r="CE169" i="4"/>
  <c r="CH169" i="4"/>
  <c r="CI169" i="4"/>
  <c r="CQ169" i="4"/>
  <c r="CR169" i="4"/>
  <c r="CV169" i="4"/>
  <c r="CW169" i="4"/>
  <c r="BB170" i="4"/>
  <c r="BX170" i="4"/>
  <c r="BZ170" i="4"/>
  <c r="CA170" i="4"/>
  <c r="CE170" i="4"/>
  <c r="CH170" i="4"/>
  <c r="CI170" i="4"/>
  <c r="CQ170" i="4"/>
  <c r="CR170" i="4"/>
  <c r="CV170" i="4"/>
  <c r="CW170" i="4"/>
  <c r="BB171" i="4"/>
  <c r="BX171" i="4"/>
  <c r="BZ171" i="4"/>
  <c r="CA171" i="4"/>
  <c r="CE171" i="4"/>
  <c r="CH171" i="4"/>
  <c r="CI171" i="4"/>
  <c r="CQ171" i="4"/>
  <c r="CR171" i="4"/>
  <c r="CV171" i="4"/>
  <c r="CW171" i="4"/>
  <c r="BB172" i="4"/>
  <c r="BX172" i="4"/>
  <c r="BZ172" i="4"/>
  <c r="CA172" i="4"/>
  <c r="CB172" i="4"/>
  <c r="CE172" i="4"/>
  <c r="CH172" i="4"/>
  <c r="CI172" i="4"/>
  <c r="CQ172" i="4"/>
  <c r="CR172" i="4"/>
  <c r="CV172" i="4"/>
  <c r="CW172" i="4"/>
  <c r="BB173" i="4"/>
  <c r="BX173" i="4"/>
  <c r="BZ173" i="4"/>
  <c r="CA173" i="4"/>
  <c r="CE173" i="4"/>
  <c r="CH173" i="4"/>
  <c r="CI173" i="4"/>
  <c r="CR173" i="4"/>
  <c r="CV173" i="4"/>
  <c r="CW173" i="4"/>
  <c r="BB174" i="4"/>
  <c r="BX174" i="4"/>
  <c r="BZ174" i="4"/>
  <c r="CA174" i="4"/>
  <c r="CE174" i="4"/>
  <c r="CH174" i="4"/>
  <c r="CI174" i="4"/>
  <c r="CV174" i="4"/>
  <c r="CW174" i="4"/>
  <c r="BB175" i="4"/>
  <c r="BX175" i="4"/>
  <c r="BZ175" i="4"/>
  <c r="CA175" i="4"/>
  <c r="CE175" i="4"/>
  <c r="CH175" i="4"/>
  <c r="CI175" i="4"/>
  <c r="CQ175" i="4"/>
  <c r="CR175" i="4"/>
  <c r="CV175" i="4"/>
  <c r="CW175" i="4"/>
  <c r="BB176" i="4"/>
  <c r="BX176" i="4"/>
  <c r="BZ176" i="4"/>
  <c r="CA176" i="4"/>
  <c r="CE176" i="4"/>
  <c r="CH176" i="4"/>
  <c r="CI176" i="4"/>
  <c r="CQ176" i="4"/>
  <c r="CR176" i="4"/>
  <c r="CV176" i="4"/>
  <c r="CW176" i="4"/>
  <c r="BB177" i="4"/>
  <c r="BX177" i="4"/>
  <c r="BZ177" i="4"/>
  <c r="CA177" i="4"/>
  <c r="CE177" i="4"/>
  <c r="CH177" i="4"/>
  <c r="CI177" i="4"/>
  <c r="CQ177" i="4"/>
  <c r="CR177" i="4"/>
  <c r="CV177" i="4"/>
  <c r="CW177" i="4"/>
  <c r="BB178" i="4"/>
  <c r="BX178" i="4"/>
  <c r="BZ178" i="4"/>
  <c r="CA178" i="4"/>
  <c r="CE178" i="4"/>
  <c r="CH178" i="4"/>
  <c r="CI178" i="4"/>
  <c r="CR178" i="4"/>
  <c r="CV178" i="4"/>
  <c r="CW178" i="4"/>
  <c r="BB179" i="4"/>
  <c r="BX179" i="4"/>
  <c r="BZ179" i="4"/>
  <c r="CA179" i="4"/>
  <c r="CB179" i="4"/>
  <c r="CE179" i="4"/>
  <c r="CH179" i="4"/>
  <c r="CI179" i="4"/>
  <c r="CQ179" i="4"/>
  <c r="CR179" i="4"/>
  <c r="CV179" i="4"/>
  <c r="CW179" i="4"/>
  <c r="BB180" i="4"/>
  <c r="BX180" i="4"/>
  <c r="BZ180" i="4"/>
  <c r="CA180" i="4"/>
  <c r="CE180" i="4"/>
  <c r="CH180" i="4"/>
  <c r="CI180" i="4"/>
  <c r="CQ180" i="4"/>
  <c r="CV180" i="4"/>
  <c r="CW180" i="4"/>
  <c r="BB181" i="4"/>
  <c r="BX181" i="4"/>
  <c r="BZ181" i="4"/>
  <c r="CA181" i="4"/>
  <c r="CE181" i="4"/>
  <c r="CH181" i="4"/>
  <c r="CI181" i="4"/>
  <c r="CQ181" i="4"/>
  <c r="CR181" i="4"/>
  <c r="CV181" i="4"/>
  <c r="CW181" i="4"/>
  <c r="BB182" i="4"/>
  <c r="BX182" i="4"/>
  <c r="BZ182" i="4"/>
  <c r="CA182" i="4"/>
  <c r="CE182" i="4"/>
  <c r="CH182" i="4"/>
  <c r="CI182" i="4"/>
  <c r="CR182" i="4"/>
  <c r="CV182" i="4"/>
  <c r="CW182" i="4"/>
  <c r="BB183" i="4"/>
  <c r="BX183" i="4"/>
  <c r="BZ183" i="4"/>
  <c r="CA183" i="4"/>
  <c r="CB183" i="4"/>
  <c r="CE183" i="4"/>
  <c r="CH183" i="4"/>
  <c r="CI183" i="4"/>
  <c r="CQ183" i="4"/>
  <c r="CR183" i="4"/>
  <c r="CV183" i="4"/>
  <c r="CW183" i="4"/>
  <c r="BB184" i="4"/>
  <c r="BX184" i="4"/>
  <c r="BZ184" i="4"/>
  <c r="CA184" i="4"/>
  <c r="CE184" i="4"/>
  <c r="CH184" i="4"/>
  <c r="CI184" i="4"/>
  <c r="CQ184" i="4"/>
  <c r="CV184" i="4"/>
  <c r="CW184" i="4"/>
  <c r="BB185" i="4"/>
  <c r="BX185" i="4"/>
  <c r="BZ185" i="4"/>
  <c r="CA185" i="4"/>
  <c r="CE185" i="4"/>
  <c r="CH185" i="4"/>
  <c r="CI185" i="4"/>
  <c r="CV185" i="4"/>
  <c r="CW185" i="4"/>
  <c r="BB186" i="4"/>
  <c r="BX186" i="4"/>
  <c r="BZ186" i="4"/>
  <c r="CA186" i="4"/>
  <c r="CB186" i="4"/>
  <c r="CE186" i="4"/>
  <c r="CH186" i="4"/>
  <c r="CI186" i="4"/>
  <c r="CQ186" i="4"/>
  <c r="CR186" i="4"/>
  <c r="CV186" i="4"/>
  <c r="CW186" i="4"/>
  <c r="BB187" i="4"/>
  <c r="BX187" i="4"/>
  <c r="BZ187" i="4"/>
  <c r="CA187" i="4"/>
  <c r="CE187" i="4"/>
  <c r="CH187" i="4"/>
  <c r="CI187" i="4"/>
  <c r="CQ187" i="4"/>
  <c r="CR187" i="4"/>
  <c r="CV187" i="4"/>
  <c r="CW187" i="4"/>
  <c r="BB188" i="4"/>
  <c r="BX188" i="4"/>
  <c r="BZ188" i="4"/>
  <c r="CA188" i="4"/>
  <c r="CE188" i="4"/>
  <c r="CH188" i="4"/>
  <c r="CI188" i="4"/>
  <c r="CV188" i="4"/>
  <c r="CW188" i="4"/>
  <c r="BB189" i="4"/>
  <c r="BX189" i="4"/>
  <c r="BZ189" i="4"/>
  <c r="CA189" i="4"/>
  <c r="CE189" i="4"/>
  <c r="CH189" i="4"/>
  <c r="CI189" i="4"/>
  <c r="CQ189" i="4"/>
  <c r="CR189" i="4"/>
  <c r="CV189" i="4"/>
  <c r="CW189" i="4"/>
  <c r="BB190" i="4"/>
  <c r="BX190" i="4"/>
  <c r="BZ190" i="4"/>
  <c r="CA190" i="4"/>
  <c r="CE190" i="4"/>
  <c r="CH190" i="4"/>
  <c r="CI190" i="4"/>
  <c r="CV190" i="4"/>
  <c r="CW190" i="4"/>
  <c r="BB191" i="4"/>
  <c r="BX191" i="4"/>
  <c r="BZ191" i="4"/>
  <c r="CA191" i="4"/>
  <c r="CE191" i="4"/>
  <c r="CH191" i="4"/>
  <c r="CI191" i="4"/>
  <c r="CV191" i="4"/>
  <c r="CW191" i="4"/>
  <c r="BB192" i="4"/>
  <c r="BX192" i="4"/>
  <c r="BZ192" i="4"/>
  <c r="CA192" i="4"/>
  <c r="CE192" i="4"/>
  <c r="CH192" i="4"/>
  <c r="CI192" i="4"/>
  <c r="CQ192" i="4"/>
  <c r="CR192" i="4"/>
  <c r="CV192" i="4"/>
  <c r="CW192" i="4"/>
  <c r="BB193" i="4"/>
  <c r="BX193" i="4"/>
  <c r="BZ193" i="4"/>
  <c r="CA193" i="4"/>
  <c r="CE193" i="4"/>
  <c r="CH193" i="4"/>
  <c r="CI193" i="4"/>
  <c r="CQ193" i="4"/>
  <c r="CR193" i="4"/>
  <c r="CV193" i="4"/>
  <c r="CW193" i="4"/>
  <c r="BB194" i="4"/>
  <c r="BX194" i="4"/>
  <c r="BZ194" i="4"/>
  <c r="CA194" i="4"/>
  <c r="CE194" i="4"/>
  <c r="CH194" i="4"/>
  <c r="CI194" i="4"/>
  <c r="CQ194" i="4"/>
  <c r="CR194" i="4"/>
  <c r="CV194" i="4"/>
  <c r="CW194" i="4"/>
  <c r="BB195" i="4"/>
  <c r="BX195" i="4"/>
  <c r="BZ195" i="4"/>
  <c r="CA195" i="4"/>
  <c r="CB195" i="4"/>
  <c r="CE195" i="4"/>
  <c r="CH195" i="4"/>
  <c r="CI195" i="4"/>
  <c r="CQ195" i="4"/>
  <c r="CR195" i="4"/>
  <c r="CV195" i="4"/>
  <c r="CW195" i="4"/>
  <c r="BB196" i="4"/>
  <c r="BX196" i="4"/>
  <c r="BZ196" i="4"/>
  <c r="CA196" i="4"/>
  <c r="CB196" i="4"/>
  <c r="CE196" i="4"/>
  <c r="CH196" i="4"/>
  <c r="CI196" i="4"/>
  <c r="CQ196" i="4"/>
  <c r="CR196" i="4"/>
  <c r="CV196" i="4"/>
  <c r="CW196" i="4"/>
  <c r="BB197" i="4"/>
  <c r="BX197" i="4"/>
  <c r="BZ197" i="4"/>
  <c r="CA197" i="4"/>
  <c r="CE197" i="4"/>
  <c r="CH197" i="4"/>
  <c r="CI197" i="4"/>
  <c r="CR197" i="4"/>
  <c r="CV197" i="4"/>
  <c r="CW197" i="4"/>
  <c r="BB198" i="4"/>
  <c r="BX198" i="4"/>
  <c r="BZ198" i="4"/>
  <c r="CA198" i="4"/>
  <c r="CB198" i="4"/>
  <c r="CE198" i="4"/>
  <c r="CH198" i="4"/>
  <c r="CI198" i="4"/>
  <c r="CV198" i="4"/>
  <c r="CW198" i="4"/>
  <c r="BB199" i="4"/>
  <c r="BX199" i="4"/>
  <c r="BZ199" i="4"/>
  <c r="CA199" i="4"/>
  <c r="CB199" i="4"/>
  <c r="CE199" i="4"/>
  <c r="CH199" i="4"/>
  <c r="CI199" i="4"/>
  <c r="CQ199" i="4"/>
  <c r="CR199" i="4"/>
  <c r="CV199" i="4"/>
  <c r="CW199" i="4"/>
  <c r="BB200" i="4"/>
  <c r="BX200" i="4"/>
  <c r="BZ200" i="4"/>
  <c r="CA200" i="4"/>
  <c r="CE200" i="4"/>
  <c r="CH200" i="4"/>
  <c r="CI200" i="4"/>
  <c r="CQ200" i="4"/>
  <c r="CR200" i="4"/>
  <c r="CV200" i="4"/>
  <c r="CW200" i="4"/>
  <c r="BB201" i="4"/>
  <c r="BX201" i="4"/>
  <c r="BZ201" i="4"/>
  <c r="CA201" i="4"/>
  <c r="CE201" i="4"/>
  <c r="CH201" i="4"/>
  <c r="CI201" i="4"/>
  <c r="CV201" i="4"/>
  <c r="CW201" i="4"/>
  <c r="BB202" i="4"/>
  <c r="BX202" i="4"/>
  <c r="BZ202" i="4"/>
  <c r="CA202" i="4"/>
  <c r="CE202" i="4"/>
  <c r="CH202" i="4"/>
  <c r="CI202" i="4"/>
  <c r="CV202" i="4"/>
  <c r="CW202" i="4"/>
  <c r="BB203" i="4"/>
  <c r="BX203" i="4"/>
  <c r="BZ203" i="4"/>
  <c r="CA203" i="4"/>
  <c r="CE203" i="4"/>
  <c r="CH203" i="4"/>
  <c r="CI203" i="4"/>
  <c r="CQ203" i="4"/>
  <c r="CR203" i="4"/>
  <c r="CV203" i="4"/>
  <c r="CW203" i="4"/>
  <c r="BB204" i="4"/>
  <c r="BX204" i="4"/>
  <c r="BZ204" i="4"/>
  <c r="CA204" i="4"/>
  <c r="CE204" i="4"/>
  <c r="CH204" i="4"/>
  <c r="CI204" i="4"/>
  <c r="CQ204" i="4"/>
  <c r="CR204" i="4"/>
  <c r="CV204" i="4"/>
  <c r="CW204" i="4"/>
  <c r="BB205" i="4"/>
  <c r="BX205" i="4"/>
  <c r="BZ205" i="4"/>
  <c r="CA205" i="4"/>
  <c r="CE205" i="4"/>
  <c r="CH205" i="4"/>
  <c r="CI205" i="4"/>
  <c r="CR205" i="4"/>
  <c r="CV205" i="4"/>
  <c r="CW205" i="4"/>
  <c r="BB206" i="4"/>
  <c r="BX206" i="4"/>
  <c r="BZ206" i="4"/>
  <c r="CA206" i="4"/>
  <c r="CE206" i="4"/>
  <c r="CH206" i="4"/>
  <c r="CI206" i="4"/>
  <c r="CQ206" i="4"/>
  <c r="CR206" i="4"/>
  <c r="CV206" i="4"/>
  <c r="CW206" i="4"/>
  <c r="BB207" i="4"/>
  <c r="BX207" i="4"/>
  <c r="BZ207" i="4"/>
  <c r="CA207" i="4"/>
  <c r="CE207" i="4"/>
  <c r="CH207" i="4"/>
  <c r="CI207" i="4"/>
  <c r="CQ207" i="4"/>
  <c r="CR207" i="4"/>
  <c r="CV207" i="4"/>
  <c r="CW207" i="4"/>
  <c r="BB208" i="4"/>
  <c r="BX208" i="4"/>
  <c r="BZ208" i="4"/>
  <c r="CA208" i="4"/>
  <c r="CE208" i="4"/>
  <c r="CH208" i="4"/>
  <c r="CI208" i="4"/>
  <c r="CQ208" i="4"/>
  <c r="CR208" i="4"/>
  <c r="CV208" i="4"/>
  <c r="CW208" i="4"/>
  <c r="BB209" i="4"/>
  <c r="BX209" i="4"/>
  <c r="BZ209" i="4"/>
  <c r="CA209" i="4"/>
  <c r="CE209" i="4"/>
  <c r="CH209" i="4"/>
  <c r="CI209" i="4"/>
  <c r="CQ209" i="4"/>
  <c r="CR209" i="4"/>
  <c r="CV209" i="4"/>
  <c r="CW209" i="4"/>
  <c r="BB210" i="4"/>
  <c r="BX210" i="4"/>
  <c r="BZ210" i="4"/>
  <c r="CA210" i="4"/>
  <c r="CE210" i="4"/>
  <c r="CH210" i="4"/>
  <c r="CI210" i="4"/>
  <c r="CR210" i="4"/>
  <c r="CV210" i="4"/>
  <c r="CW210" i="4"/>
  <c r="BB211" i="4"/>
  <c r="BX211" i="4"/>
  <c r="BZ211" i="4"/>
  <c r="CA211" i="4"/>
  <c r="CE211" i="4"/>
  <c r="CH211" i="4"/>
  <c r="CI211" i="4"/>
  <c r="CQ211" i="4"/>
  <c r="CR211" i="4"/>
  <c r="CV211" i="4"/>
  <c r="CW211" i="4"/>
  <c r="BB212" i="4"/>
  <c r="BX212" i="4"/>
  <c r="BZ212" i="4"/>
  <c r="CA212" i="4"/>
  <c r="CE212" i="4"/>
  <c r="CH212" i="4"/>
  <c r="CI212" i="4"/>
  <c r="CQ212" i="4"/>
  <c r="CR212" i="4"/>
  <c r="CV212" i="4"/>
  <c r="CW212" i="4"/>
  <c r="BB213" i="4"/>
  <c r="BX213" i="4"/>
  <c r="BZ213" i="4"/>
  <c r="CA213" i="4"/>
  <c r="CE213" i="4"/>
  <c r="CH213" i="4"/>
  <c r="CI213" i="4"/>
  <c r="CV213" i="4"/>
  <c r="CW213" i="4"/>
  <c r="BB214" i="4"/>
  <c r="BX214" i="4"/>
  <c r="BZ214" i="4"/>
  <c r="CA214" i="4"/>
  <c r="CB214" i="4"/>
  <c r="CE214" i="4"/>
  <c r="CH214" i="4"/>
  <c r="CI214" i="4"/>
  <c r="CQ214" i="4"/>
  <c r="CR214" i="4"/>
  <c r="CV214" i="4"/>
  <c r="CW214" i="4"/>
  <c r="BB215" i="4"/>
  <c r="BX215" i="4"/>
  <c r="BZ215" i="4"/>
  <c r="CA215" i="4"/>
  <c r="CE215" i="4"/>
  <c r="CH215" i="4"/>
  <c r="CI215" i="4"/>
  <c r="CQ215" i="4"/>
  <c r="CR215" i="4"/>
  <c r="CV215" i="4"/>
  <c r="CW215" i="4"/>
  <c r="BB216" i="4"/>
  <c r="BX216" i="4"/>
  <c r="BZ216" i="4"/>
  <c r="CA216" i="4"/>
  <c r="CE216" i="4"/>
  <c r="CH216" i="4"/>
  <c r="CI216" i="4"/>
  <c r="CV216" i="4"/>
  <c r="CW216" i="4"/>
  <c r="BB217" i="4"/>
  <c r="BX217" i="4"/>
  <c r="BZ217" i="4"/>
  <c r="CA217" i="4"/>
  <c r="CE217" i="4"/>
  <c r="CH217" i="4"/>
  <c r="CI217" i="4"/>
  <c r="CQ217" i="4"/>
  <c r="CR217" i="4"/>
  <c r="CV217" i="4"/>
  <c r="CW217" i="4"/>
  <c r="BB218" i="4"/>
  <c r="BX218" i="4"/>
  <c r="BZ218" i="4"/>
  <c r="CA218" i="4"/>
  <c r="CB218" i="4"/>
  <c r="CE218" i="4"/>
  <c r="CH218" i="4"/>
  <c r="CI218" i="4"/>
  <c r="CQ218" i="4"/>
  <c r="CR218" i="4"/>
  <c r="CV218" i="4"/>
  <c r="CW218" i="4"/>
  <c r="BB219" i="4"/>
  <c r="BX219" i="4"/>
  <c r="BZ219" i="4"/>
  <c r="CA219" i="4"/>
  <c r="CE219" i="4"/>
  <c r="CH219" i="4"/>
  <c r="CI219" i="4"/>
  <c r="CR219" i="4"/>
  <c r="CV219" i="4"/>
  <c r="CW219" i="4"/>
  <c r="BB220" i="4"/>
  <c r="BX220" i="4"/>
  <c r="BZ220" i="4"/>
  <c r="CA220" i="4"/>
  <c r="CB220" i="4"/>
  <c r="CE220" i="4"/>
  <c r="CH220" i="4"/>
  <c r="CI220" i="4"/>
  <c r="CV220" i="4"/>
  <c r="CW220" i="4"/>
  <c r="BB221" i="4"/>
  <c r="BX221" i="4"/>
  <c r="BZ221" i="4"/>
  <c r="CA221" i="4"/>
  <c r="CE221" i="4"/>
  <c r="CH221" i="4"/>
  <c r="CI221" i="4"/>
  <c r="CQ221" i="4"/>
  <c r="CR221" i="4"/>
  <c r="CV221" i="4"/>
  <c r="CW221" i="4"/>
  <c r="AY166" i="4"/>
  <c r="AZ166" i="4"/>
  <c r="AY167" i="4"/>
  <c r="AZ167" i="4"/>
  <c r="AY168" i="4"/>
  <c r="AZ168" i="4"/>
  <c r="AY169" i="4"/>
  <c r="AZ169" i="4"/>
  <c r="AY170" i="4"/>
  <c r="AZ170" i="4"/>
  <c r="AY171" i="4"/>
  <c r="AZ171" i="4"/>
  <c r="AY172" i="4"/>
  <c r="AZ172" i="4"/>
  <c r="AY173" i="4"/>
  <c r="AZ173" i="4"/>
  <c r="AY174" i="4"/>
  <c r="AZ174" i="4"/>
  <c r="AY175" i="4"/>
  <c r="AZ175" i="4"/>
  <c r="AY176" i="4"/>
  <c r="AZ176" i="4"/>
  <c r="AY177" i="4"/>
  <c r="AZ177" i="4"/>
  <c r="AY178" i="4"/>
  <c r="AZ178" i="4"/>
  <c r="AY179" i="4"/>
  <c r="AZ179" i="4"/>
  <c r="AY180" i="4"/>
  <c r="AZ180" i="4"/>
  <c r="AY181" i="4"/>
  <c r="AZ181" i="4"/>
  <c r="AY182" i="4"/>
  <c r="AZ182" i="4"/>
  <c r="AY183" i="4"/>
  <c r="AZ183" i="4"/>
  <c r="AY184" i="4"/>
  <c r="AZ184" i="4"/>
  <c r="AY185" i="4"/>
  <c r="AZ185" i="4"/>
  <c r="AY186" i="4"/>
  <c r="AZ186" i="4"/>
  <c r="AY187" i="4"/>
  <c r="AZ187" i="4"/>
  <c r="AY188" i="4"/>
  <c r="AZ188" i="4"/>
  <c r="AY189" i="4"/>
  <c r="AZ189" i="4"/>
  <c r="AY190" i="4"/>
  <c r="AZ190" i="4"/>
  <c r="AY191" i="4"/>
  <c r="AZ191" i="4"/>
  <c r="AY192" i="4"/>
  <c r="AZ192" i="4"/>
  <c r="AY193" i="4"/>
  <c r="AZ193" i="4"/>
  <c r="AY194" i="4"/>
  <c r="AZ194" i="4"/>
  <c r="AY195" i="4"/>
  <c r="AZ195" i="4"/>
  <c r="AY196" i="4"/>
  <c r="AZ196" i="4"/>
  <c r="AY197" i="4"/>
  <c r="AZ197" i="4"/>
  <c r="AY198" i="4"/>
  <c r="AZ198" i="4"/>
  <c r="AY199" i="4"/>
  <c r="AZ199" i="4"/>
  <c r="AY200" i="4"/>
  <c r="AZ200" i="4"/>
  <c r="AY201" i="4"/>
  <c r="AZ201" i="4"/>
  <c r="AY202" i="4"/>
  <c r="AZ202" i="4"/>
  <c r="AY203" i="4"/>
  <c r="AZ203" i="4"/>
  <c r="AY204" i="4"/>
  <c r="AZ204" i="4"/>
  <c r="AY205" i="4"/>
  <c r="AZ205" i="4"/>
  <c r="AY206" i="4"/>
  <c r="AZ206" i="4"/>
  <c r="AY207" i="4"/>
  <c r="AZ207" i="4"/>
  <c r="AY208" i="4"/>
  <c r="AZ208" i="4"/>
  <c r="AY209" i="4"/>
  <c r="AZ209" i="4"/>
  <c r="AY210" i="4"/>
  <c r="AZ210" i="4"/>
  <c r="AY211" i="4"/>
  <c r="AZ211" i="4"/>
  <c r="AY212" i="4"/>
  <c r="AZ212" i="4"/>
  <c r="AY213" i="4"/>
  <c r="AZ213" i="4"/>
  <c r="AY214" i="4"/>
  <c r="AZ214" i="4"/>
  <c r="AY215" i="4"/>
  <c r="AZ215" i="4"/>
  <c r="AY216" i="4"/>
  <c r="AZ216" i="4"/>
  <c r="AY217" i="4"/>
  <c r="AZ217" i="4"/>
  <c r="AY218" i="4"/>
  <c r="AZ218" i="4"/>
  <c r="AY219" i="4"/>
  <c r="AZ219" i="4"/>
  <c r="AY220" i="4"/>
  <c r="AZ220" i="4"/>
  <c r="AY221" i="4"/>
  <c r="AZ221" i="4"/>
  <c r="Q166" i="4"/>
  <c r="S166" i="4"/>
  <c r="AB166" i="4"/>
  <c r="AM166" i="4"/>
  <c r="Q167" i="4"/>
  <c r="S167" i="4"/>
  <c r="AB167" i="4"/>
  <c r="AD167" i="4"/>
  <c r="AM167" i="4"/>
  <c r="Q168" i="4"/>
  <c r="S168" i="4"/>
  <c r="AB168" i="4"/>
  <c r="AD168" i="4"/>
  <c r="AM168" i="4"/>
  <c r="Q169" i="4"/>
  <c r="S169" i="4"/>
  <c r="AB169" i="4"/>
  <c r="Q170" i="4"/>
  <c r="S170" i="4"/>
  <c r="AB170" i="4"/>
  <c r="AD170" i="4"/>
  <c r="AM170" i="4"/>
  <c r="Q171" i="4"/>
  <c r="S171" i="4"/>
  <c r="AB171" i="4"/>
  <c r="AD171" i="4"/>
  <c r="Q172" i="4"/>
  <c r="S172" i="4"/>
  <c r="AB172" i="4"/>
  <c r="AD172" i="4"/>
  <c r="AM172" i="4"/>
  <c r="Q173" i="4"/>
  <c r="S173" i="4"/>
  <c r="AB173" i="4"/>
  <c r="AD173" i="4"/>
  <c r="AM173" i="4"/>
  <c r="Q174" i="4"/>
  <c r="S174" i="4"/>
  <c r="AB174" i="4"/>
  <c r="AD174" i="4"/>
  <c r="Q175" i="4"/>
  <c r="S175" i="4"/>
  <c r="AB175" i="4"/>
  <c r="AD175" i="4"/>
  <c r="Q176" i="4"/>
  <c r="S176" i="4"/>
  <c r="AB176" i="4"/>
  <c r="AD176" i="4"/>
  <c r="AM176" i="4"/>
  <c r="Q177" i="4"/>
  <c r="S177" i="4"/>
  <c r="AB177" i="4"/>
  <c r="AD177" i="4"/>
  <c r="AM177" i="4"/>
  <c r="Q178" i="4"/>
  <c r="S178" i="4"/>
  <c r="AB178" i="4"/>
  <c r="AD178" i="4"/>
  <c r="Q179" i="4"/>
  <c r="S179" i="4"/>
  <c r="AB179" i="4"/>
  <c r="AD179" i="4"/>
  <c r="Q180" i="4"/>
  <c r="S180" i="4"/>
  <c r="AB180" i="4"/>
  <c r="Q181" i="4"/>
  <c r="S181" i="4"/>
  <c r="AB181" i="4"/>
  <c r="AD181" i="4"/>
  <c r="Q182" i="4"/>
  <c r="S182" i="4"/>
  <c r="AB182" i="4"/>
  <c r="AD182" i="4"/>
  <c r="Q183" i="4"/>
  <c r="S183" i="4"/>
  <c r="AB183" i="4"/>
  <c r="AD183" i="4"/>
  <c r="AM183" i="4"/>
  <c r="Q184" i="4"/>
  <c r="S184" i="4"/>
  <c r="AB184" i="4"/>
  <c r="Q185" i="4"/>
  <c r="S185" i="4"/>
  <c r="AB185" i="4"/>
  <c r="AD185" i="4"/>
  <c r="AM185" i="4"/>
  <c r="Q186" i="4"/>
  <c r="S186" i="4"/>
  <c r="AB186" i="4"/>
  <c r="AD186" i="4"/>
  <c r="AM186" i="4"/>
  <c r="Q187" i="4"/>
  <c r="S187" i="4"/>
  <c r="AB187" i="4"/>
  <c r="AD187" i="4"/>
  <c r="Q188" i="4"/>
  <c r="S188" i="4"/>
  <c r="AB188" i="4"/>
  <c r="AD188" i="4"/>
  <c r="AM188" i="4"/>
  <c r="Q189" i="4"/>
  <c r="S189" i="4"/>
  <c r="AB189" i="4"/>
  <c r="Q190" i="4"/>
  <c r="S190" i="4"/>
  <c r="AB190" i="4"/>
  <c r="AD190" i="4"/>
  <c r="AM190" i="4"/>
  <c r="Q191" i="4"/>
  <c r="S191" i="4"/>
  <c r="AB191" i="4"/>
  <c r="AD191" i="4"/>
  <c r="AM191" i="4"/>
  <c r="Q192" i="4"/>
  <c r="S192" i="4"/>
  <c r="AB192" i="4"/>
  <c r="AD192" i="4"/>
  <c r="AM192" i="4"/>
  <c r="Q193" i="4"/>
  <c r="S193" i="4"/>
  <c r="AB193" i="4"/>
  <c r="AD193" i="4"/>
  <c r="Q194" i="4"/>
  <c r="S194" i="4"/>
  <c r="AB194" i="4"/>
  <c r="Q195" i="4"/>
  <c r="S195" i="4"/>
  <c r="AB195" i="4"/>
  <c r="AD195" i="4"/>
  <c r="AM195" i="4"/>
  <c r="Q196" i="4"/>
  <c r="S196" i="4"/>
  <c r="AB196" i="4"/>
  <c r="AD196" i="4"/>
  <c r="AM196" i="4"/>
  <c r="Q197" i="4"/>
  <c r="S197" i="4"/>
  <c r="AB197" i="4"/>
  <c r="Q198" i="4"/>
  <c r="S198" i="4"/>
  <c r="AB198" i="4"/>
  <c r="AD198" i="4"/>
  <c r="Q199" i="4"/>
  <c r="S199" i="4"/>
  <c r="AB199" i="4"/>
  <c r="AD199" i="4"/>
  <c r="AM199" i="4"/>
  <c r="Q200" i="4"/>
  <c r="S200" i="4"/>
  <c r="AB200" i="4"/>
  <c r="AD200" i="4"/>
  <c r="AM200" i="4"/>
  <c r="Q201" i="4"/>
  <c r="S201" i="4"/>
  <c r="AB201" i="4"/>
  <c r="AD201" i="4"/>
  <c r="Q202" i="4"/>
  <c r="S202" i="4"/>
  <c r="AB202" i="4"/>
  <c r="Q203" i="4"/>
  <c r="S203" i="4"/>
  <c r="AB203" i="4"/>
  <c r="Q204" i="4"/>
  <c r="S204" i="4"/>
  <c r="AB204" i="4"/>
  <c r="AD204" i="4"/>
  <c r="AM204" i="4"/>
  <c r="Q205" i="4"/>
  <c r="S205" i="4"/>
  <c r="AB205" i="4"/>
  <c r="AD205" i="4"/>
  <c r="AM205" i="4"/>
  <c r="Q206" i="4"/>
  <c r="S206" i="4"/>
  <c r="AB206" i="4"/>
  <c r="AD206" i="4"/>
  <c r="Q207" i="4"/>
  <c r="S207" i="4"/>
  <c r="AB207" i="4"/>
  <c r="Q208" i="4"/>
  <c r="S208" i="4"/>
  <c r="AB208" i="4"/>
  <c r="AD208" i="4"/>
  <c r="AM208" i="4"/>
  <c r="Q209" i="4"/>
  <c r="S209" i="4"/>
  <c r="AB209" i="4"/>
  <c r="AD209" i="4"/>
  <c r="Q210" i="4"/>
  <c r="S210" i="4"/>
  <c r="AB210" i="4"/>
  <c r="AD210" i="4"/>
  <c r="AM210" i="4"/>
  <c r="Q211" i="4"/>
  <c r="S211" i="4"/>
  <c r="AB211" i="4"/>
  <c r="AD211" i="4"/>
  <c r="AM211" i="4"/>
  <c r="Q212" i="4"/>
  <c r="S212" i="4"/>
  <c r="AB212" i="4"/>
  <c r="AD212" i="4"/>
  <c r="Q213" i="4"/>
  <c r="S213" i="4"/>
  <c r="AB213" i="4"/>
  <c r="AD213" i="4"/>
  <c r="Q214" i="4"/>
  <c r="S214" i="4"/>
  <c r="AB214" i="4"/>
  <c r="AD214" i="4"/>
  <c r="Q215" i="4"/>
  <c r="S215" i="4"/>
  <c r="AB215" i="4"/>
  <c r="AD215" i="4"/>
  <c r="AM215" i="4"/>
  <c r="Q216" i="4"/>
  <c r="S216" i="4"/>
  <c r="AB216" i="4"/>
  <c r="AD216" i="4"/>
  <c r="AM216" i="4"/>
  <c r="Q217" i="4"/>
  <c r="S217" i="4"/>
  <c r="AB217" i="4"/>
  <c r="AD217" i="4"/>
  <c r="AM217" i="4"/>
  <c r="Q218" i="4"/>
  <c r="S218" i="4"/>
  <c r="AB218" i="4"/>
  <c r="AD218" i="4"/>
  <c r="Q219" i="4"/>
  <c r="S219" i="4"/>
  <c r="AB219" i="4"/>
  <c r="AD219" i="4"/>
  <c r="Q220" i="4"/>
  <c r="S220" i="4"/>
  <c r="AB220" i="4"/>
  <c r="AD220" i="4"/>
  <c r="AM220" i="4"/>
  <c r="Q221" i="4"/>
  <c r="S221" i="4"/>
  <c r="AB221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E22" i="116"/>
  <c r="E14" i="116"/>
  <c r="T405" i="107"/>
  <c r="T406" i="107"/>
  <c r="T407" i="107"/>
  <c r="T408" i="107"/>
  <c r="T409" i="107"/>
  <c r="T410" i="107"/>
  <c r="D405" i="107"/>
  <c r="D406" i="107"/>
  <c r="D407" i="107"/>
  <c r="D408" i="107"/>
  <c r="D409" i="107"/>
  <c r="D410" i="107"/>
  <c r="D416" i="104"/>
  <c r="D417" i="104"/>
  <c r="D418" i="104"/>
  <c r="D419" i="104"/>
  <c r="D420" i="104"/>
  <c r="D421" i="104"/>
  <c r="J416" i="104"/>
  <c r="J417" i="104"/>
  <c r="J418" i="104"/>
  <c r="J419" i="104"/>
  <c r="J420" i="104"/>
  <c r="J421" i="104"/>
  <c r="AB26" i="118"/>
  <c r="AA26" i="118"/>
  <c r="Z26" i="118"/>
  <c r="I661" i="114"/>
  <c r="I662" i="114"/>
  <c r="I663" i="114"/>
  <c r="I664" i="114"/>
  <c r="I665" i="114"/>
  <c r="I666" i="114"/>
  <c r="I667" i="114"/>
  <c r="I668" i="114"/>
  <c r="I669" i="114"/>
  <c r="I670" i="114"/>
  <c r="I671" i="114"/>
  <c r="I672" i="114"/>
  <c r="I673" i="114"/>
  <c r="I674" i="114"/>
  <c r="I675" i="114"/>
  <c r="C661" i="114"/>
  <c r="C662" i="114"/>
  <c r="C663" i="114"/>
  <c r="C664" i="114"/>
  <c r="C665" i="114"/>
  <c r="C666" i="114"/>
  <c r="C667" i="114"/>
  <c r="C668" i="114"/>
  <c r="C669" i="114"/>
  <c r="C670" i="114"/>
  <c r="C671" i="114"/>
  <c r="C672" i="114"/>
  <c r="C673" i="114"/>
  <c r="C674" i="114"/>
  <c r="C675" i="114"/>
  <c r="L7" i="117"/>
  <c r="L6" i="117"/>
  <c r="L4" i="117"/>
  <c r="AK388" i="107"/>
  <c r="AO388" i="107"/>
  <c r="AP388" i="107"/>
  <c r="AG388" i="107"/>
  <c r="W388" i="107"/>
  <c r="V231" i="104"/>
  <c r="AY160" i="4"/>
  <c r="AZ160" i="4"/>
  <c r="BB160" i="4"/>
  <c r="BX160" i="4"/>
  <c r="BZ160" i="4"/>
  <c r="CQ160" i="4" s="1"/>
  <c r="CA160" i="4"/>
  <c r="CE160" i="4"/>
  <c r="CH160" i="4"/>
  <c r="CI160" i="4"/>
  <c r="CO160" i="4"/>
  <c r="CR160" i="4"/>
  <c r="CV160" i="4"/>
  <c r="CW160" i="4"/>
  <c r="AY161" i="4"/>
  <c r="AZ161" i="4"/>
  <c r="BB161" i="4"/>
  <c r="BN161" i="4"/>
  <c r="BW161" i="4" s="1"/>
  <c r="BX161" i="4"/>
  <c r="BZ161" i="4"/>
  <c r="CA161" i="4"/>
  <c r="CR161" i="4" s="1"/>
  <c r="CE161" i="4"/>
  <c r="CH161" i="4"/>
  <c r="CI161" i="4"/>
  <c r="CV161" i="4"/>
  <c r="CW161" i="4"/>
  <c r="AY162" i="4"/>
  <c r="AZ162" i="4"/>
  <c r="BB162" i="4"/>
  <c r="BX162" i="4"/>
  <c r="BZ162" i="4"/>
  <c r="CA162" i="4"/>
  <c r="CB162" i="4"/>
  <c r="CE162" i="4"/>
  <c r="CH162" i="4"/>
  <c r="CI162" i="4"/>
  <c r="CQ162" i="4"/>
  <c r="CR162" i="4"/>
  <c r="CV162" i="4"/>
  <c r="CW162" i="4"/>
  <c r="AY163" i="4"/>
  <c r="BN163" i="4" s="1"/>
  <c r="AZ163" i="4"/>
  <c r="BB163" i="4"/>
  <c r="BX163" i="4"/>
  <c r="BZ163" i="4"/>
  <c r="CQ163" i="4" s="1"/>
  <c r="CA163" i="4"/>
  <c r="CB163" i="4"/>
  <c r="CE163" i="4"/>
  <c r="CH163" i="4"/>
  <c r="CI163" i="4"/>
  <c r="CO163" i="4"/>
  <c r="CR163" i="4"/>
  <c r="CV163" i="4"/>
  <c r="CW163" i="4"/>
  <c r="AY164" i="4"/>
  <c r="AZ164" i="4"/>
  <c r="BB164" i="4"/>
  <c r="BN164" i="4"/>
  <c r="BW164" i="4" s="1"/>
  <c r="BX164" i="4"/>
  <c r="BZ164" i="4"/>
  <c r="CA164" i="4"/>
  <c r="CR164" i="4" s="1"/>
  <c r="CE164" i="4"/>
  <c r="CH164" i="4"/>
  <c r="CI164" i="4"/>
  <c r="CQ164" i="4"/>
  <c r="CV164" i="4"/>
  <c r="CW164" i="4"/>
  <c r="AY165" i="4"/>
  <c r="AZ165" i="4"/>
  <c r="BB165" i="4"/>
  <c r="BN165" i="4"/>
  <c r="BW165" i="4" s="1"/>
  <c r="BX165" i="4"/>
  <c r="BZ165" i="4"/>
  <c r="CA165" i="4"/>
  <c r="CE165" i="4"/>
  <c r="CH165" i="4"/>
  <c r="CI165" i="4"/>
  <c r="CO165" i="4"/>
  <c r="CQ165" i="4"/>
  <c r="CR165" i="4"/>
  <c r="CV165" i="4"/>
  <c r="CW165" i="4"/>
  <c r="Q160" i="4"/>
  <c r="S160" i="4"/>
  <c r="AB160" i="4"/>
  <c r="Q161" i="4"/>
  <c r="S161" i="4"/>
  <c r="AB161" i="4"/>
  <c r="Q162" i="4"/>
  <c r="AD162" i="4" s="1"/>
  <c r="S162" i="4"/>
  <c r="AB162" i="4"/>
  <c r="Q163" i="4"/>
  <c r="S163" i="4"/>
  <c r="AB163" i="4"/>
  <c r="AM163" i="4"/>
  <c r="Q164" i="4"/>
  <c r="S164" i="4"/>
  <c r="AB164" i="4"/>
  <c r="Q165" i="4"/>
  <c r="AD165" i="4" s="1"/>
  <c r="S165" i="4"/>
  <c r="AB165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AD22" i="118"/>
  <c r="AD20" i="118"/>
  <c r="AD23" i="118"/>
  <c r="AL3" i="97" a="1"/>
  <c r="AG2" i="97"/>
  <c r="I18" i="97"/>
  <c r="I17" i="97"/>
  <c r="I16" i="97"/>
  <c r="I14" i="97"/>
  <c r="I13" i="97"/>
  <c r="I12" i="97"/>
  <c r="V230" i="104"/>
  <c r="AK387" i="107"/>
  <c r="AL387" i="107" s="1"/>
  <c r="AO387" i="107"/>
  <c r="AP387" i="107"/>
  <c r="AG387" i="107"/>
  <c r="AI387" i="107" s="1"/>
  <c r="W387" i="107"/>
  <c r="BB155" i="4"/>
  <c r="BX155" i="4"/>
  <c r="BZ155" i="4"/>
  <c r="CQ155" i="4" s="1"/>
  <c r="CA155" i="4"/>
  <c r="CR155" i="4" s="1"/>
  <c r="CE155" i="4"/>
  <c r="CH155" i="4"/>
  <c r="CI155" i="4"/>
  <c r="CV155" i="4"/>
  <c r="CW155" i="4"/>
  <c r="BB156" i="4"/>
  <c r="BX156" i="4"/>
  <c r="BZ156" i="4"/>
  <c r="CQ156" i="4" s="1"/>
  <c r="CA156" i="4"/>
  <c r="CR156" i="4" s="1"/>
  <c r="CE156" i="4"/>
  <c r="CH156" i="4"/>
  <c r="CI156" i="4"/>
  <c r="CV156" i="4"/>
  <c r="CW156" i="4"/>
  <c r="BB157" i="4"/>
  <c r="BX157" i="4"/>
  <c r="BZ157" i="4"/>
  <c r="CQ157" i="4" s="1"/>
  <c r="CA157" i="4"/>
  <c r="CR157" i="4" s="1"/>
  <c r="CE157" i="4"/>
  <c r="CH157" i="4"/>
  <c r="CI157" i="4"/>
  <c r="CV157" i="4"/>
  <c r="CW157" i="4"/>
  <c r="BB158" i="4"/>
  <c r="BX158" i="4"/>
  <c r="BZ158" i="4"/>
  <c r="CA158" i="4"/>
  <c r="CE158" i="4"/>
  <c r="CH158" i="4"/>
  <c r="CI158" i="4"/>
  <c r="CQ158" i="4"/>
  <c r="CR158" i="4"/>
  <c r="CV158" i="4"/>
  <c r="CW158" i="4"/>
  <c r="BB159" i="4"/>
  <c r="BX159" i="4"/>
  <c r="BZ159" i="4"/>
  <c r="CA159" i="4"/>
  <c r="CE159" i="4"/>
  <c r="CH159" i="4"/>
  <c r="CI159" i="4"/>
  <c r="CV159" i="4"/>
  <c r="CW159" i="4"/>
  <c r="AY155" i="4"/>
  <c r="AZ155" i="4"/>
  <c r="AY156" i="4"/>
  <c r="AZ156" i="4"/>
  <c r="AY157" i="4"/>
  <c r="AZ157" i="4"/>
  <c r="AY158" i="4"/>
  <c r="AZ158" i="4"/>
  <c r="AY159" i="4"/>
  <c r="BN159" i="4" s="1"/>
  <c r="BW159" i="4" s="1"/>
  <c r="AZ159" i="4"/>
  <c r="C156" i="4"/>
  <c r="C157" i="4"/>
  <c r="C158" i="4"/>
  <c r="C159" i="4"/>
  <c r="C155" i="4"/>
  <c r="Q155" i="4"/>
  <c r="S155" i="4"/>
  <c r="AB155" i="4"/>
  <c r="Q156" i="4"/>
  <c r="CP156" i="4" s="1"/>
  <c r="S156" i="4"/>
  <c r="AB156" i="4"/>
  <c r="Q157" i="4"/>
  <c r="CP157" i="4" s="1"/>
  <c r="S157" i="4"/>
  <c r="AB157" i="4"/>
  <c r="Q158" i="4"/>
  <c r="S158" i="4"/>
  <c r="AB158" i="4"/>
  <c r="Q159" i="4"/>
  <c r="CP159" i="4" s="1"/>
  <c r="S159" i="4"/>
  <c r="AB159" i="4"/>
  <c r="B155" i="4"/>
  <c r="B156" i="4"/>
  <c r="B157" i="4"/>
  <c r="B158" i="4"/>
  <c r="B159" i="4"/>
  <c r="AB2" i="97"/>
  <c r="N42" i="80" l="1"/>
  <c r="B418" i="107"/>
  <c r="B419" i="107" s="1"/>
  <c r="B420" i="107" s="1"/>
  <c r="BT232" i="4"/>
  <c r="BQ239" i="4"/>
  <c r="BY235" i="4"/>
  <c r="BO232" i="4"/>
  <c r="BT237" i="4"/>
  <c r="BT234" i="4"/>
  <c r="BP236" i="4"/>
  <c r="BQ236" i="4" s="1"/>
  <c r="BY236" i="4"/>
  <c r="CB236" i="4"/>
  <c r="BO234" i="4"/>
  <c r="CB234" i="4"/>
  <c r="CM234" i="4"/>
  <c r="BP235" i="4"/>
  <c r="BQ235" i="4" s="1"/>
  <c r="BT236" i="4"/>
  <c r="CM233" i="4"/>
  <c r="BP237" i="4"/>
  <c r="BQ237" i="4" s="1"/>
  <c r="CM241" i="4"/>
  <c r="CB233" i="4"/>
  <c r="CR233" i="4"/>
  <c r="CS233" i="4" s="1"/>
  <c r="C233" i="4"/>
  <c r="C235" i="4"/>
  <c r="C236" i="4"/>
  <c r="C237" i="4"/>
  <c r="C238" i="4"/>
  <c r="C239" i="4"/>
  <c r="C241" i="4"/>
  <c r="C234" i="4"/>
  <c r="C240" i="4"/>
  <c r="C232" i="4"/>
  <c r="AM238" i="4"/>
  <c r="AM231" i="4"/>
  <c r="CB200" i="4"/>
  <c r="CB185" i="4"/>
  <c r="AD225" i="4"/>
  <c r="CQ185" i="4"/>
  <c r="CR185" i="4"/>
  <c r="CQ216" i="4"/>
  <c r="AD203" i="4"/>
  <c r="AM203" i="4"/>
  <c r="AD155" i="4"/>
  <c r="AM155" i="4"/>
  <c r="CF155" i="4" s="1"/>
  <c r="BO253" i="4"/>
  <c r="CG253" i="4" s="1"/>
  <c r="BW252" i="4"/>
  <c r="BY252" i="4" s="1"/>
  <c r="CB181" i="4"/>
  <c r="CQ210" i="4"/>
  <c r="CB210" i="4"/>
  <c r="AD202" i="4"/>
  <c r="AM202" i="4"/>
  <c r="AM201" i="4"/>
  <c r="AM230" i="4"/>
  <c r="AM226" i="4"/>
  <c r="CB251" i="4"/>
  <c r="CF229" i="4"/>
  <c r="CF230" i="4"/>
  <c r="CL230" i="4"/>
  <c r="CM230" i="4" s="1"/>
  <c r="CO230" i="4"/>
  <c r="CP230" i="4"/>
  <c r="BN231" i="4"/>
  <c r="BW231" i="4" s="1"/>
  <c r="BY231" i="4" s="1"/>
  <c r="BO231" i="4"/>
  <c r="BS231" i="4"/>
  <c r="BT231" i="4" s="1"/>
  <c r="CB182" i="4"/>
  <c r="CQ182" i="4"/>
  <c r="AD197" i="4"/>
  <c r="AM197" i="4"/>
  <c r="AD164" i="4"/>
  <c r="CF231" i="4"/>
  <c r="CL231" i="4"/>
  <c r="CO231" i="4"/>
  <c r="CP231" i="4"/>
  <c r="AM159" i="4"/>
  <c r="CF159" i="4" s="1"/>
  <c r="BN229" i="4"/>
  <c r="BW229" i="4" s="1"/>
  <c r="BY229" i="4" s="1"/>
  <c r="BS229" i="4"/>
  <c r="CL229" i="4"/>
  <c r="CM229" i="4" s="1"/>
  <c r="CO229" i="4"/>
  <c r="CP229" i="4"/>
  <c r="BN230" i="4"/>
  <c r="BW230" i="4" s="1"/>
  <c r="BY230" i="4" s="1"/>
  <c r="BO230" i="4"/>
  <c r="BS230" i="4"/>
  <c r="BT230" i="4" s="1"/>
  <c r="L429" i="104"/>
  <c r="CM231" i="4"/>
  <c r="BT229" i="4"/>
  <c r="CS230" i="4"/>
  <c r="BP231" i="4"/>
  <c r="BQ231" i="4" s="1"/>
  <c r="CQ219" i="4"/>
  <c r="CR216" i="4"/>
  <c r="CB174" i="4"/>
  <c r="CQ201" i="4"/>
  <c r="CB216" i="4"/>
  <c r="AD207" i="4"/>
  <c r="AM207" i="4"/>
  <c r="CB225" i="4"/>
  <c r="CB204" i="4"/>
  <c r="AM194" i="4"/>
  <c r="CL227" i="4"/>
  <c r="CO227" i="4"/>
  <c r="CP227" i="4"/>
  <c r="CL228" i="4"/>
  <c r="CM228" i="4" s="1"/>
  <c r="CO228" i="4"/>
  <c r="CP228" i="4"/>
  <c r="BS227" i="4"/>
  <c r="BT227" i="4" s="1"/>
  <c r="BS228" i="4"/>
  <c r="BT228" i="4" s="1"/>
  <c r="BN227" i="4"/>
  <c r="BW227" i="4" s="1"/>
  <c r="BY227" i="4" s="1"/>
  <c r="BN228" i="4"/>
  <c r="BW228" i="4" s="1"/>
  <c r="BY228" i="4" s="1"/>
  <c r="AD227" i="4"/>
  <c r="AM227" i="4"/>
  <c r="CF227" i="4" s="1"/>
  <c r="AD228" i="4"/>
  <c r="AM228" i="4"/>
  <c r="CF228" i="4" s="1"/>
  <c r="CB180" i="4"/>
  <c r="CQ188" i="4"/>
  <c r="CR188" i="4"/>
  <c r="CQ213" i="4"/>
  <c r="CR213" i="4"/>
  <c r="CB227" i="4"/>
  <c r="CM227" i="4"/>
  <c r="BO228" i="4"/>
  <c r="BO227" i="4"/>
  <c r="AD166" i="4"/>
  <c r="AM187" i="4"/>
  <c r="CR167" i="4"/>
  <c r="AM171" i="4"/>
  <c r="CL252" i="4"/>
  <c r="CO252" i="4"/>
  <c r="CP252" i="4"/>
  <c r="CQ252" i="4"/>
  <c r="CR252" i="4"/>
  <c r="CL253" i="4"/>
  <c r="CM253" i="4" s="1"/>
  <c r="CO253" i="4"/>
  <c r="CP253" i="4"/>
  <c r="CQ253" i="4"/>
  <c r="CR253" i="4"/>
  <c r="AD252" i="4"/>
  <c r="AM252" i="4"/>
  <c r="CF252" i="4" s="1"/>
  <c r="BS252" i="4"/>
  <c r="AD253" i="4"/>
  <c r="AM253" i="4"/>
  <c r="BS253" i="4"/>
  <c r="CB206" i="4"/>
  <c r="CQ166" i="4"/>
  <c r="CR166" i="4"/>
  <c r="CB173" i="4"/>
  <c r="CQ173" i="4"/>
  <c r="CB190" i="4"/>
  <c r="CQ190" i="4"/>
  <c r="CR190" i="4"/>
  <c r="AD184" i="4"/>
  <c r="AM184" i="4"/>
  <c r="BO252" i="4"/>
  <c r="BO251" i="4"/>
  <c r="CG251" i="4" s="1"/>
  <c r="CB170" i="4"/>
  <c r="CB202" i="4"/>
  <c r="CR180" i="4"/>
  <c r="CB201" i="4"/>
  <c r="CB219" i="4"/>
  <c r="AD222" i="4"/>
  <c r="BW251" i="4"/>
  <c r="CL222" i="4"/>
  <c r="CO222" i="4"/>
  <c r="CP222" i="4"/>
  <c r="CF223" i="4"/>
  <c r="CL223" i="4"/>
  <c r="CM223" i="4" s="1"/>
  <c r="CO223" i="4"/>
  <c r="CP223" i="4"/>
  <c r="CF224" i="4"/>
  <c r="CL224" i="4"/>
  <c r="CM224" i="4" s="1"/>
  <c r="CO224" i="4"/>
  <c r="CP224" i="4"/>
  <c r="BS225" i="4"/>
  <c r="BT225" i="4" s="1"/>
  <c r="CF170" i="4"/>
  <c r="CP170" i="4"/>
  <c r="CP173" i="4"/>
  <c r="CP186" i="4"/>
  <c r="CP190" i="4"/>
  <c r="CP197" i="4"/>
  <c r="CP216" i="4"/>
  <c r="CF217" i="4"/>
  <c r="CP217" i="4"/>
  <c r="AM180" i="4"/>
  <c r="CF180" i="4" s="1"/>
  <c r="CP175" i="4"/>
  <c r="CF176" i="4"/>
  <c r="CP176" i="4"/>
  <c r="CF177" i="4"/>
  <c r="CP177" i="4"/>
  <c r="CP178" i="4"/>
  <c r="CP179" i="4"/>
  <c r="CP180" i="4"/>
  <c r="CP181" i="4"/>
  <c r="CP182" i="4"/>
  <c r="CP200" i="4"/>
  <c r="CP201" i="4"/>
  <c r="CB203" i="4"/>
  <c r="CB207" i="4"/>
  <c r="AM175" i="4"/>
  <c r="CF175" i="4" s="1"/>
  <c r="AM181" i="4"/>
  <c r="CF181" i="4" s="1"/>
  <c r="AM189" i="4"/>
  <c r="CF189" i="4" s="1"/>
  <c r="AD194" i="4"/>
  <c r="AM198" i="4"/>
  <c r="CF198" i="4" s="1"/>
  <c r="AM209" i="4"/>
  <c r="AM219" i="4"/>
  <c r="CF219" i="4" s="1"/>
  <c r="CP219" i="4"/>
  <c r="CF220" i="4"/>
  <c r="AM179" i="4"/>
  <c r="CF179" i="4" s="1"/>
  <c r="AM182" i="4"/>
  <c r="CF182" i="4" s="1"/>
  <c r="AM212" i="4"/>
  <c r="AM218" i="4"/>
  <c r="CF218" i="4" s="1"/>
  <c r="CO161" i="4"/>
  <c r="CQ161" i="4"/>
  <c r="BS222" i="4"/>
  <c r="BS223" i="4"/>
  <c r="BT223" i="4" s="1"/>
  <c r="CP225" i="4"/>
  <c r="CB187" i="4"/>
  <c r="CB189" i="4"/>
  <c r="CP189" i="4"/>
  <c r="CP193" i="4"/>
  <c r="CP194" i="4"/>
  <c r="CP196" i="4"/>
  <c r="CP199" i="4"/>
  <c r="CF200" i="4"/>
  <c r="CB212" i="4"/>
  <c r="CF216" i="4"/>
  <c r="CB217" i="4"/>
  <c r="AM193" i="4"/>
  <c r="CF193" i="4" s="1"/>
  <c r="AM206" i="4"/>
  <c r="AM214" i="4"/>
  <c r="CF214" i="4" s="1"/>
  <c r="CB222" i="4"/>
  <c r="CL225" i="4"/>
  <c r="CM225" i="4" s="1"/>
  <c r="CO225" i="4"/>
  <c r="BS226" i="4"/>
  <c r="BT226" i="4" s="1"/>
  <c r="CB226" i="4"/>
  <c r="BN226" i="4"/>
  <c r="BW226" i="4" s="1"/>
  <c r="CB167" i="4"/>
  <c r="CQ167" i="4"/>
  <c r="CF172" i="4"/>
  <c r="CP172" i="4"/>
  <c r="CF173" i="4"/>
  <c r="CF195" i="4"/>
  <c r="CP195" i="4"/>
  <c r="CP214" i="4"/>
  <c r="BS224" i="4"/>
  <c r="BT224" i="4" s="1"/>
  <c r="CL226" i="4"/>
  <c r="CM226" i="4" s="1"/>
  <c r="CO226" i="4"/>
  <c r="CP226" i="4"/>
  <c r="BN222" i="4"/>
  <c r="BW222" i="4" s="1"/>
  <c r="BN223" i="4"/>
  <c r="BW223" i="4" s="1"/>
  <c r="BY223" i="4" s="1"/>
  <c r="BN224" i="4"/>
  <c r="BW224" i="4" s="1"/>
  <c r="BY224" i="4" s="1"/>
  <c r="BN225" i="4"/>
  <c r="BW225" i="4" s="1"/>
  <c r="BY225" i="4" s="1"/>
  <c r="AM225" i="4"/>
  <c r="CF225" i="4" s="1"/>
  <c r="CP198" i="4"/>
  <c r="CQ205" i="4"/>
  <c r="CF215" i="4"/>
  <c r="CP218" i="4"/>
  <c r="CP171" i="4"/>
  <c r="CB184" i="4"/>
  <c r="CR184" i="4"/>
  <c r="CF186" i="4"/>
  <c r="CP187" i="4"/>
  <c r="CF188" i="4"/>
  <c r="CP188" i="4"/>
  <c r="CF190" i="4"/>
  <c r="CP191" i="4"/>
  <c r="CF192" i="4"/>
  <c r="CP192" i="4"/>
  <c r="CF199" i="4"/>
  <c r="CP215" i="4"/>
  <c r="AD180" i="4"/>
  <c r="AL402" i="107"/>
  <c r="AM222" i="4"/>
  <c r="CF222" i="4" s="1"/>
  <c r="CB194" i="4"/>
  <c r="CB221" i="4"/>
  <c r="CB178" i="4"/>
  <c r="CQ178" i="4"/>
  <c r="CQ202" i="4"/>
  <c r="CR202" i="4"/>
  <c r="CB176" i="4"/>
  <c r="CB177" i="4"/>
  <c r="CB192" i="4"/>
  <c r="CB175" i="4"/>
  <c r="CB215" i="4"/>
  <c r="BS191" i="4"/>
  <c r="BY159" i="4"/>
  <c r="AD251" i="4"/>
  <c r="BN168" i="4"/>
  <c r="BW168" i="4" s="1"/>
  <c r="BS168" i="4"/>
  <c r="CF168" i="4"/>
  <c r="CL168" i="4"/>
  <c r="CM168" i="4" s="1"/>
  <c r="CO168" i="4"/>
  <c r="CP168" i="4"/>
  <c r="BN169" i="4"/>
  <c r="BW169" i="4" s="1"/>
  <c r="BY169" i="4" s="1"/>
  <c r="BS169" i="4"/>
  <c r="BT169" i="4" s="1"/>
  <c r="CL169" i="4"/>
  <c r="CM169" i="4" s="1"/>
  <c r="CO169" i="4"/>
  <c r="CP169" i="4"/>
  <c r="BN170" i="4"/>
  <c r="BW170" i="4" s="1"/>
  <c r="BS170" i="4"/>
  <c r="BT170" i="4" s="1"/>
  <c r="CL170" i="4"/>
  <c r="CM170" i="4" s="1"/>
  <c r="CO170" i="4"/>
  <c r="BN171" i="4"/>
  <c r="BS171" i="4"/>
  <c r="BT171" i="4" s="1"/>
  <c r="CB171" i="4"/>
  <c r="CL171" i="4"/>
  <c r="CM171" i="4" s="1"/>
  <c r="CO171" i="4"/>
  <c r="BN172" i="4"/>
  <c r="BW172" i="4" s="1"/>
  <c r="BY172" i="4" s="1"/>
  <c r="BO172" i="4"/>
  <c r="BS172" i="4"/>
  <c r="BT172" i="4" s="1"/>
  <c r="CL172" i="4"/>
  <c r="CM172" i="4" s="1"/>
  <c r="BN174" i="4"/>
  <c r="BW174" i="4" s="1"/>
  <c r="BY174" i="4" s="1"/>
  <c r="CL174" i="4"/>
  <c r="CM174" i="4" s="1"/>
  <c r="BN180" i="4"/>
  <c r="CL180" i="4"/>
  <c r="CM180" i="4" s="1"/>
  <c r="CO180" i="4"/>
  <c r="BS181" i="4"/>
  <c r="BT181" i="4" s="1"/>
  <c r="BS182" i="4"/>
  <c r="CL182" i="4"/>
  <c r="CM182" i="4" s="1"/>
  <c r="CO182" i="4"/>
  <c r="CO174" i="4"/>
  <c r="CP174" i="4"/>
  <c r="CQ174" i="4"/>
  <c r="CR174" i="4"/>
  <c r="BN175" i="4"/>
  <c r="BS175" i="4"/>
  <c r="BT175" i="4" s="1"/>
  <c r="CL175" i="4"/>
  <c r="CM175" i="4" s="1"/>
  <c r="CO175" i="4"/>
  <c r="BN176" i="4"/>
  <c r="BW176" i="4" s="1"/>
  <c r="BY176" i="4" s="1"/>
  <c r="BO176" i="4"/>
  <c r="BS176" i="4"/>
  <c r="BT176" i="4" s="1"/>
  <c r="CL176" i="4"/>
  <c r="CM176" i="4" s="1"/>
  <c r="CO176" i="4"/>
  <c r="BN177" i="4"/>
  <c r="BW177" i="4" s="1"/>
  <c r="BY177" i="4" s="1"/>
  <c r="BS177" i="4"/>
  <c r="BT177" i="4" s="1"/>
  <c r="CL177" i="4"/>
  <c r="CM177" i="4" s="1"/>
  <c r="CO177" i="4"/>
  <c r="BN178" i="4"/>
  <c r="BW178" i="4" s="1"/>
  <c r="BY178" i="4" s="1"/>
  <c r="BS178" i="4"/>
  <c r="BT178" i="4" s="1"/>
  <c r="CL178" i="4"/>
  <c r="CM178" i="4" s="1"/>
  <c r="CO178" i="4"/>
  <c r="BN179" i="4"/>
  <c r="BW179" i="4" s="1"/>
  <c r="BY179" i="4" s="1"/>
  <c r="BO179" i="4"/>
  <c r="BS179" i="4"/>
  <c r="BT179" i="4" s="1"/>
  <c r="BS180" i="4"/>
  <c r="BT180" i="4" s="1"/>
  <c r="BN181" i="4"/>
  <c r="BW181" i="4" s="1"/>
  <c r="BY181" i="4" s="1"/>
  <c r="BO181" i="4"/>
  <c r="BN185" i="4"/>
  <c r="BW185" i="4" s="1"/>
  <c r="BY185" i="4" s="1"/>
  <c r="BO185" i="4"/>
  <c r="CG185" i="4" s="1"/>
  <c r="BS187" i="4"/>
  <c r="BS188" i="4"/>
  <c r="CB188" i="4"/>
  <c r="CL188" i="4"/>
  <c r="CM188" i="4" s="1"/>
  <c r="AD169" i="4"/>
  <c r="CB191" i="4"/>
  <c r="CF191" i="4"/>
  <c r="CL191" i="4"/>
  <c r="CM191" i="4" s="1"/>
  <c r="CO191" i="4"/>
  <c r="CQ191" i="4"/>
  <c r="CR191" i="4"/>
  <c r="BN192" i="4"/>
  <c r="BW192" i="4" s="1"/>
  <c r="BS192" i="4"/>
  <c r="CL192" i="4"/>
  <c r="CM192" i="4" s="1"/>
  <c r="CO192" i="4"/>
  <c r="BN193" i="4"/>
  <c r="BW193" i="4" s="1"/>
  <c r="BS193" i="4"/>
  <c r="CL193" i="4"/>
  <c r="CM193" i="4" s="1"/>
  <c r="CO193" i="4"/>
  <c r="BN194" i="4"/>
  <c r="BW194" i="4" s="1"/>
  <c r="BS194" i="4"/>
  <c r="CL194" i="4"/>
  <c r="CM194" i="4" s="1"/>
  <c r="CO194" i="4"/>
  <c r="BN195" i="4"/>
  <c r="BW195" i="4" s="1"/>
  <c r="BO195" i="4"/>
  <c r="BS195" i="4"/>
  <c r="CL195" i="4"/>
  <c r="CM195" i="4" s="1"/>
  <c r="CO195" i="4"/>
  <c r="BN196" i="4"/>
  <c r="BW196" i="4" s="1"/>
  <c r="BS196" i="4"/>
  <c r="CL196" i="4"/>
  <c r="CM196" i="4" s="1"/>
  <c r="CO196" i="4"/>
  <c r="BN197" i="4"/>
  <c r="BW197" i="4" s="1"/>
  <c r="BY197" i="4" s="1"/>
  <c r="BS197" i="4"/>
  <c r="BT197" i="4" s="1"/>
  <c r="CL197" i="4"/>
  <c r="CM197" i="4" s="1"/>
  <c r="CO197" i="4"/>
  <c r="BN198" i="4"/>
  <c r="BW198" i="4" s="1"/>
  <c r="BO198" i="4"/>
  <c r="BS198" i="4"/>
  <c r="CL198" i="4"/>
  <c r="CM198" i="4" s="1"/>
  <c r="CO198" i="4"/>
  <c r="BN199" i="4"/>
  <c r="BW199" i="4" s="1"/>
  <c r="BY199" i="4" s="1"/>
  <c r="BS199" i="4"/>
  <c r="BT199" i="4" s="1"/>
  <c r="CL199" i="4"/>
  <c r="CM199" i="4" s="1"/>
  <c r="CO199" i="4"/>
  <c r="BN200" i="4"/>
  <c r="BW200" i="4" s="1"/>
  <c r="BY200" i="4" s="1"/>
  <c r="BO200" i="4"/>
  <c r="BS200" i="4"/>
  <c r="BT200" i="4" s="1"/>
  <c r="CL200" i="4"/>
  <c r="CM200" i="4" s="1"/>
  <c r="CO200" i="4"/>
  <c r="BN201" i="4"/>
  <c r="BW201" i="4" s="1"/>
  <c r="BY201" i="4" s="1"/>
  <c r="BO201" i="4"/>
  <c r="BS201" i="4"/>
  <c r="BT201" i="4" s="1"/>
  <c r="CL201" i="4"/>
  <c r="CM201" i="4" s="1"/>
  <c r="CO201" i="4"/>
  <c r="BN204" i="4"/>
  <c r="BW204" i="4" s="1"/>
  <c r="BY204" i="4" s="1"/>
  <c r="CO204" i="4"/>
  <c r="BN205" i="4"/>
  <c r="BW205" i="4" s="1"/>
  <c r="BY205" i="4" s="1"/>
  <c r="CO205" i="4"/>
  <c r="BN206" i="4"/>
  <c r="BW206" i="4" s="1"/>
  <c r="CO206" i="4"/>
  <c r="BN207" i="4"/>
  <c r="BW207" i="4" s="1"/>
  <c r="BY207" i="4" s="1"/>
  <c r="CO207" i="4"/>
  <c r="BN209" i="4"/>
  <c r="BW209" i="4" s="1"/>
  <c r="CO209" i="4"/>
  <c r="BN210" i="4"/>
  <c r="BW210" i="4" s="1"/>
  <c r="BY210" i="4" s="1"/>
  <c r="CO210" i="4"/>
  <c r="BN211" i="4"/>
  <c r="BW211" i="4" s="1"/>
  <c r="CO211" i="4"/>
  <c r="BN212" i="4"/>
  <c r="BW212" i="4" s="1"/>
  <c r="BO212" i="4"/>
  <c r="CG212" i="4" s="1"/>
  <c r="CO212" i="4"/>
  <c r="BN213" i="4"/>
  <c r="BW213" i="4" s="1"/>
  <c r="CO213" i="4"/>
  <c r="BN214" i="4"/>
  <c r="BW214" i="4" s="1"/>
  <c r="CL214" i="4"/>
  <c r="CO214" i="4"/>
  <c r="BN215" i="4"/>
  <c r="BO215" i="4"/>
  <c r="BS215" i="4"/>
  <c r="CL215" i="4"/>
  <c r="CM215" i="4" s="1"/>
  <c r="CO215" i="4"/>
  <c r="BN216" i="4"/>
  <c r="BW216" i="4" s="1"/>
  <c r="BY216" i="4" s="1"/>
  <c r="BS216" i="4"/>
  <c r="BT216" i="4" s="1"/>
  <c r="CL216" i="4"/>
  <c r="CM216" i="4" s="1"/>
  <c r="CO216" i="4"/>
  <c r="BN217" i="4"/>
  <c r="BW217" i="4" s="1"/>
  <c r="BY217" i="4" s="1"/>
  <c r="BO217" i="4"/>
  <c r="BS217" i="4"/>
  <c r="BT217" i="4" s="1"/>
  <c r="CL217" i="4"/>
  <c r="CM217" i="4" s="1"/>
  <c r="CO217" i="4"/>
  <c r="BN218" i="4"/>
  <c r="BW218" i="4" s="1"/>
  <c r="BY218" i="4" s="1"/>
  <c r="BS218" i="4"/>
  <c r="BT218" i="4" s="1"/>
  <c r="CL218" i="4"/>
  <c r="CM218" i="4" s="1"/>
  <c r="CO218" i="4"/>
  <c r="BN219" i="4"/>
  <c r="BW219" i="4" s="1"/>
  <c r="BY219" i="4" s="1"/>
  <c r="BO219" i="4"/>
  <c r="BS219" i="4"/>
  <c r="BT219" i="4" s="1"/>
  <c r="CL219" i="4"/>
  <c r="CM219" i="4" s="1"/>
  <c r="CO219" i="4"/>
  <c r="BN220" i="4"/>
  <c r="BW220" i="4" s="1"/>
  <c r="BY220" i="4" s="1"/>
  <c r="BS220" i="4"/>
  <c r="BT220" i="4" s="1"/>
  <c r="CL220" i="4"/>
  <c r="CM220" i="4" s="1"/>
  <c r="CO220" i="4"/>
  <c r="AM169" i="4"/>
  <c r="CF169" i="4" s="1"/>
  <c r="AM251" i="4"/>
  <c r="BS251" i="4"/>
  <c r="CO172" i="4"/>
  <c r="BN173" i="4"/>
  <c r="BW173" i="4" s="1"/>
  <c r="BS173" i="4"/>
  <c r="CL173" i="4"/>
  <c r="CM173" i="4" s="1"/>
  <c r="CO173" i="4"/>
  <c r="BS174" i="4"/>
  <c r="BT174" i="4" s="1"/>
  <c r="CL179" i="4"/>
  <c r="CM179" i="4" s="1"/>
  <c r="CO179" i="4"/>
  <c r="CL181" i="4"/>
  <c r="CM181" i="4" s="1"/>
  <c r="CO181" i="4"/>
  <c r="BN182" i="4"/>
  <c r="BW182" i="4" s="1"/>
  <c r="BY182" i="4" s="1"/>
  <c r="BN183" i="4"/>
  <c r="BS183" i="4"/>
  <c r="BT183" i="4" s="1"/>
  <c r="CO184" i="4"/>
  <c r="CO185" i="4"/>
  <c r="BN186" i="4"/>
  <c r="BW186" i="4" s="1"/>
  <c r="BY186" i="4" s="1"/>
  <c r="CL186" i="4"/>
  <c r="CM186" i="4" s="1"/>
  <c r="CO186" i="4"/>
  <c r="BN187" i="4"/>
  <c r="BW187" i="4" s="1"/>
  <c r="CL187" i="4"/>
  <c r="CM187" i="4" s="1"/>
  <c r="CO187" i="4"/>
  <c r="BN188" i="4"/>
  <c r="BW188" i="4" s="1"/>
  <c r="BY188" i="4" s="1"/>
  <c r="CO188" i="4"/>
  <c r="BN189" i="4"/>
  <c r="BW189" i="4" s="1"/>
  <c r="BS189" i="4"/>
  <c r="CL189" i="4"/>
  <c r="CM189" i="4" s="1"/>
  <c r="CO189" i="4"/>
  <c r="BN190" i="4"/>
  <c r="BS190" i="4"/>
  <c r="CL190" i="4"/>
  <c r="CM190" i="4" s="1"/>
  <c r="CO190" i="4"/>
  <c r="BN191" i="4"/>
  <c r="BW191" i="4" s="1"/>
  <c r="BN208" i="4"/>
  <c r="BW208" i="4" s="1"/>
  <c r="BY208" i="4" s="1"/>
  <c r="CO208" i="4"/>
  <c r="CL251" i="4"/>
  <c r="CM251" i="4" s="1"/>
  <c r="CP251" i="4"/>
  <c r="CS251" i="4" s="1"/>
  <c r="BN167" i="4"/>
  <c r="BW167" i="4" s="1"/>
  <c r="BY167" i="4" s="1"/>
  <c r="BO167" i="4"/>
  <c r="CL167" i="4"/>
  <c r="CM167" i="4" s="1"/>
  <c r="CO167" i="4"/>
  <c r="CP167" i="4"/>
  <c r="AR224" i="104"/>
  <c r="AR217" i="104"/>
  <c r="AR220" i="104"/>
  <c r="AR221" i="104"/>
  <c r="AR210" i="104"/>
  <c r="AR216" i="104"/>
  <c r="AR223" i="104"/>
  <c r="AR211" i="104"/>
  <c r="AR212" i="104"/>
  <c r="AR214" i="104"/>
  <c r="AR215" i="104"/>
  <c r="AR213" i="104"/>
  <c r="L428" i="104"/>
  <c r="L426" i="104"/>
  <c r="L424" i="104"/>
  <c r="X231" i="104"/>
  <c r="X230" i="104"/>
  <c r="L416" i="104"/>
  <c r="L417" i="104"/>
  <c r="L418" i="104"/>
  <c r="L419" i="104"/>
  <c r="L420" i="104"/>
  <c r="L421" i="104"/>
  <c r="AM404" i="107"/>
  <c r="AI404" i="107"/>
  <c r="Y234" i="104" s="1"/>
  <c r="AI402" i="107"/>
  <c r="AR209" i="104"/>
  <c r="X232" i="104"/>
  <c r="Y232" i="104" s="1"/>
  <c r="X233" i="104"/>
  <c r="X234" i="104"/>
  <c r="AI403" i="107"/>
  <c r="Y233" i="104" s="1"/>
  <c r="AM403" i="107"/>
  <c r="L423" i="104"/>
  <c r="BN166" i="4"/>
  <c r="BS166" i="4"/>
  <c r="BT166" i="4" s="1"/>
  <c r="CF166" i="4"/>
  <c r="CL166" i="4"/>
  <c r="CO166" i="4"/>
  <c r="CP166" i="4"/>
  <c r="BS167" i="4"/>
  <c r="BT167" i="4" s="1"/>
  <c r="CF167" i="4"/>
  <c r="CF183" i="4"/>
  <c r="CL183" i="4"/>
  <c r="CM183" i="4" s="1"/>
  <c r="CO183" i="4"/>
  <c r="CP183" i="4"/>
  <c r="BN184" i="4"/>
  <c r="BW184" i="4" s="1"/>
  <c r="BY184" i="4" s="1"/>
  <c r="BS184" i="4"/>
  <c r="BT184" i="4" s="1"/>
  <c r="CL184" i="4"/>
  <c r="CM184" i="4" s="1"/>
  <c r="CP184" i="4"/>
  <c r="BS185" i="4"/>
  <c r="BT185" i="4" s="1"/>
  <c r="CF185" i="4"/>
  <c r="CL185" i="4"/>
  <c r="CM185" i="4" s="1"/>
  <c r="CP185" i="4"/>
  <c r="BS186" i="4"/>
  <c r="CF196" i="4"/>
  <c r="CR201" i="4"/>
  <c r="BN202" i="4"/>
  <c r="BW202" i="4" s="1"/>
  <c r="BS202" i="4"/>
  <c r="BT202" i="4" s="1"/>
  <c r="CL202" i="4"/>
  <c r="CM202" i="4" s="1"/>
  <c r="CO202" i="4"/>
  <c r="CP202" i="4"/>
  <c r="BN203" i="4"/>
  <c r="BW203" i="4" s="1"/>
  <c r="BS203" i="4"/>
  <c r="CF203" i="4"/>
  <c r="CL203" i="4"/>
  <c r="CM203" i="4" s="1"/>
  <c r="CO203" i="4"/>
  <c r="CP203" i="4"/>
  <c r="BS204" i="4"/>
  <c r="CF204" i="4"/>
  <c r="CL204" i="4"/>
  <c r="CM204" i="4" s="1"/>
  <c r="CP204" i="4"/>
  <c r="BS205" i="4"/>
  <c r="CF205" i="4"/>
  <c r="CL205" i="4"/>
  <c r="CM205" i="4" s="1"/>
  <c r="CP205" i="4"/>
  <c r="BS206" i="4"/>
  <c r="CL206" i="4"/>
  <c r="CP206" i="4"/>
  <c r="BS207" i="4"/>
  <c r="CL207" i="4"/>
  <c r="CM207" i="4" s="1"/>
  <c r="CP207" i="4"/>
  <c r="BS208" i="4"/>
  <c r="CF208" i="4"/>
  <c r="CL208" i="4"/>
  <c r="CM208" i="4" s="1"/>
  <c r="CP208" i="4"/>
  <c r="BS209" i="4"/>
  <c r="CL209" i="4"/>
  <c r="CM209" i="4" s="1"/>
  <c r="CP209" i="4"/>
  <c r="BS210" i="4"/>
  <c r="CF210" i="4"/>
  <c r="CL210" i="4"/>
  <c r="CM210" i="4" s="1"/>
  <c r="CP210" i="4"/>
  <c r="BS211" i="4"/>
  <c r="CF211" i="4"/>
  <c r="CL211" i="4"/>
  <c r="CP211" i="4"/>
  <c r="BS212" i="4"/>
  <c r="CL212" i="4"/>
  <c r="CP212" i="4"/>
  <c r="BS213" i="4"/>
  <c r="CL213" i="4"/>
  <c r="CM213" i="4" s="1"/>
  <c r="CP213" i="4"/>
  <c r="BS214" i="4"/>
  <c r="CP220" i="4"/>
  <c r="CQ220" i="4"/>
  <c r="CR220" i="4"/>
  <c r="BN221" i="4"/>
  <c r="BW221" i="4" s="1"/>
  <c r="BY221" i="4" s="1"/>
  <c r="BS221" i="4"/>
  <c r="BT221" i="4" s="1"/>
  <c r="CL221" i="4"/>
  <c r="CM221" i="4" s="1"/>
  <c r="CO221" i="4"/>
  <c r="CP221" i="4"/>
  <c r="CB193" i="4"/>
  <c r="CB205" i="4"/>
  <c r="CB211" i="4"/>
  <c r="CB213" i="4"/>
  <c r="CQ198" i="4"/>
  <c r="CR198" i="4"/>
  <c r="CB208" i="4"/>
  <c r="CB209" i="4"/>
  <c r="BT211" i="4"/>
  <c r="CB197" i="4"/>
  <c r="CQ197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166" i="4"/>
  <c r="AM174" i="4"/>
  <c r="AD221" i="4"/>
  <c r="AM221" i="4"/>
  <c r="CF221" i="4" s="1"/>
  <c r="AM178" i="4"/>
  <c r="AM213" i="4"/>
  <c r="CF213" i="4" s="1"/>
  <c r="AD189" i="4"/>
  <c r="AD163" i="4"/>
  <c r="CB165" i="4"/>
  <c r="AM161" i="4"/>
  <c r="AD161" i="4"/>
  <c r="BO165" i="4"/>
  <c r="CG165" i="4" s="1"/>
  <c r="CL162" i="4"/>
  <c r="CM162" i="4" s="1"/>
  <c r="CP162" i="4"/>
  <c r="CF163" i="4"/>
  <c r="CL163" i="4"/>
  <c r="CM163" i="4" s="1"/>
  <c r="CP163" i="4"/>
  <c r="BY164" i="4"/>
  <c r="CP164" i="4"/>
  <c r="CB160" i="4"/>
  <c r="BS163" i="4"/>
  <c r="BT163" i="4" s="1"/>
  <c r="CL165" i="4"/>
  <c r="CM165" i="4" s="1"/>
  <c r="BS165" i="4"/>
  <c r="BT165" i="4" s="1"/>
  <c r="CP165" i="4"/>
  <c r="AM165" i="4"/>
  <c r="BO161" i="4"/>
  <c r="BY161" i="4"/>
  <c r="CB161" i="4"/>
  <c r="CP161" i="4"/>
  <c r="BO164" i="4"/>
  <c r="CL160" i="4"/>
  <c r="CM160" i="4" s="1"/>
  <c r="CP160" i="4"/>
  <c r="BN160" i="4"/>
  <c r="BW160" i="4" s="1"/>
  <c r="BY160" i="4" s="1"/>
  <c r="BS160" i="4"/>
  <c r="BT160" i="4" s="1"/>
  <c r="BN162" i="4"/>
  <c r="BW162" i="4" s="1"/>
  <c r="BY162" i="4" s="1"/>
  <c r="BS162" i="4"/>
  <c r="BT162" i="4" s="1"/>
  <c r="CO162" i="4"/>
  <c r="CB164" i="4"/>
  <c r="CO164" i="4"/>
  <c r="BY165" i="4"/>
  <c r="AM164" i="4"/>
  <c r="CF164" i="4" s="1"/>
  <c r="CP155" i="4"/>
  <c r="BN158" i="4"/>
  <c r="BW158" i="4" s="1"/>
  <c r="BY158" i="4" s="1"/>
  <c r="BS158" i="4"/>
  <c r="BT158" i="4" s="1"/>
  <c r="CP158" i="4"/>
  <c r="CB159" i="4"/>
  <c r="AM160" i="4"/>
  <c r="CF160" i="4" s="1"/>
  <c r="CQ159" i="4"/>
  <c r="CR159" i="4"/>
  <c r="CL158" i="4"/>
  <c r="CM158" i="4" s="1"/>
  <c r="AI388" i="107"/>
  <c r="Y231" i="104" s="1"/>
  <c r="AL388" i="107"/>
  <c r="AM387" i="107"/>
  <c r="BO163" i="4"/>
  <c r="BW163" i="4"/>
  <c r="BY163" i="4" s="1"/>
  <c r="CL164" i="4"/>
  <c r="CM164" i="4" s="1"/>
  <c r="BS164" i="4"/>
  <c r="BT164" i="4" s="1"/>
  <c r="BS161" i="4"/>
  <c r="BT161" i="4" s="1"/>
  <c r="CL161" i="4"/>
  <c r="CM161" i="4" s="1"/>
  <c r="AD160" i="4"/>
  <c r="AM162" i="4"/>
  <c r="CF162" i="4" s="1"/>
  <c r="AD159" i="4"/>
  <c r="CL157" i="4"/>
  <c r="CM157" i="4" s="1"/>
  <c r="AD157" i="4"/>
  <c r="CL156" i="4"/>
  <c r="CM156" i="4" s="1"/>
  <c r="AM157" i="4"/>
  <c r="CF157" i="4" s="1"/>
  <c r="CL155" i="4"/>
  <c r="CM155" i="4" s="1"/>
  <c r="BS157" i="4"/>
  <c r="BT157" i="4" s="1"/>
  <c r="BS156" i="4"/>
  <c r="BT156" i="4" s="1"/>
  <c r="CO159" i="4"/>
  <c r="CB157" i="4"/>
  <c r="BS155" i="4"/>
  <c r="BT155" i="4" s="1"/>
  <c r="CB158" i="4"/>
  <c r="BN157" i="4"/>
  <c r="BW157" i="4" s="1"/>
  <c r="BY157" i="4" s="1"/>
  <c r="CB156" i="4"/>
  <c r="CL159" i="4"/>
  <c r="CM159" i="4" s="1"/>
  <c r="BN156" i="4"/>
  <c r="BW156" i="4" s="1"/>
  <c r="BY156" i="4" s="1"/>
  <c r="BS159" i="4"/>
  <c r="BT159" i="4" s="1"/>
  <c r="CO158" i="4"/>
  <c r="CB155" i="4"/>
  <c r="BN155" i="4"/>
  <c r="BW155" i="4" s="1"/>
  <c r="BY155" i="4" s="1"/>
  <c r="CO157" i="4"/>
  <c r="CS157" i="4" s="1"/>
  <c r="BO159" i="4"/>
  <c r="CO156" i="4"/>
  <c r="CS156" i="4" s="1"/>
  <c r="CO155" i="4"/>
  <c r="CS155" i="4" s="1"/>
  <c r="AH2" i="97"/>
  <c r="AM5" i="97"/>
  <c r="AM6" i="97"/>
  <c r="AM7" i="97"/>
  <c r="AM8" i="97"/>
  <c r="AM9" i="97"/>
  <c r="AM10" i="97"/>
  <c r="AM11" i="97"/>
  <c r="AM12" i="97"/>
  <c r="AM13" i="97"/>
  <c r="AM14" i="97"/>
  <c r="AM15" i="97"/>
  <c r="AM16" i="97"/>
  <c r="AM17" i="97"/>
  <c r="AM18" i="97"/>
  <c r="AM20" i="97"/>
  <c r="Y230" i="104"/>
  <c r="AD156" i="4"/>
  <c r="AM156" i="4"/>
  <c r="CF156" i="4" s="1"/>
  <c r="AD158" i="4"/>
  <c r="AM158" i="4"/>
  <c r="CF158" i="4" s="1"/>
  <c r="K2" i="104"/>
  <c r="C19" i="80"/>
  <c r="BP232" i="4" l="1"/>
  <c r="BQ232" i="4" s="1"/>
  <c r="CN232" i="4"/>
  <c r="CG232" i="4"/>
  <c r="CG234" i="4"/>
  <c r="CN234" i="4"/>
  <c r="BP234" i="4"/>
  <c r="BQ234" i="4" s="1"/>
  <c r="BO183" i="4"/>
  <c r="BP183" i="4" s="1"/>
  <c r="CF226" i="4"/>
  <c r="BO186" i="4"/>
  <c r="BO223" i="4"/>
  <c r="BO178" i="4"/>
  <c r="CG178" i="4" s="1"/>
  <c r="CF197" i="4"/>
  <c r="CF201" i="4"/>
  <c r="CF202" i="4"/>
  <c r="CF207" i="4"/>
  <c r="CN231" i="4"/>
  <c r="CG231" i="4"/>
  <c r="CN230" i="4"/>
  <c r="CG230" i="4"/>
  <c r="BP230" i="4"/>
  <c r="BQ230" i="4" s="1"/>
  <c r="BO229" i="4"/>
  <c r="CS231" i="4"/>
  <c r="CS229" i="4"/>
  <c r="BO225" i="4"/>
  <c r="BO226" i="4"/>
  <c r="BO205" i="4"/>
  <c r="CG205" i="4" s="1"/>
  <c r="BT209" i="4"/>
  <c r="CS193" i="4"/>
  <c r="BO216" i="4"/>
  <c r="CS189" i="4"/>
  <c r="BT191" i="4"/>
  <c r="CF194" i="4"/>
  <c r="BO202" i="4"/>
  <c r="CS227" i="4"/>
  <c r="CS228" i="4"/>
  <c r="BO197" i="4"/>
  <c r="CN252" i="4"/>
  <c r="CF171" i="4"/>
  <c r="BO207" i="4"/>
  <c r="CG207" i="4" s="1"/>
  <c r="BP167" i="4"/>
  <c r="CF184" i="4"/>
  <c r="BP228" i="4"/>
  <c r="BQ228" i="4" s="1"/>
  <c r="CG228" i="4"/>
  <c r="CN228" i="4"/>
  <c r="BP227" i="4"/>
  <c r="BQ227" i="4" s="1"/>
  <c r="CG227" i="4"/>
  <c r="CN227" i="4"/>
  <c r="CF187" i="4"/>
  <c r="CS170" i="4"/>
  <c r="CS180" i="4"/>
  <c r="CS182" i="4"/>
  <c r="CS175" i="4"/>
  <c r="CS179" i="4"/>
  <c r="CS186" i="4"/>
  <c r="CS181" i="4"/>
  <c r="CS190" i="4"/>
  <c r="CF209" i="4"/>
  <c r="CF212" i="4"/>
  <c r="CF253" i="4"/>
  <c r="BP253" i="4"/>
  <c r="BU253" i="4" s="1"/>
  <c r="CS252" i="4"/>
  <c r="CN253" i="4"/>
  <c r="CS253" i="4"/>
  <c r="CM252" i="4"/>
  <c r="CS176" i="4"/>
  <c r="CS177" i="4"/>
  <c r="CS178" i="4"/>
  <c r="CS192" i="4"/>
  <c r="CS216" i="4"/>
  <c r="CS217" i="4"/>
  <c r="CS219" i="4"/>
  <c r="CS172" i="4"/>
  <c r="CS173" i="4"/>
  <c r="CS187" i="4"/>
  <c r="CS188" i="4"/>
  <c r="CG252" i="4"/>
  <c r="BP252" i="4"/>
  <c r="BU252" i="4" s="1"/>
  <c r="BT222" i="4"/>
  <c r="BY222" i="4"/>
  <c r="CM222" i="4"/>
  <c r="CS225" i="4"/>
  <c r="BY226" i="4"/>
  <c r="BO224" i="4"/>
  <c r="BP226" i="4"/>
  <c r="CS171" i="4"/>
  <c r="CS199" i="4"/>
  <c r="CS200" i="4"/>
  <c r="CS214" i="4"/>
  <c r="CS215" i="4"/>
  <c r="CS218" i="4"/>
  <c r="BY251" i="4"/>
  <c r="CF206" i="4"/>
  <c r="CN223" i="4"/>
  <c r="CG223" i="4"/>
  <c r="BP223" i="4"/>
  <c r="CG225" i="4"/>
  <c r="BP225" i="4"/>
  <c r="CN225" i="4"/>
  <c r="CN226" i="4"/>
  <c r="CG226" i="4"/>
  <c r="CS222" i="4"/>
  <c r="CS223" i="4"/>
  <c r="CS224" i="4"/>
  <c r="BO221" i="4"/>
  <c r="BO194" i="4"/>
  <c r="CS194" i="4"/>
  <c r="CS195" i="4"/>
  <c r="CS196" i="4"/>
  <c r="BO220" i="4"/>
  <c r="CS226" i="4"/>
  <c r="BO169" i="4"/>
  <c r="BO222" i="4"/>
  <c r="BO170" i="4"/>
  <c r="BY170" i="4"/>
  <c r="AM402" i="107"/>
  <c r="AN402" i="107" s="1"/>
  <c r="CS184" i="4"/>
  <c r="CS185" i="4"/>
  <c r="BO196" i="4"/>
  <c r="CG196" i="4" s="1"/>
  <c r="BO177" i="4"/>
  <c r="BO188" i="4"/>
  <c r="BW183" i="4"/>
  <c r="BY183" i="4" s="1"/>
  <c r="CG183" i="4"/>
  <c r="CN183" i="4"/>
  <c r="BO182" i="4"/>
  <c r="BO199" i="4"/>
  <c r="BO218" i="4"/>
  <c r="CS205" i="4"/>
  <c r="BO208" i="4"/>
  <c r="BO174" i="4"/>
  <c r="CG174" i="4" s="1"/>
  <c r="BP185" i="4"/>
  <c r="CN185" i="4"/>
  <c r="CS207" i="4"/>
  <c r="CS208" i="4"/>
  <c r="CS209" i="4"/>
  <c r="CS210" i="4"/>
  <c r="CS211" i="4"/>
  <c r="BO168" i="4"/>
  <c r="BY168" i="4"/>
  <c r="BT190" i="4"/>
  <c r="BY191" i="4"/>
  <c r="BO192" i="4"/>
  <c r="BY193" i="4"/>
  <c r="CM166" i="4"/>
  <c r="BO166" i="4"/>
  <c r="BW166" i="4"/>
  <c r="BY166" i="4" s="1"/>
  <c r="BO180" i="4"/>
  <c r="BW180" i="4"/>
  <c r="BY180" i="4" s="1"/>
  <c r="BT186" i="4"/>
  <c r="CG186" i="4"/>
  <c r="BO187" i="4"/>
  <c r="BT187" i="4"/>
  <c r="BY187" i="4"/>
  <c r="BT188" i="4"/>
  <c r="BO171" i="4"/>
  <c r="BW171" i="4"/>
  <c r="BY171" i="4" s="1"/>
  <c r="BT173" i="4"/>
  <c r="BY173" i="4"/>
  <c r="CN186" i="4"/>
  <c r="BT189" i="4"/>
  <c r="BY189" i="4"/>
  <c r="BO190" i="4"/>
  <c r="BW190" i="4"/>
  <c r="BY190" i="4" s="1"/>
  <c r="BT192" i="4"/>
  <c r="BT193" i="4"/>
  <c r="BO175" i="4"/>
  <c r="BW175" i="4"/>
  <c r="BY175" i="4" s="1"/>
  <c r="BT182" i="4"/>
  <c r="BP186" i="4"/>
  <c r="BO191" i="4"/>
  <c r="BY192" i="4"/>
  <c r="BO193" i="4"/>
  <c r="CN172" i="4"/>
  <c r="CG172" i="4"/>
  <c r="BP172" i="4"/>
  <c r="CN176" i="4"/>
  <c r="CG176" i="4"/>
  <c r="BP176" i="4"/>
  <c r="CN179" i="4"/>
  <c r="CG179" i="4"/>
  <c r="BP179" i="4"/>
  <c r="CN181" i="4"/>
  <c r="CG181" i="4"/>
  <c r="BP181" i="4"/>
  <c r="CN195" i="4"/>
  <c r="CG195" i="4"/>
  <c r="CN198" i="4"/>
  <c r="CG198" i="4"/>
  <c r="CN200" i="4"/>
  <c r="CG200" i="4"/>
  <c r="BP200" i="4"/>
  <c r="CN201" i="4"/>
  <c r="CG201" i="4"/>
  <c r="BP201" i="4"/>
  <c r="CN217" i="4"/>
  <c r="CG217" i="4"/>
  <c r="BP217" i="4"/>
  <c r="CN219" i="4"/>
  <c r="CG219" i="4"/>
  <c r="BP219" i="4"/>
  <c r="CN251" i="4"/>
  <c r="BP251" i="4"/>
  <c r="BU251" i="4" s="1"/>
  <c r="CF251" i="4"/>
  <c r="BQ183" i="4"/>
  <c r="BU183" i="4"/>
  <c r="BV183" i="4" s="1"/>
  <c r="CG167" i="4"/>
  <c r="CN167" i="4"/>
  <c r="CS168" i="4"/>
  <c r="CS169" i="4"/>
  <c r="BO173" i="4"/>
  <c r="CS174" i="4"/>
  <c r="BO189" i="4"/>
  <c r="CS191" i="4"/>
  <c r="BO204" i="4"/>
  <c r="CS167" i="4"/>
  <c r="BO184" i="4"/>
  <c r="CS201" i="4"/>
  <c r="CN212" i="4"/>
  <c r="CS212" i="4"/>
  <c r="CS213" i="4"/>
  <c r="CS220" i="4"/>
  <c r="CS221" i="4"/>
  <c r="BT168" i="4"/>
  <c r="BY194" i="4"/>
  <c r="BY196" i="4"/>
  <c r="BT204" i="4"/>
  <c r="BT205" i="4"/>
  <c r="BO210" i="4"/>
  <c r="BO213" i="4"/>
  <c r="CM214" i="4"/>
  <c r="BT194" i="4"/>
  <c r="BT195" i="4"/>
  <c r="BY195" i="4"/>
  <c r="BT196" i="4"/>
  <c r="BO206" i="4"/>
  <c r="BY206" i="4"/>
  <c r="BO209" i="4"/>
  <c r="BY209" i="4"/>
  <c r="BY211" i="4"/>
  <c r="BY212" i="4"/>
  <c r="BY214" i="4"/>
  <c r="CS198" i="4"/>
  <c r="BT215" i="4"/>
  <c r="BW215" i="4"/>
  <c r="BY215" i="4" s="1"/>
  <c r="CG215" i="4"/>
  <c r="CN215" i="4"/>
  <c r="BY213" i="4"/>
  <c r="BP195" i="4"/>
  <c r="CS197" i="4"/>
  <c r="BP198" i="4"/>
  <c r="BT198" i="4"/>
  <c r="BY198" i="4"/>
  <c r="BY202" i="4"/>
  <c r="BY203" i="4"/>
  <c r="CS204" i="4"/>
  <c r="BT208" i="4"/>
  <c r="BO211" i="4"/>
  <c r="BP212" i="4"/>
  <c r="BO214" i="4"/>
  <c r="BP215" i="4"/>
  <c r="CS160" i="4"/>
  <c r="AN404" i="107"/>
  <c r="AN403" i="107"/>
  <c r="AM388" i="107"/>
  <c r="AN388" i="107" s="1"/>
  <c r="CS166" i="4"/>
  <c r="CM206" i="4"/>
  <c r="CS206" i="4"/>
  <c r="BT210" i="4"/>
  <c r="BT203" i="4"/>
  <c r="BT206" i="4"/>
  <c r="BT207" i="4"/>
  <c r="BT214" i="4"/>
  <c r="CM211" i="4"/>
  <c r="CM212" i="4"/>
  <c r="BT213" i="4"/>
  <c r="BO203" i="4"/>
  <c r="BT212" i="4"/>
  <c r="CS183" i="4"/>
  <c r="CS202" i="4"/>
  <c r="CS203" i="4"/>
  <c r="CF174" i="4"/>
  <c r="CF178" i="4"/>
  <c r="CF161" i="4"/>
  <c r="CS163" i="4"/>
  <c r="CS162" i="4"/>
  <c r="BO158" i="4"/>
  <c r="CG158" i="4" s="1"/>
  <c r="CS165" i="4"/>
  <c r="CF165" i="4"/>
  <c r="BP165" i="4"/>
  <c r="CN165" i="4"/>
  <c r="BO162" i="4"/>
  <c r="BP164" i="4"/>
  <c r="CN164" i="4"/>
  <c r="CG164" i="4"/>
  <c r="CN161" i="4"/>
  <c r="BP161" i="4"/>
  <c r="CG161" i="4"/>
  <c r="CS164" i="4"/>
  <c r="CS161" i="4"/>
  <c r="CS159" i="4"/>
  <c r="CS158" i="4"/>
  <c r="BO160" i="4"/>
  <c r="AN387" i="107"/>
  <c r="CN163" i="4"/>
  <c r="BP163" i="4"/>
  <c r="CG163" i="4"/>
  <c r="BO156" i="4"/>
  <c r="CN156" i="4" s="1"/>
  <c r="BO157" i="4"/>
  <c r="BP159" i="4"/>
  <c r="CG159" i="4"/>
  <c r="CN159" i="4"/>
  <c r="BO155" i="4"/>
  <c r="T519" i="107"/>
  <c r="D519" i="107"/>
  <c r="J415" i="104"/>
  <c r="L415" i="104" s="1"/>
  <c r="D415" i="104"/>
  <c r="AY154" i="4"/>
  <c r="BN154" i="4" s="1"/>
  <c r="BW154" i="4" s="1"/>
  <c r="AZ154" i="4"/>
  <c r="BB154" i="4"/>
  <c r="BX154" i="4"/>
  <c r="BZ154" i="4"/>
  <c r="CQ154" i="4" s="1"/>
  <c r="CA154" i="4"/>
  <c r="CR154" i="4" s="1"/>
  <c r="CE154" i="4"/>
  <c r="CH154" i="4"/>
  <c r="CI154" i="4"/>
  <c r="CV154" i="4"/>
  <c r="CW154" i="4"/>
  <c r="Q154" i="4"/>
  <c r="AD154" i="4" s="1"/>
  <c r="S154" i="4"/>
  <c r="AB154" i="4"/>
  <c r="B154" i="4"/>
  <c r="C154" i="4"/>
  <c r="AY138" i="4"/>
  <c r="AZ138" i="4"/>
  <c r="BB138" i="4"/>
  <c r="BX138" i="4"/>
  <c r="BZ138" i="4"/>
  <c r="CQ138" i="4" s="1"/>
  <c r="CA138" i="4"/>
  <c r="CR138" i="4" s="1"/>
  <c r="CE138" i="4"/>
  <c r="CH138" i="4"/>
  <c r="CI138" i="4"/>
  <c r="CV138" i="4"/>
  <c r="CW138" i="4"/>
  <c r="AY139" i="4"/>
  <c r="C139" i="4"/>
  <c r="BX139" i="4"/>
  <c r="BZ139" i="4"/>
  <c r="CQ139" i="4" s="1"/>
  <c r="CA139" i="4"/>
  <c r="CH139" i="4"/>
  <c r="CI139" i="4"/>
  <c r="CV139" i="4"/>
  <c r="BB140" i="4"/>
  <c r="CE140" i="4"/>
  <c r="AY140" i="4"/>
  <c r="BN140" i="4" s="1"/>
  <c r="BW140" i="4" s="1"/>
  <c r="AZ140" i="4"/>
  <c r="BX140" i="4"/>
  <c r="BZ140" i="4"/>
  <c r="CA140" i="4"/>
  <c r="CR140" i="4" s="1"/>
  <c r="CH140" i="4"/>
  <c r="CI140" i="4"/>
  <c r="CV140" i="4"/>
  <c r="CW141" i="4"/>
  <c r="CE141" i="4"/>
  <c r="AY141" i="4"/>
  <c r="CO141" i="4" s="1"/>
  <c r="AZ141" i="4"/>
  <c r="BB141" i="4"/>
  <c r="BX141" i="4"/>
  <c r="BZ141" i="4"/>
  <c r="CA141" i="4"/>
  <c r="CR141" i="4" s="1"/>
  <c r="CH141" i="4"/>
  <c r="CI141" i="4"/>
  <c r="CV141" i="4"/>
  <c r="CW142" i="4"/>
  <c r="AY142" i="4"/>
  <c r="AZ142" i="4"/>
  <c r="BB142" i="4"/>
  <c r="BX142" i="4"/>
  <c r="BZ142" i="4"/>
  <c r="CA142" i="4"/>
  <c r="CR142" i="4" s="1"/>
  <c r="CE142" i="4"/>
  <c r="CH142" i="4"/>
  <c r="CI142" i="4"/>
  <c r="CV142" i="4"/>
  <c r="C143" i="4"/>
  <c r="AY143" i="4"/>
  <c r="AZ143" i="4"/>
  <c r="BB143" i="4"/>
  <c r="BX143" i="4"/>
  <c r="BZ143" i="4"/>
  <c r="CQ143" i="4" s="1"/>
  <c r="CA143" i="4"/>
  <c r="CR143" i="4" s="1"/>
  <c r="CE143" i="4"/>
  <c r="CH143" i="4"/>
  <c r="CI143" i="4"/>
  <c r="CV143" i="4"/>
  <c r="CW143" i="4"/>
  <c r="AY144" i="4"/>
  <c r="BN144" i="4" s="1"/>
  <c r="BW144" i="4" s="1"/>
  <c r="AZ144" i="4"/>
  <c r="BB144" i="4"/>
  <c r="BX144" i="4"/>
  <c r="BZ144" i="4"/>
  <c r="CA144" i="4"/>
  <c r="CR144" i="4" s="1"/>
  <c r="CE144" i="4"/>
  <c r="CH144" i="4"/>
  <c r="CI144" i="4"/>
  <c r="CV144" i="4"/>
  <c r="CW144" i="4"/>
  <c r="AY145" i="4"/>
  <c r="CE145" i="4"/>
  <c r="BX145" i="4"/>
  <c r="BZ145" i="4"/>
  <c r="CQ145" i="4" s="1"/>
  <c r="CA145" i="4"/>
  <c r="CH145" i="4"/>
  <c r="CI145" i="4"/>
  <c r="CV145" i="4"/>
  <c r="BB146" i="4"/>
  <c r="AY146" i="4"/>
  <c r="AZ146" i="4"/>
  <c r="BX146" i="4"/>
  <c r="BZ146" i="4"/>
  <c r="CQ146" i="4" s="1"/>
  <c r="CA146" i="4"/>
  <c r="CH146" i="4"/>
  <c r="CI146" i="4"/>
  <c r="CV146" i="4"/>
  <c r="CW147" i="4"/>
  <c r="CE147" i="4"/>
  <c r="AY147" i="4"/>
  <c r="CO147" i="4" s="1"/>
  <c r="AZ147" i="4"/>
  <c r="BB147" i="4"/>
  <c r="BX147" i="4"/>
  <c r="BZ147" i="4"/>
  <c r="CQ147" i="4" s="1"/>
  <c r="CA147" i="4"/>
  <c r="CR147" i="4" s="1"/>
  <c r="CH147" i="4"/>
  <c r="CI147" i="4"/>
  <c r="CV147" i="4"/>
  <c r="CW148" i="4"/>
  <c r="AY148" i="4"/>
  <c r="CO148" i="4" s="1"/>
  <c r="AZ148" i="4"/>
  <c r="BB148" i="4"/>
  <c r="BX148" i="4"/>
  <c r="BZ148" i="4"/>
  <c r="CQ148" i="4" s="1"/>
  <c r="CA148" i="4"/>
  <c r="CB148" i="4" s="1"/>
  <c r="CH148" i="4"/>
  <c r="CI148" i="4"/>
  <c r="CV148" i="4"/>
  <c r="C149" i="4"/>
  <c r="AY149" i="4"/>
  <c r="AZ149" i="4"/>
  <c r="BB149" i="4"/>
  <c r="BX149" i="4"/>
  <c r="BZ149" i="4"/>
  <c r="CQ149" i="4" s="1"/>
  <c r="CA149" i="4"/>
  <c r="CR149" i="4" s="1"/>
  <c r="CE149" i="4"/>
  <c r="CH149" i="4"/>
  <c r="CI149" i="4"/>
  <c r="CV149" i="4"/>
  <c r="CW149" i="4"/>
  <c r="AZ150" i="4"/>
  <c r="BB150" i="4"/>
  <c r="BX150" i="4"/>
  <c r="BZ150" i="4"/>
  <c r="CQ150" i="4" s="1"/>
  <c r="CA150" i="4"/>
  <c r="CR150" i="4" s="1"/>
  <c r="CH150" i="4"/>
  <c r="CI150" i="4"/>
  <c r="CV150" i="4"/>
  <c r="CW150" i="4"/>
  <c r="AY151" i="4"/>
  <c r="BX151" i="4"/>
  <c r="BZ151" i="4"/>
  <c r="CQ151" i="4" s="1"/>
  <c r="CA151" i="4"/>
  <c r="CH151" i="4"/>
  <c r="CI151" i="4"/>
  <c r="CV151" i="4"/>
  <c r="BB152" i="4"/>
  <c r="CE152" i="4"/>
  <c r="AY152" i="4"/>
  <c r="BN152" i="4" s="1"/>
  <c r="BW152" i="4" s="1"/>
  <c r="AZ152" i="4"/>
  <c r="BX152" i="4"/>
  <c r="BZ152" i="4"/>
  <c r="CQ152" i="4" s="1"/>
  <c r="CA152" i="4"/>
  <c r="CR152" i="4" s="1"/>
  <c r="CH152" i="4"/>
  <c r="CI152" i="4"/>
  <c r="CV152" i="4"/>
  <c r="CW153" i="4"/>
  <c r="CE153" i="4"/>
  <c r="AY153" i="4"/>
  <c r="AZ153" i="4"/>
  <c r="BB153" i="4"/>
  <c r="BX153" i="4"/>
  <c r="BZ153" i="4"/>
  <c r="CQ153" i="4" s="1"/>
  <c r="CA153" i="4"/>
  <c r="CR153" i="4" s="1"/>
  <c r="CH153" i="4"/>
  <c r="CI153" i="4"/>
  <c r="CV153" i="4"/>
  <c r="AY137" i="4"/>
  <c r="AZ137" i="4"/>
  <c r="BB137" i="4"/>
  <c r="BX137" i="4"/>
  <c r="BZ137" i="4"/>
  <c r="CA137" i="4"/>
  <c r="CR137" i="4" s="1"/>
  <c r="CE137" i="4"/>
  <c r="CH137" i="4"/>
  <c r="CI137" i="4"/>
  <c r="CV137" i="4"/>
  <c r="CW137" i="4"/>
  <c r="C137" i="4"/>
  <c r="Q137" i="4"/>
  <c r="S137" i="4"/>
  <c r="AB137" i="4"/>
  <c r="Q138" i="4"/>
  <c r="CP138" i="4" s="1"/>
  <c r="S138" i="4"/>
  <c r="AB138" i="4"/>
  <c r="Q139" i="4"/>
  <c r="CP139" i="4" s="1"/>
  <c r="S139" i="4"/>
  <c r="AB139" i="4"/>
  <c r="Q140" i="4"/>
  <c r="S140" i="4"/>
  <c r="AB140" i="4"/>
  <c r="Q141" i="4"/>
  <c r="S141" i="4"/>
  <c r="AB141" i="4"/>
  <c r="Q142" i="4"/>
  <c r="AD142" i="4" s="1"/>
  <c r="S142" i="4"/>
  <c r="AB142" i="4"/>
  <c r="Q143" i="4"/>
  <c r="CP143" i="4" s="1"/>
  <c r="S143" i="4"/>
  <c r="AB143" i="4"/>
  <c r="Q144" i="4"/>
  <c r="S144" i="4"/>
  <c r="AB144" i="4"/>
  <c r="Q145" i="4"/>
  <c r="S145" i="4"/>
  <c r="AB145" i="4"/>
  <c r="Q146" i="4"/>
  <c r="AD146" i="4" s="1"/>
  <c r="S146" i="4"/>
  <c r="AB146" i="4"/>
  <c r="Q147" i="4"/>
  <c r="AD147" i="4" s="1"/>
  <c r="S147" i="4"/>
  <c r="AB147" i="4"/>
  <c r="Q148" i="4"/>
  <c r="CP148" i="4" s="1"/>
  <c r="S148" i="4"/>
  <c r="AB148" i="4"/>
  <c r="Q149" i="4"/>
  <c r="AD149" i="4" s="1"/>
  <c r="S149" i="4"/>
  <c r="AB149" i="4"/>
  <c r="Q150" i="4"/>
  <c r="AD150" i="4" s="1"/>
  <c r="S150" i="4"/>
  <c r="AB150" i="4"/>
  <c r="Q151" i="4"/>
  <c r="S151" i="4"/>
  <c r="AB151" i="4"/>
  <c r="Q152" i="4"/>
  <c r="AD152" i="4" s="1"/>
  <c r="S152" i="4"/>
  <c r="AB152" i="4"/>
  <c r="Q153" i="4"/>
  <c r="CP153" i="4" s="1"/>
  <c r="S153" i="4"/>
  <c r="AB153" i="4"/>
  <c r="B137" i="4"/>
  <c r="B138" i="4"/>
  <c r="C138" i="4"/>
  <c r="B139" i="4"/>
  <c r="B140" i="4"/>
  <c r="B141" i="4"/>
  <c r="C141" i="4"/>
  <c r="B142" i="4"/>
  <c r="C142" i="4"/>
  <c r="B143" i="4"/>
  <c r="B144" i="4"/>
  <c r="C144" i="4"/>
  <c r="B145" i="4"/>
  <c r="B146" i="4"/>
  <c r="B147" i="4"/>
  <c r="C147" i="4"/>
  <c r="B148" i="4"/>
  <c r="B149" i="4"/>
  <c r="B150" i="4"/>
  <c r="B151" i="4"/>
  <c r="B152" i="4"/>
  <c r="B153" i="4"/>
  <c r="C153" i="4"/>
  <c r="T731" i="107"/>
  <c r="T732" i="107"/>
  <c r="D731" i="107"/>
  <c r="D732" i="107"/>
  <c r="AP208" i="104"/>
  <c r="AR208" i="104" s="1"/>
  <c r="AB208" i="104"/>
  <c r="AG219" i="107"/>
  <c r="AI219" i="107" s="1"/>
  <c r="Y229" i="104" s="1"/>
  <c r="AK219" i="107"/>
  <c r="AL219" i="107"/>
  <c r="AO219" i="107"/>
  <c r="AP219" i="107"/>
  <c r="V229" i="104"/>
  <c r="X229" i="104" s="1"/>
  <c r="AY118" i="4"/>
  <c r="AZ118" i="4"/>
  <c r="BB118" i="4"/>
  <c r="BX118" i="4"/>
  <c r="BZ118" i="4"/>
  <c r="CQ118" i="4" s="1"/>
  <c r="CA118" i="4"/>
  <c r="CR118" i="4" s="1"/>
  <c r="CE118" i="4"/>
  <c r="CH118" i="4"/>
  <c r="CI118" i="4"/>
  <c r="CV118" i="4"/>
  <c r="CW118" i="4"/>
  <c r="BX119" i="4"/>
  <c r="BZ119" i="4"/>
  <c r="CA119" i="4"/>
  <c r="CR119" i="4" s="1"/>
  <c r="CH119" i="4"/>
  <c r="CI119" i="4"/>
  <c r="CV119" i="4"/>
  <c r="BB120" i="4"/>
  <c r="AY120" i="4"/>
  <c r="CO120" i="4" s="1"/>
  <c r="AZ120" i="4"/>
  <c r="BX120" i="4"/>
  <c r="BZ120" i="4"/>
  <c r="CQ120" i="4" s="1"/>
  <c r="CA120" i="4"/>
  <c r="CR120" i="4" s="1"/>
  <c r="CH120" i="4"/>
  <c r="CI120" i="4"/>
  <c r="CV120" i="4"/>
  <c r="CW120" i="4"/>
  <c r="CE121" i="4"/>
  <c r="AY121" i="4"/>
  <c r="BX121" i="4"/>
  <c r="BZ121" i="4"/>
  <c r="CA121" i="4"/>
  <c r="CR121" i="4" s="1"/>
  <c r="CH121" i="4"/>
  <c r="CI121" i="4"/>
  <c r="CV121" i="4"/>
  <c r="CW122" i="4"/>
  <c r="C122" i="4"/>
  <c r="AY122" i="4"/>
  <c r="AZ122" i="4"/>
  <c r="BB122" i="4"/>
  <c r="BX122" i="4"/>
  <c r="BZ122" i="4"/>
  <c r="CQ122" i="4" s="1"/>
  <c r="CA122" i="4"/>
  <c r="CR122" i="4" s="1"/>
  <c r="CE122" i="4"/>
  <c r="CH122" i="4"/>
  <c r="CI122" i="4"/>
  <c r="CV122" i="4"/>
  <c r="AY123" i="4"/>
  <c r="BN123" i="4" s="1"/>
  <c r="BW123" i="4" s="1"/>
  <c r="AZ123" i="4"/>
  <c r="BB123" i="4"/>
  <c r="BX123" i="4"/>
  <c r="BZ123" i="4"/>
  <c r="CA123" i="4"/>
  <c r="CR123" i="4" s="1"/>
  <c r="CE123" i="4"/>
  <c r="CH123" i="4"/>
  <c r="CI123" i="4"/>
  <c r="CV123" i="4"/>
  <c r="CW123" i="4"/>
  <c r="AY124" i="4"/>
  <c r="AZ124" i="4"/>
  <c r="BB124" i="4"/>
  <c r="BX124" i="4"/>
  <c r="BZ124" i="4"/>
  <c r="CA124" i="4"/>
  <c r="CR124" i="4" s="1"/>
  <c r="CE124" i="4"/>
  <c r="CH124" i="4"/>
  <c r="CI124" i="4"/>
  <c r="CV124" i="4"/>
  <c r="CW124" i="4"/>
  <c r="C125" i="4"/>
  <c r="BX125" i="4"/>
  <c r="BZ125" i="4"/>
  <c r="CQ125" i="4" s="1"/>
  <c r="CA125" i="4"/>
  <c r="CR125" i="4" s="1"/>
  <c r="CE125" i="4"/>
  <c r="CH125" i="4"/>
  <c r="CI125" i="4"/>
  <c r="CV125" i="4"/>
  <c r="CW125" i="4"/>
  <c r="BB126" i="4"/>
  <c r="AY126" i="4"/>
  <c r="AZ126" i="4"/>
  <c r="BX126" i="4"/>
  <c r="BZ126" i="4"/>
  <c r="CQ126" i="4" s="1"/>
  <c r="CA126" i="4"/>
  <c r="CR126" i="4" s="1"/>
  <c r="CH126" i="4"/>
  <c r="CI126" i="4"/>
  <c r="CV126" i="4"/>
  <c r="CW126" i="4"/>
  <c r="BX127" i="4"/>
  <c r="BZ127" i="4"/>
  <c r="CA127" i="4"/>
  <c r="CR127" i="4" s="1"/>
  <c r="CH127" i="4"/>
  <c r="CI127" i="4"/>
  <c r="CV127" i="4"/>
  <c r="CW128" i="4"/>
  <c r="CE128" i="4"/>
  <c r="AY128" i="4"/>
  <c r="AZ128" i="4"/>
  <c r="BB128" i="4"/>
  <c r="BX128" i="4"/>
  <c r="BZ128" i="4"/>
  <c r="CQ128" i="4" s="1"/>
  <c r="CA128" i="4"/>
  <c r="CR128" i="4" s="1"/>
  <c r="CH128" i="4"/>
  <c r="CI128" i="4"/>
  <c r="CV128" i="4"/>
  <c r="AY129" i="4"/>
  <c r="AZ129" i="4"/>
  <c r="BB129" i="4"/>
  <c r="BX129" i="4"/>
  <c r="BZ129" i="4"/>
  <c r="CA129" i="4"/>
  <c r="CR129" i="4" s="1"/>
  <c r="CE129" i="4"/>
  <c r="CH129" i="4"/>
  <c r="CI129" i="4"/>
  <c r="CV129" i="4"/>
  <c r="CW129" i="4"/>
  <c r="AY130" i="4"/>
  <c r="AZ130" i="4"/>
  <c r="BB130" i="4"/>
  <c r="BX130" i="4"/>
  <c r="BZ130" i="4"/>
  <c r="CA130" i="4"/>
  <c r="CR130" i="4" s="1"/>
  <c r="CE130" i="4"/>
  <c r="CH130" i="4"/>
  <c r="CI130" i="4"/>
  <c r="CV130" i="4"/>
  <c r="CW130" i="4"/>
  <c r="C131" i="4"/>
  <c r="BX131" i="4"/>
  <c r="BZ131" i="4"/>
  <c r="CA131" i="4"/>
  <c r="CR131" i="4" s="1"/>
  <c r="CE131" i="4"/>
  <c r="CH131" i="4"/>
  <c r="CI131" i="4"/>
  <c r="CV131" i="4"/>
  <c r="CW131" i="4"/>
  <c r="BB132" i="4"/>
  <c r="AY132" i="4"/>
  <c r="AZ132" i="4"/>
  <c r="BX132" i="4"/>
  <c r="BZ132" i="4"/>
  <c r="CQ132" i="4" s="1"/>
  <c r="CA132" i="4"/>
  <c r="CR132" i="4" s="1"/>
  <c r="CH132" i="4"/>
  <c r="CI132" i="4"/>
  <c r="CV132" i="4"/>
  <c r="CW132" i="4"/>
  <c r="BX133" i="4"/>
  <c r="BZ133" i="4"/>
  <c r="CA133" i="4"/>
  <c r="CR133" i="4" s="1"/>
  <c r="CH133" i="4"/>
  <c r="CI133" i="4"/>
  <c r="CV133" i="4"/>
  <c r="CW134" i="4"/>
  <c r="C134" i="4"/>
  <c r="AY134" i="4"/>
  <c r="AZ134" i="4"/>
  <c r="BB134" i="4"/>
  <c r="BX134" i="4"/>
  <c r="BZ134" i="4"/>
  <c r="CQ134" i="4" s="1"/>
  <c r="CA134" i="4"/>
  <c r="CR134" i="4" s="1"/>
  <c r="CH134" i="4"/>
  <c r="CI134" i="4"/>
  <c r="CV134" i="4"/>
  <c r="AY135" i="4"/>
  <c r="AZ135" i="4"/>
  <c r="BB135" i="4"/>
  <c r="BX135" i="4"/>
  <c r="BZ135" i="4"/>
  <c r="CA135" i="4"/>
  <c r="CR135" i="4" s="1"/>
  <c r="CE135" i="4"/>
  <c r="CH135" i="4"/>
  <c r="CI135" i="4"/>
  <c r="CV135" i="4"/>
  <c r="CW135" i="4"/>
  <c r="C136" i="4"/>
  <c r="AY136" i="4"/>
  <c r="AZ136" i="4"/>
  <c r="BB136" i="4"/>
  <c r="BX136" i="4"/>
  <c r="BZ136" i="4"/>
  <c r="CQ136" i="4" s="1"/>
  <c r="CA136" i="4"/>
  <c r="CR136" i="4" s="1"/>
  <c r="CE136" i="4"/>
  <c r="CH136" i="4"/>
  <c r="CI136" i="4"/>
  <c r="CV136" i="4"/>
  <c r="CW136" i="4"/>
  <c r="AY117" i="4"/>
  <c r="BN117" i="4" s="1"/>
  <c r="BW117" i="4" s="1"/>
  <c r="AZ117" i="4"/>
  <c r="BB117" i="4"/>
  <c r="BX117" i="4"/>
  <c r="BZ117" i="4"/>
  <c r="CQ117" i="4" s="1"/>
  <c r="CA117" i="4"/>
  <c r="CR117" i="4" s="1"/>
  <c r="CE117" i="4"/>
  <c r="CH117" i="4"/>
  <c r="CI117" i="4"/>
  <c r="CV117" i="4"/>
  <c r="CW117" i="4"/>
  <c r="C117" i="4"/>
  <c r="Q117" i="4"/>
  <c r="AD117" i="4" s="1"/>
  <c r="S117" i="4"/>
  <c r="AB117" i="4"/>
  <c r="Q118" i="4"/>
  <c r="AD118" i="4" s="1"/>
  <c r="S118" i="4"/>
  <c r="AB118" i="4"/>
  <c r="Q119" i="4"/>
  <c r="AD119" i="4" s="1"/>
  <c r="S119" i="4"/>
  <c r="AB119" i="4"/>
  <c r="Q120" i="4"/>
  <c r="CP120" i="4" s="1"/>
  <c r="S120" i="4"/>
  <c r="AB120" i="4"/>
  <c r="Q121" i="4"/>
  <c r="S121" i="4"/>
  <c r="AB121" i="4"/>
  <c r="Q122" i="4"/>
  <c r="CP122" i="4" s="1"/>
  <c r="S122" i="4"/>
  <c r="AB122" i="4"/>
  <c r="Q123" i="4"/>
  <c r="CP123" i="4" s="1"/>
  <c r="S123" i="4"/>
  <c r="AB123" i="4"/>
  <c r="Q124" i="4"/>
  <c r="AD124" i="4" s="1"/>
  <c r="S124" i="4"/>
  <c r="AB124" i="4"/>
  <c r="Q125" i="4"/>
  <c r="S125" i="4"/>
  <c r="AB125" i="4"/>
  <c r="Q126" i="4"/>
  <c r="AD126" i="4" s="1"/>
  <c r="S126" i="4"/>
  <c r="AB126" i="4"/>
  <c r="Q127" i="4"/>
  <c r="S127" i="4"/>
  <c r="AB127" i="4"/>
  <c r="Q128" i="4"/>
  <c r="AD128" i="4" s="1"/>
  <c r="S128" i="4"/>
  <c r="AB128" i="4"/>
  <c r="Q129" i="4"/>
  <c r="AD129" i="4" s="1"/>
  <c r="S129" i="4"/>
  <c r="AB129" i="4"/>
  <c r="Q130" i="4"/>
  <c r="AD130" i="4" s="1"/>
  <c r="S130" i="4"/>
  <c r="AB130" i="4"/>
  <c r="Q131" i="4"/>
  <c r="AD131" i="4" s="1"/>
  <c r="S131" i="4"/>
  <c r="AB131" i="4"/>
  <c r="Q132" i="4"/>
  <c r="CP132" i="4" s="1"/>
  <c r="S132" i="4"/>
  <c r="AB132" i="4"/>
  <c r="Q133" i="4"/>
  <c r="S133" i="4"/>
  <c r="AB133" i="4"/>
  <c r="Q134" i="4"/>
  <c r="CP134" i="4" s="1"/>
  <c r="S134" i="4"/>
  <c r="AB134" i="4"/>
  <c r="Q135" i="4"/>
  <c r="AD135" i="4" s="1"/>
  <c r="S135" i="4"/>
  <c r="AB135" i="4"/>
  <c r="Q136" i="4"/>
  <c r="AD136" i="4" s="1"/>
  <c r="S136" i="4"/>
  <c r="AB136" i="4"/>
  <c r="B117" i="4"/>
  <c r="B118" i="4"/>
  <c r="C118" i="4"/>
  <c r="B119" i="4"/>
  <c r="B120" i="4"/>
  <c r="B121" i="4"/>
  <c r="C121" i="4"/>
  <c r="B122" i="4"/>
  <c r="B123" i="4"/>
  <c r="C123" i="4"/>
  <c r="B124" i="4"/>
  <c r="C124" i="4"/>
  <c r="B125" i="4"/>
  <c r="B126" i="4"/>
  <c r="B127" i="4"/>
  <c r="B128" i="4"/>
  <c r="C128" i="4"/>
  <c r="B129" i="4"/>
  <c r="C129" i="4"/>
  <c r="B130" i="4"/>
  <c r="C130" i="4"/>
  <c r="B131" i="4"/>
  <c r="B132" i="4"/>
  <c r="B133" i="4"/>
  <c r="B134" i="4"/>
  <c r="B135" i="4"/>
  <c r="C135" i="4"/>
  <c r="B136" i="4"/>
  <c r="I660" i="114"/>
  <c r="AF23" i="118"/>
  <c r="BP205" i="4" l="1"/>
  <c r="CN216" i="4"/>
  <c r="CG216" i="4"/>
  <c r="BP216" i="4"/>
  <c r="BP178" i="4"/>
  <c r="CN178" i="4"/>
  <c r="CG202" i="4"/>
  <c r="BP202" i="4"/>
  <c r="CN205" i="4"/>
  <c r="CN229" i="4"/>
  <c r="CG229" i="4"/>
  <c r="BP229" i="4"/>
  <c r="BQ229" i="4" s="1"/>
  <c r="CG182" i="4"/>
  <c r="CN182" i="4"/>
  <c r="BP194" i="4"/>
  <c r="CN202" i="4"/>
  <c r="CN221" i="4"/>
  <c r="CG221" i="4"/>
  <c r="BP221" i="4"/>
  <c r="BP182" i="4"/>
  <c r="BP188" i="4"/>
  <c r="CN169" i="4"/>
  <c r="CG169" i="4"/>
  <c r="BP169" i="4"/>
  <c r="CG170" i="4"/>
  <c r="CN170" i="4"/>
  <c r="BP170" i="4"/>
  <c r="CN177" i="4"/>
  <c r="CG177" i="4"/>
  <c r="BP177" i="4"/>
  <c r="CN207" i="4"/>
  <c r="CN194" i="4"/>
  <c r="CG194" i="4"/>
  <c r="CN197" i="4"/>
  <c r="CG197" i="4"/>
  <c r="CN199" i="4"/>
  <c r="CG199" i="4"/>
  <c r="BP199" i="4"/>
  <c r="CN218" i="4"/>
  <c r="CG218" i="4"/>
  <c r="BP218" i="4"/>
  <c r="CN220" i="4"/>
  <c r="CG220" i="4"/>
  <c r="BP220" i="4"/>
  <c r="BP207" i="4"/>
  <c r="BP197" i="4"/>
  <c r="BU167" i="4"/>
  <c r="BV167" i="4" s="1"/>
  <c r="BQ167" i="4"/>
  <c r="CN158" i="4"/>
  <c r="BP224" i="4"/>
  <c r="CG224" i="4"/>
  <c r="CN224" i="4"/>
  <c r="BQ226" i="4"/>
  <c r="BU226" i="4"/>
  <c r="BV226" i="4" s="1"/>
  <c r="BU164" i="4"/>
  <c r="BV164" i="4" s="1"/>
  <c r="BQ164" i="4"/>
  <c r="BQ161" i="4"/>
  <c r="BU161" i="4"/>
  <c r="BV161" i="4" s="1"/>
  <c r="BQ223" i="4"/>
  <c r="BU223" i="4"/>
  <c r="BV223" i="4" s="1"/>
  <c r="BQ225" i="4"/>
  <c r="BU225" i="4"/>
  <c r="BV225" i="4" s="1"/>
  <c r="BP222" i="4"/>
  <c r="CN222" i="4"/>
  <c r="CG222" i="4"/>
  <c r="BU224" i="4"/>
  <c r="BV224" i="4" s="1"/>
  <c r="BQ224" i="4"/>
  <c r="BU207" i="4"/>
  <c r="BV207" i="4" s="1"/>
  <c r="BQ207" i="4"/>
  <c r="CG210" i="4"/>
  <c r="BP210" i="4"/>
  <c r="CN210" i="4"/>
  <c r="CN213" i="4"/>
  <c r="BP213" i="4"/>
  <c r="CN188" i="4"/>
  <c r="CG188" i="4"/>
  <c r="CN196" i="4"/>
  <c r="BP196" i="4"/>
  <c r="BU185" i="4"/>
  <c r="BV185" i="4" s="1"/>
  <c r="BQ185" i="4"/>
  <c r="BP174" i="4"/>
  <c r="CN174" i="4"/>
  <c r="CN168" i="4"/>
  <c r="CG168" i="4"/>
  <c r="BP168" i="4"/>
  <c r="CG213" i="4"/>
  <c r="BP192" i="4"/>
  <c r="CG192" i="4"/>
  <c r="CN192" i="4"/>
  <c r="CN206" i="4"/>
  <c r="BP206" i="4"/>
  <c r="CG206" i="4"/>
  <c r="CN209" i="4"/>
  <c r="CG209" i="4"/>
  <c r="BP209" i="4"/>
  <c r="CG203" i="4"/>
  <c r="CN203" i="4"/>
  <c r="BP203" i="4"/>
  <c r="CN166" i="4"/>
  <c r="CG166" i="4"/>
  <c r="BP166" i="4"/>
  <c r="CN180" i="4"/>
  <c r="BP208" i="4"/>
  <c r="CN208" i="4"/>
  <c r="CG208" i="4"/>
  <c r="CG180" i="4"/>
  <c r="BP180" i="4"/>
  <c r="CN187" i="4"/>
  <c r="CG187" i="4"/>
  <c r="BP187" i="4"/>
  <c r="CG171" i="4"/>
  <c r="CN171" i="4"/>
  <c r="BP171" i="4"/>
  <c r="BP190" i="4"/>
  <c r="CN190" i="4"/>
  <c r="CG190" i="4"/>
  <c r="BU205" i="4"/>
  <c r="BV205" i="4" s="1"/>
  <c r="BQ205" i="4"/>
  <c r="CN175" i="4"/>
  <c r="CG175" i="4"/>
  <c r="BP175" i="4"/>
  <c r="BU186" i="4"/>
  <c r="BV186" i="4" s="1"/>
  <c r="BQ186" i="4"/>
  <c r="CN191" i="4"/>
  <c r="CG191" i="4"/>
  <c r="BP191" i="4"/>
  <c r="CN193" i="4"/>
  <c r="BP193" i="4"/>
  <c r="CG193" i="4"/>
  <c r="BQ195" i="4"/>
  <c r="BU195" i="4"/>
  <c r="BV195" i="4" s="1"/>
  <c r="BU172" i="4"/>
  <c r="BV172" i="4" s="1"/>
  <c r="BQ172" i="4"/>
  <c r="BU176" i="4"/>
  <c r="BV176" i="4" s="1"/>
  <c r="BQ176" i="4"/>
  <c r="BU179" i="4"/>
  <c r="BV179" i="4" s="1"/>
  <c r="BQ179" i="4"/>
  <c r="BQ181" i="4"/>
  <c r="BU181" i="4"/>
  <c r="BV181" i="4" s="1"/>
  <c r="BU200" i="4"/>
  <c r="BV200" i="4" s="1"/>
  <c r="BQ200" i="4"/>
  <c r="BU201" i="4"/>
  <c r="BV201" i="4" s="1"/>
  <c r="BQ201" i="4"/>
  <c r="BU216" i="4"/>
  <c r="BV216" i="4" s="1"/>
  <c r="BQ216" i="4"/>
  <c r="BU217" i="4"/>
  <c r="BV217" i="4" s="1"/>
  <c r="BQ217" i="4"/>
  <c r="BU219" i="4"/>
  <c r="BV219" i="4" s="1"/>
  <c r="BQ219" i="4"/>
  <c r="BP173" i="4"/>
  <c r="CG173" i="4"/>
  <c r="CN173" i="4"/>
  <c r="CG189" i="4"/>
  <c r="CN189" i="4"/>
  <c r="BP189" i="4"/>
  <c r="BP204" i="4"/>
  <c r="CN204" i="4"/>
  <c r="CG204" i="4"/>
  <c r="CN184" i="4"/>
  <c r="CG184" i="4"/>
  <c r="BP184" i="4"/>
  <c r="BU198" i="4"/>
  <c r="BV198" i="4" s="1"/>
  <c r="BQ198" i="4"/>
  <c r="BP211" i="4"/>
  <c r="CG211" i="4"/>
  <c r="CN211" i="4"/>
  <c r="BQ212" i="4"/>
  <c r="BU212" i="4"/>
  <c r="BV212" i="4" s="1"/>
  <c r="CN214" i="4"/>
  <c r="CG214" i="4"/>
  <c r="BP214" i="4"/>
  <c r="BQ215" i="4"/>
  <c r="BU215" i="4"/>
  <c r="BV215" i="4" s="1"/>
  <c r="BN141" i="4"/>
  <c r="BW141" i="4" s="1"/>
  <c r="BP156" i="4"/>
  <c r="CG156" i="4"/>
  <c r="BP158" i="4"/>
  <c r="BQ165" i="4"/>
  <c r="BU165" i="4"/>
  <c r="BV165" i="4" s="1"/>
  <c r="CN162" i="4"/>
  <c r="BP162" i="4"/>
  <c r="CG162" i="4"/>
  <c r="CN160" i="4"/>
  <c r="BP160" i="4"/>
  <c r="CG160" i="4"/>
  <c r="BQ163" i="4"/>
  <c r="BU163" i="4"/>
  <c r="BV163" i="4" s="1"/>
  <c r="AD143" i="4"/>
  <c r="CB139" i="4"/>
  <c r="CB150" i="4"/>
  <c r="CB145" i="4"/>
  <c r="AM143" i="4"/>
  <c r="CF143" i="4" s="1"/>
  <c r="CB151" i="4"/>
  <c r="CR148" i="4"/>
  <c r="CS148" i="4" s="1"/>
  <c r="CB143" i="4"/>
  <c r="CN155" i="4"/>
  <c r="BP155" i="4"/>
  <c r="CG155" i="4"/>
  <c r="CB149" i="4"/>
  <c r="CB146" i="4"/>
  <c r="BO144" i="4"/>
  <c r="CG144" i="4" s="1"/>
  <c r="CL146" i="4"/>
  <c r="CM146" i="4" s="1"/>
  <c r="BQ159" i="4"/>
  <c r="BU159" i="4"/>
  <c r="BV159" i="4" s="1"/>
  <c r="AD138" i="4"/>
  <c r="BP157" i="4"/>
  <c r="CG157" i="4"/>
  <c r="CN157" i="4"/>
  <c r="CB153" i="4"/>
  <c r="CL143" i="4"/>
  <c r="CM143" i="4" s="1"/>
  <c r="BY152" i="4"/>
  <c r="AD140" i="4"/>
  <c r="AM140" i="4"/>
  <c r="CF140" i="4" s="1"/>
  <c r="CP140" i="4"/>
  <c r="BY154" i="4"/>
  <c r="CB138" i="4"/>
  <c r="BY140" i="4"/>
  <c r="CB142" i="4"/>
  <c r="CB144" i="4"/>
  <c r="AM145" i="4"/>
  <c r="CF145" i="4" s="1"/>
  <c r="AM149" i="4"/>
  <c r="CF149" i="4" s="1"/>
  <c r="AM153" i="4"/>
  <c r="CF153" i="4" s="1"/>
  <c r="AM138" i="4"/>
  <c r="CF138" i="4" s="1"/>
  <c r="AD137" i="4"/>
  <c r="CP137" i="4"/>
  <c r="CQ124" i="4"/>
  <c r="CB124" i="4"/>
  <c r="BN135" i="4"/>
  <c r="AD144" i="4"/>
  <c r="CP144" i="4"/>
  <c r="CB137" i="4"/>
  <c r="CQ137" i="4"/>
  <c r="CP125" i="4"/>
  <c r="AM125" i="4"/>
  <c r="CF125" i="4" s="1"/>
  <c r="CO136" i="4"/>
  <c r="BN153" i="4"/>
  <c r="CO137" i="4"/>
  <c r="BN137" i="4"/>
  <c r="BW137" i="4" s="1"/>
  <c r="BY137" i="4" s="1"/>
  <c r="BS137" i="4"/>
  <c r="BT137" i="4" s="1"/>
  <c r="CL137" i="4"/>
  <c r="CM137" i="4" s="1"/>
  <c r="AM141" i="4"/>
  <c r="CF141" i="4" s="1"/>
  <c r="CP147" i="4"/>
  <c r="CS147" i="4" s="1"/>
  <c r="AM137" i="4"/>
  <c r="CF137" i="4" s="1"/>
  <c r="CP146" i="4"/>
  <c r="CP145" i="4"/>
  <c r="CQ144" i="4"/>
  <c r="BY144" i="4"/>
  <c r="AM151" i="4"/>
  <c r="CF151" i="4" s="1"/>
  <c r="CP152" i="4"/>
  <c r="CQ142" i="4"/>
  <c r="AD153" i="4"/>
  <c r="AM150" i="4"/>
  <c r="CF150" i="4" s="1"/>
  <c r="AD145" i="4"/>
  <c r="AM142" i="4"/>
  <c r="CF142" i="4" s="1"/>
  <c r="CP151" i="4"/>
  <c r="CL149" i="4"/>
  <c r="CM149" i="4" s="1"/>
  <c r="CP142" i="4"/>
  <c r="CO154" i="4"/>
  <c r="BS154" i="4"/>
  <c r="BT154" i="4" s="1"/>
  <c r="AM148" i="4"/>
  <c r="CF148" i="4" s="1"/>
  <c r="AD148" i="4"/>
  <c r="CP150" i="4"/>
  <c r="BS142" i="4"/>
  <c r="BT142" i="4" s="1"/>
  <c r="CB140" i="4"/>
  <c r="CP154" i="4"/>
  <c r="CP149" i="4"/>
  <c r="CB147" i="4"/>
  <c r="CL144" i="4"/>
  <c r="CM144" i="4" s="1"/>
  <c r="CB141" i="4"/>
  <c r="CB154" i="4"/>
  <c r="CQ141" i="4"/>
  <c r="CL154" i="4"/>
  <c r="CM154" i="4" s="1"/>
  <c r="AM147" i="4"/>
  <c r="CF147" i="4" s="1"/>
  <c r="CP141" i="4"/>
  <c r="AM117" i="4"/>
  <c r="CF117" i="4" s="1"/>
  <c r="AM152" i="4"/>
  <c r="CF152" i="4" s="1"/>
  <c r="AM139" i="4"/>
  <c r="CF139" i="4" s="1"/>
  <c r="BS148" i="4"/>
  <c r="BT148" i="4" s="1"/>
  <c r="BN143" i="4"/>
  <c r="BW143" i="4" s="1"/>
  <c r="BY143" i="4" s="1"/>
  <c r="BO154" i="4"/>
  <c r="AM128" i="4"/>
  <c r="CF128" i="4" s="1"/>
  <c r="AD141" i="4"/>
  <c r="CQ140" i="4"/>
  <c r="AM154" i="4"/>
  <c r="CF154" i="4" s="1"/>
  <c r="BN148" i="4"/>
  <c r="BW148" i="4" s="1"/>
  <c r="BY148" i="4" s="1"/>
  <c r="CO153" i="4"/>
  <c r="CS153" i="4" s="1"/>
  <c r="CO152" i="4"/>
  <c r="BS149" i="4"/>
  <c r="BT149" i="4" s="1"/>
  <c r="CO146" i="4"/>
  <c r="BN147" i="4"/>
  <c r="BW147" i="4" s="1"/>
  <c r="BY147" i="4" s="1"/>
  <c r="CO144" i="4"/>
  <c r="BS144" i="4"/>
  <c r="BT144" i="4" s="1"/>
  <c r="BS143" i="4"/>
  <c r="BT143" i="4" s="1"/>
  <c r="BN149" i="4"/>
  <c r="BW149" i="4" s="1"/>
  <c r="BY149" i="4" s="1"/>
  <c r="BN142" i="4"/>
  <c r="BW142" i="4" s="1"/>
  <c r="BY142" i="4" s="1"/>
  <c r="CO140" i="4"/>
  <c r="CO143" i="4"/>
  <c r="CS143" i="4" s="1"/>
  <c r="CO142" i="4"/>
  <c r="CO151" i="4"/>
  <c r="BN151" i="4"/>
  <c r="BW151" i="4" s="1"/>
  <c r="BY151" i="4" s="1"/>
  <c r="BS151" i="4"/>
  <c r="BT151" i="4" s="1"/>
  <c r="CL151" i="4"/>
  <c r="CM151" i="4" s="1"/>
  <c r="C151" i="4"/>
  <c r="CE151" i="4"/>
  <c r="CO139" i="4"/>
  <c r="BN139" i="4"/>
  <c r="BW139" i="4" s="1"/>
  <c r="BY139" i="4" s="1"/>
  <c r="CL139" i="4"/>
  <c r="CM139" i="4" s="1"/>
  <c r="BS139" i="4"/>
  <c r="BT139" i="4" s="1"/>
  <c r="CE150" i="4"/>
  <c r="C150" i="4"/>
  <c r="CO145" i="4"/>
  <c r="BN145" i="4"/>
  <c r="BW145" i="4" s="1"/>
  <c r="BY145" i="4" s="1"/>
  <c r="CL145" i="4"/>
  <c r="CM145" i="4" s="1"/>
  <c r="BS145" i="4"/>
  <c r="BT145" i="4" s="1"/>
  <c r="CL138" i="4"/>
  <c r="CM138" i="4" s="1"/>
  <c r="CO138" i="4"/>
  <c r="CS138" i="4" s="1"/>
  <c r="BS138" i="4"/>
  <c r="BT138" i="4" s="1"/>
  <c r="BN138" i="4"/>
  <c r="BW138" i="4" s="1"/>
  <c r="BY138" i="4" s="1"/>
  <c r="C145" i="4"/>
  <c r="CW152" i="4"/>
  <c r="BS152" i="4"/>
  <c r="BT152" i="4" s="1"/>
  <c r="CO149" i="4"/>
  <c r="CW146" i="4"/>
  <c r="BS146" i="4"/>
  <c r="BT146" i="4" s="1"/>
  <c r="CW140" i="4"/>
  <c r="BS140" i="4"/>
  <c r="BT140" i="4" s="1"/>
  <c r="CE139" i="4"/>
  <c r="C152" i="4"/>
  <c r="CL152" i="4"/>
  <c r="CM152" i="4" s="1"/>
  <c r="CW145" i="4"/>
  <c r="CW139" i="4"/>
  <c r="CL153" i="4"/>
  <c r="CM153" i="4" s="1"/>
  <c r="CL147" i="4"/>
  <c r="CM147" i="4" s="1"/>
  <c r="CR151" i="4"/>
  <c r="CL148" i="4"/>
  <c r="CM148" i="4" s="1"/>
  <c r="CR145" i="4"/>
  <c r="CL142" i="4"/>
  <c r="CM142" i="4" s="1"/>
  <c r="CR139" i="4"/>
  <c r="C140" i="4"/>
  <c r="CW151" i="4"/>
  <c r="CB152" i="4"/>
  <c r="BO152" i="4"/>
  <c r="BB151" i="4"/>
  <c r="AY150" i="4"/>
  <c r="CR146" i="4"/>
  <c r="BB145" i="4"/>
  <c r="BO140" i="4"/>
  <c r="BB139" i="4"/>
  <c r="CL140" i="4"/>
  <c r="CM140" i="4" s="1"/>
  <c r="CL141" i="4"/>
  <c r="CM141" i="4" s="1"/>
  <c r="BS153" i="4"/>
  <c r="BT153" i="4" s="1"/>
  <c r="BS147" i="4"/>
  <c r="BT147" i="4" s="1"/>
  <c r="BS141" i="4"/>
  <c r="BT141" i="4" s="1"/>
  <c r="AZ151" i="4"/>
  <c r="BN146" i="4"/>
  <c r="BW146" i="4" s="1"/>
  <c r="BY146" i="4" s="1"/>
  <c r="AZ145" i="4"/>
  <c r="AZ139" i="4"/>
  <c r="AD151" i="4"/>
  <c r="AM146" i="4"/>
  <c r="CF146" i="4" s="1"/>
  <c r="AD139" i="4"/>
  <c r="AM144" i="4"/>
  <c r="CP117" i="4"/>
  <c r="CP130" i="4"/>
  <c r="CL118" i="4"/>
  <c r="CM118" i="4" s="1"/>
  <c r="CB122" i="4"/>
  <c r="BS136" i="4"/>
  <c r="BT136" i="4" s="1"/>
  <c r="CB130" i="4"/>
  <c r="AD134" i="4"/>
  <c r="AM134" i="4"/>
  <c r="CF134" i="4" s="1"/>
  <c r="CB131" i="4"/>
  <c r="CB119" i="4"/>
  <c r="BY117" i="4"/>
  <c r="CB125" i="4"/>
  <c r="CL130" i="4"/>
  <c r="CM130" i="4" s="1"/>
  <c r="BS132" i="4"/>
  <c r="BT132" i="4" s="1"/>
  <c r="CP128" i="4"/>
  <c r="AM133" i="4"/>
  <c r="CF133" i="4" s="1"/>
  <c r="CP131" i="4"/>
  <c r="CB126" i="4"/>
  <c r="CP136" i="4"/>
  <c r="CQ131" i="4"/>
  <c r="AM118" i="4"/>
  <c r="CF118" i="4" s="1"/>
  <c r="CB132" i="4"/>
  <c r="CB118" i="4"/>
  <c r="CP126" i="4"/>
  <c r="AM129" i="4"/>
  <c r="CF129" i="4" s="1"/>
  <c r="CL129" i="4"/>
  <c r="CM129" i="4" s="1"/>
  <c r="CL136" i="4"/>
  <c r="CM136" i="4" s="1"/>
  <c r="CQ130" i="4"/>
  <c r="BS123" i="4"/>
  <c r="BT123" i="4" s="1"/>
  <c r="AM120" i="4"/>
  <c r="CF120" i="4" s="1"/>
  <c r="AM123" i="4"/>
  <c r="CF123" i="4" s="1"/>
  <c r="AD120" i="4"/>
  <c r="CO135" i="4"/>
  <c r="BS126" i="4"/>
  <c r="BT126" i="4" s="1"/>
  <c r="CP133" i="4"/>
  <c r="AM127" i="4"/>
  <c r="CF127" i="4" s="1"/>
  <c r="AD123" i="4"/>
  <c r="CB117" i="4"/>
  <c r="CB134" i="4"/>
  <c r="CB120" i="4"/>
  <c r="BY123" i="4"/>
  <c r="BS129" i="4"/>
  <c r="BT129" i="4" s="1"/>
  <c r="BO123" i="4"/>
  <c r="CG123" i="4" s="1"/>
  <c r="CQ119" i="4"/>
  <c r="AD133" i="4"/>
  <c r="AM130" i="4"/>
  <c r="CF130" i="4" s="1"/>
  <c r="AD125" i="4"/>
  <c r="AM122" i="4"/>
  <c r="CF122" i="4" s="1"/>
  <c r="BN136" i="4"/>
  <c r="CB128" i="4"/>
  <c r="CO123" i="4"/>
  <c r="CP119" i="4"/>
  <c r="CO118" i="4"/>
  <c r="BS118" i="4"/>
  <c r="BT118" i="4" s="1"/>
  <c r="BS135" i="4"/>
  <c r="BT135" i="4" s="1"/>
  <c r="CP127" i="4"/>
  <c r="CP118" i="4"/>
  <c r="AD122" i="4"/>
  <c r="CP129" i="4"/>
  <c r="BS124" i="4"/>
  <c r="BT124" i="4" s="1"/>
  <c r="BN129" i="4"/>
  <c r="BW129" i="4" s="1"/>
  <c r="BY129" i="4" s="1"/>
  <c r="CO124" i="4"/>
  <c r="AM132" i="4"/>
  <c r="CF132" i="4" s="1"/>
  <c r="AD127" i="4"/>
  <c r="CB136" i="4"/>
  <c r="CB135" i="4"/>
  <c r="BN118" i="4"/>
  <c r="CS120" i="4"/>
  <c r="AM121" i="4"/>
  <c r="CF121" i="4" s="1"/>
  <c r="CP135" i="4"/>
  <c r="CB129" i="4"/>
  <c r="CL124" i="4"/>
  <c r="CM124" i="4" s="1"/>
  <c r="CP121" i="4"/>
  <c r="AM135" i="4"/>
  <c r="CF135" i="4" s="1"/>
  <c r="CL135" i="4"/>
  <c r="CM135" i="4" s="1"/>
  <c r="CO129" i="4"/>
  <c r="CP124" i="4"/>
  <c r="CL123" i="4"/>
  <c r="CM123" i="4" s="1"/>
  <c r="AD132" i="4"/>
  <c r="AD121" i="4"/>
  <c r="BN124" i="4"/>
  <c r="BW124" i="4" s="1"/>
  <c r="BY124" i="4" s="1"/>
  <c r="BS120" i="4"/>
  <c r="BT120" i="4" s="1"/>
  <c r="AM219" i="107"/>
  <c r="CO117" i="4"/>
  <c r="CL117" i="4"/>
  <c r="CM117" i="4" s="1"/>
  <c r="BS130" i="4"/>
  <c r="BT130" i="4" s="1"/>
  <c r="CO130" i="4"/>
  <c r="BN130" i="4"/>
  <c r="BW130" i="4" s="1"/>
  <c r="BY130" i="4" s="1"/>
  <c r="BO117" i="4"/>
  <c r="BS117" i="4"/>
  <c r="BT117" i="4" s="1"/>
  <c r="CE133" i="4"/>
  <c r="C133" i="4"/>
  <c r="BS134" i="4"/>
  <c r="BT134" i="4" s="1"/>
  <c r="BN134" i="4"/>
  <c r="BW134" i="4" s="1"/>
  <c r="BY134" i="4" s="1"/>
  <c r="CL134" i="4"/>
  <c r="CM134" i="4" s="1"/>
  <c r="CO134" i="4"/>
  <c r="CS134" i="4" s="1"/>
  <c r="CB127" i="4"/>
  <c r="CQ127" i="4"/>
  <c r="BN132" i="4"/>
  <c r="BW132" i="4" s="1"/>
  <c r="BY132" i="4" s="1"/>
  <c r="CO132" i="4"/>
  <c r="CS132" i="4" s="1"/>
  <c r="CL132" i="4"/>
  <c r="CM132" i="4" s="1"/>
  <c r="CW127" i="4"/>
  <c r="AY127" i="4"/>
  <c r="BB127" i="4"/>
  <c r="AZ127" i="4"/>
  <c r="CB123" i="4"/>
  <c r="CQ123" i="4"/>
  <c r="BS121" i="4"/>
  <c r="BT121" i="4" s="1"/>
  <c r="CL121" i="4"/>
  <c r="CM121" i="4" s="1"/>
  <c r="CO121" i="4"/>
  <c r="BN121" i="4"/>
  <c r="BW121" i="4" s="1"/>
  <c r="BY121" i="4" s="1"/>
  <c r="CL122" i="4"/>
  <c r="CM122" i="4" s="1"/>
  <c r="BS122" i="4"/>
  <c r="BT122" i="4" s="1"/>
  <c r="BN122" i="4"/>
  <c r="BW122" i="4" s="1"/>
  <c r="BY122" i="4" s="1"/>
  <c r="CO122" i="4"/>
  <c r="CS122" i="4" s="1"/>
  <c r="CB133" i="4"/>
  <c r="CQ133" i="4"/>
  <c r="BN126" i="4"/>
  <c r="BW126" i="4" s="1"/>
  <c r="BY126" i="4" s="1"/>
  <c r="CO126" i="4"/>
  <c r="CL126" i="4"/>
  <c r="CM126" i="4" s="1"/>
  <c r="CW133" i="4"/>
  <c r="AZ133" i="4"/>
  <c r="BB133" i="4"/>
  <c r="CE134" i="4"/>
  <c r="CE132" i="4"/>
  <c r="C132" i="4"/>
  <c r="CL128" i="4"/>
  <c r="CM128" i="4" s="1"/>
  <c r="BS128" i="4"/>
  <c r="BT128" i="4" s="1"/>
  <c r="BN128" i="4"/>
  <c r="BW128" i="4" s="1"/>
  <c r="BY128" i="4" s="1"/>
  <c r="CO128" i="4"/>
  <c r="CQ129" i="4"/>
  <c r="CW121" i="4"/>
  <c r="AZ121" i="4"/>
  <c r="BB121" i="4"/>
  <c r="CQ135" i="4"/>
  <c r="AY133" i="4"/>
  <c r="CE120" i="4"/>
  <c r="C120" i="4"/>
  <c r="AY125" i="4"/>
  <c r="BB125" i="4"/>
  <c r="AZ125" i="4"/>
  <c r="AY119" i="4"/>
  <c r="AZ119" i="4"/>
  <c r="BB119" i="4"/>
  <c r="C126" i="4"/>
  <c r="CE126" i="4"/>
  <c r="CB121" i="4"/>
  <c r="BN120" i="4"/>
  <c r="BW120" i="4" s="1"/>
  <c r="BY120" i="4" s="1"/>
  <c r="CQ121" i="4"/>
  <c r="AY131" i="4"/>
  <c r="BB131" i="4"/>
  <c r="AZ131" i="4"/>
  <c r="CW119" i="4"/>
  <c r="CL120" i="4"/>
  <c r="CM120" i="4" s="1"/>
  <c r="AM136" i="4"/>
  <c r="CF136" i="4" s="1"/>
  <c r="AM124" i="4"/>
  <c r="CF124" i="4" s="1"/>
  <c r="AM131" i="4"/>
  <c r="CF131" i="4" s="1"/>
  <c r="AM119" i="4"/>
  <c r="CF119" i="4" s="1"/>
  <c r="AM126" i="4"/>
  <c r="CF126" i="4" s="1"/>
  <c r="AY111" i="4"/>
  <c r="AZ111" i="4"/>
  <c r="BB111" i="4"/>
  <c r="BX111" i="4"/>
  <c r="BZ111" i="4"/>
  <c r="CQ111" i="4" s="1"/>
  <c r="CA111" i="4"/>
  <c r="CR111" i="4" s="1"/>
  <c r="CE111" i="4"/>
  <c r="CH111" i="4"/>
  <c r="CI111" i="4"/>
  <c r="CV111" i="4"/>
  <c r="CW111" i="4"/>
  <c r="AY112" i="4"/>
  <c r="AZ112" i="4"/>
  <c r="BB112" i="4"/>
  <c r="BX112" i="4"/>
  <c r="BZ112" i="4"/>
  <c r="CQ112" i="4" s="1"/>
  <c r="CA112" i="4"/>
  <c r="CR112" i="4" s="1"/>
  <c r="CE112" i="4"/>
  <c r="CH112" i="4"/>
  <c r="CI112" i="4"/>
  <c r="CV112" i="4"/>
  <c r="CW112" i="4"/>
  <c r="AY113" i="4"/>
  <c r="BN113" i="4" s="1"/>
  <c r="BW113" i="4" s="1"/>
  <c r="AZ113" i="4"/>
  <c r="BB113" i="4"/>
  <c r="BX113" i="4"/>
  <c r="BZ113" i="4"/>
  <c r="CQ113" i="4" s="1"/>
  <c r="CA113" i="4"/>
  <c r="CR113" i="4" s="1"/>
  <c r="CE113" i="4"/>
  <c r="CH113" i="4"/>
  <c r="CI113" i="4"/>
  <c r="CV113" i="4"/>
  <c r="CW113" i="4"/>
  <c r="AY114" i="4"/>
  <c r="AZ114" i="4"/>
  <c r="BB114" i="4"/>
  <c r="BX114" i="4"/>
  <c r="BZ114" i="4"/>
  <c r="CQ114" i="4" s="1"/>
  <c r="CA114" i="4"/>
  <c r="CR114" i="4" s="1"/>
  <c r="CE114" i="4"/>
  <c r="CH114" i="4"/>
  <c r="CI114" i="4"/>
  <c r="CV114" i="4"/>
  <c r="CW114" i="4"/>
  <c r="AY115" i="4"/>
  <c r="BN115" i="4" s="1"/>
  <c r="BW115" i="4" s="1"/>
  <c r="AZ115" i="4"/>
  <c r="BB115" i="4"/>
  <c r="BX115" i="4"/>
  <c r="BZ115" i="4"/>
  <c r="CA115" i="4"/>
  <c r="CR115" i="4" s="1"/>
  <c r="CE115" i="4"/>
  <c r="CH115" i="4"/>
  <c r="CI115" i="4"/>
  <c r="CV115" i="4"/>
  <c r="CW115" i="4"/>
  <c r="AY116" i="4"/>
  <c r="AZ116" i="4"/>
  <c r="BB116" i="4"/>
  <c r="BX116" i="4"/>
  <c r="BZ116" i="4"/>
  <c r="CQ116" i="4" s="1"/>
  <c r="CA116" i="4"/>
  <c r="CR116" i="4" s="1"/>
  <c r="CE116" i="4"/>
  <c r="CH116" i="4"/>
  <c r="CI116" i="4"/>
  <c r="CV116" i="4"/>
  <c r="CW116" i="4"/>
  <c r="BU196" i="4" l="1"/>
  <c r="BV196" i="4" s="1"/>
  <c r="BQ196" i="4"/>
  <c r="BU197" i="4"/>
  <c r="BV197" i="4" s="1"/>
  <c r="BQ197" i="4"/>
  <c r="BU178" i="4"/>
  <c r="BV178" i="4" s="1"/>
  <c r="BQ178" i="4"/>
  <c r="BU202" i="4"/>
  <c r="BV202" i="4" s="1"/>
  <c r="BQ202" i="4"/>
  <c r="BQ194" i="4"/>
  <c r="BU194" i="4"/>
  <c r="BV194" i="4" s="1"/>
  <c r="BU182" i="4"/>
  <c r="BV182" i="4" s="1"/>
  <c r="BQ182" i="4"/>
  <c r="BU188" i="4"/>
  <c r="BV188" i="4" s="1"/>
  <c r="BQ188" i="4"/>
  <c r="BU169" i="4"/>
  <c r="BV169" i="4" s="1"/>
  <c r="BQ169" i="4"/>
  <c r="BU170" i="4"/>
  <c r="BV170" i="4" s="1"/>
  <c r="BQ170" i="4"/>
  <c r="BU177" i="4"/>
  <c r="BV177" i="4" s="1"/>
  <c r="BQ177" i="4"/>
  <c r="BU199" i="4"/>
  <c r="BV199" i="4" s="1"/>
  <c r="BQ199" i="4"/>
  <c r="BU218" i="4"/>
  <c r="BV218" i="4" s="1"/>
  <c r="BQ218" i="4"/>
  <c r="BU220" i="4"/>
  <c r="BV220" i="4" s="1"/>
  <c r="BQ220" i="4"/>
  <c r="BU221" i="4"/>
  <c r="BV221" i="4" s="1"/>
  <c r="BQ221" i="4"/>
  <c r="BU174" i="4"/>
  <c r="BV174" i="4" s="1"/>
  <c r="BQ174" i="4"/>
  <c r="BU168" i="4"/>
  <c r="BV168" i="4" s="1"/>
  <c r="BQ168" i="4"/>
  <c r="BQ210" i="4"/>
  <c r="BU210" i="4"/>
  <c r="BV210" i="4" s="1"/>
  <c r="BU213" i="4"/>
  <c r="BV213" i="4" s="1"/>
  <c r="BQ213" i="4"/>
  <c r="BU192" i="4"/>
  <c r="BV192" i="4" s="1"/>
  <c r="BQ192" i="4"/>
  <c r="BQ214" i="4"/>
  <c r="BU214" i="4"/>
  <c r="BV214" i="4" s="1"/>
  <c r="BU184" i="4"/>
  <c r="BV184" i="4" s="1"/>
  <c r="BQ184" i="4"/>
  <c r="BU211" i="4"/>
  <c r="BV211" i="4" s="1"/>
  <c r="BQ211" i="4"/>
  <c r="BU222" i="4"/>
  <c r="BV222" i="4" s="1"/>
  <c r="BQ222" i="4"/>
  <c r="BO120" i="4"/>
  <c r="BU206" i="4"/>
  <c r="BV206" i="4" s="1"/>
  <c r="BQ206" i="4"/>
  <c r="BQ209" i="4"/>
  <c r="BU209" i="4"/>
  <c r="BV209" i="4" s="1"/>
  <c r="BU203" i="4"/>
  <c r="BV203" i="4" s="1"/>
  <c r="BQ203" i="4"/>
  <c r="BU166" i="4"/>
  <c r="BV166" i="4" s="1"/>
  <c r="BQ166" i="4"/>
  <c r="BQ208" i="4"/>
  <c r="BU208" i="4"/>
  <c r="BV208" i="4" s="1"/>
  <c r="BU180" i="4"/>
  <c r="BV180" i="4" s="1"/>
  <c r="BQ180" i="4"/>
  <c r="BU187" i="4"/>
  <c r="BV187" i="4" s="1"/>
  <c r="BQ187" i="4"/>
  <c r="BU171" i="4"/>
  <c r="BV171" i="4" s="1"/>
  <c r="BQ171" i="4"/>
  <c r="BU190" i="4"/>
  <c r="BV190" i="4" s="1"/>
  <c r="BQ190" i="4"/>
  <c r="BU175" i="4"/>
  <c r="BV175" i="4" s="1"/>
  <c r="BQ175" i="4"/>
  <c r="BU191" i="4"/>
  <c r="BV191" i="4" s="1"/>
  <c r="BQ191" i="4"/>
  <c r="BU193" i="4"/>
  <c r="BV193" i="4" s="1"/>
  <c r="BQ193" i="4"/>
  <c r="BY141" i="4"/>
  <c r="BO141" i="4"/>
  <c r="CG141" i="4" s="1"/>
  <c r="BU173" i="4"/>
  <c r="BV173" i="4" s="1"/>
  <c r="BQ173" i="4"/>
  <c r="BU189" i="4"/>
  <c r="BV189" i="4" s="1"/>
  <c r="BQ189" i="4"/>
  <c r="BQ204" i="4"/>
  <c r="BU204" i="4"/>
  <c r="BV204" i="4" s="1"/>
  <c r="BQ156" i="4"/>
  <c r="BU156" i="4"/>
  <c r="BV156" i="4" s="1"/>
  <c r="BU158" i="4"/>
  <c r="BV158" i="4" s="1"/>
  <c r="BQ158" i="4"/>
  <c r="BQ162" i="4"/>
  <c r="BU162" i="4"/>
  <c r="BV162" i="4" s="1"/>
  <c r="BU160" i="4"/>
  <c r="BV160" i="4" s="1"/>
  <c r="BQ160" i="4"/>
  <c r="AN219" i="107"/>
  <c r="BO145" i="4"/>
  <c r="CN144" i="4"/>
  <c r="BO115" i="4"/>
  <c r="CG115" i="4" s="1"/>
  <c r="CS137" i="4"/>
  <c r="CS149" i="4"/>
  <c r="BU157" i="4"/>
  <c r="BV157" i="4" s="1"/>
  <c r="BQ157" i="4"/>
  <c r="BQ155" i="4"/>
  <c r="BU155" i="4"/>
  <c r="BV155" i="4" s="1"/>
  <c r="CS141" i="4"/>
  <c r="CS140" i="4"/>
  <c r="CS154" i="4"/>
  <c r="CN154" i="4"/>
  <c r="CS152" i="4"/>
  <c r="CS146" i="4"/>
  <c r="CS144" i="4"/>
  <c r="CS142" i="4"/>
  <c r="CS128" i="4"/>
  <c r="BW135" i="4"/>
  <c r="BY135" i="4" s="1"/>
  <c r="BO135" i="4"/>
  <c r="BW153" i="4"/>
  <c r="BY153" i="4" s="1"/>
  <c r="BO153" i="4"/>
  <c r="BP153" i="4" s="1"/>
  <c r="CF144" i="4"/>
  <c r="BP144" i="4"/>
  <c r="BW118" i="4"/>
  <c r="BY118" i="4" s="1"/>
  <c r="BO118" i="4"/>
  <c r="CO114" i="4"/>
  <c r="CS136" i="4"/>
  <c r="BP154" i="4"/>
  <c r="CO115" i="4"/>
  <c r="BO138" i="4"/>
  <c r="CN138" i="4" s="1"/>
  <c r="CG154" i="4"/>
  <c r="BO137" i="4"/>
  <c r="BN111" i="4"/>
  <c r="BO111" i="4" s="1"/>
  <c r="CG111" i="4" s="1"/>
  <c r="BO143" i="4"/>
  <c r="CS135" i="4"/>
  <c r="BO148" i="4"/>
  <c r="BO149" i="4"/>
  <c r="BP149" i="4" s="1"/>
  <c r="BO139" i="4"/>
  <c r="CN139" i="4" s="1"/>
  <c r="BO147" i="4"/>
  <c r="BO151" i="4"/>
  <c r="CN151" i="4" s="1"/>
  <c r="BO142" i="4"/>
  <c r="CE146" i="4"/>
  <c r="C146" i="4"/>
  <c r="CL150" i="4"/>
  <c r="CM150" i="4" s="1"/>
  <c r="CO150" i="4"/>
  <c r="CS150" i="4" s="1"/>
  <c r="BN150" i="4"/>
  <c r="BW150" i="4" s="1"/>
  <c r="BY150" i="4" s="1"/>
  <c r="BS150" i="4"/>
  <c r="BT150" i="4" s="1"/>
  <c r="C148" i="4"/>
  <c r="CE148" i="4"/>
  <c r="BP140" i="4"/>
  <c r="CN140" i="4"/>
  <c r="CG140" i="4"/>
  <c r="BO146" i="4"/>
  <c r="CS139" i="4"/>
  <c r="BP152" i="4"/>
  <c r="CN152" i="4"/>
  <c r="CG152" i="4"/>
  <c r="CS145" i="4"/>
  <c r="CS151" i="4"/>
  <c r="CS117" i="4"/>
  <c r="CS130" i="4"/>
  <c r="CS124" i="4"/>
  <c r="CS118" i="4"/>
  <c r="CB111" i="4"/>
  <c r="CB114" i="4"/>
  <c r="CB113" i="4"/>
  <c r="CS126" i="4"/>
  <c r="CS123" i="4"/>
  <c r="CN123" i="4"/>
  <c r="BP123" i="4"/>
  <c r="CS129" i="4"/>
  <c r="BO129" i="4"/>
  <c r="CO113" i="4"/>
  <c r="BW136" i="4"/>
  <c r="BY136" i="4" s="1"/>
  <c r="BO136" i="4"/>
  <c r="BO124" i="4"/>
  <c r="BO122" i="4"/>
  <c r="BP122" i="4" s="1"/>
  <c r="BO132" i="4"/>
  <c r="BP132" i="4" s="1"/>
  <c r="CN117" i="4"/>
  <c r="BP117" i="4"/>
  <c r="CG117" i="4"/>
  <c r="BO121" i="4"/>
  <c r="CN121" i="4" s="1"/>
  <c r="BO130" i="4"/>
  <c r="BO134" i="4"/>
  <c r="CG134" i="4" s="1"/>
  <c r="CO131" i="4"/>
  <c r="CS131" i="4" s="1"/>
  <c r="BN131" i="4"/>
  <c r="BW131" i="4" s="1"/>
  <c r="BY131" i="4" s="1"/>
  <c r="BS131" i="4"/>
  <c r="BT131" i="4" s="1"/>
  <c r="CL131" i="4"/>
  <c r="CM131" i="4" s="1"/>
  <c r="CO125" i="4"/>
  <c r="CS125" i="4" s="1"/>
  <c r="BN125" i="4"/>
  <c r="BW125" i="4" s="1"/>
  <c r="BY125" i="4" s="1"/>
  <c r="BS125" i="4"/>
  <c r="BT125" i="4" s="1"/>
  <c r="CL125" i="4"/>
  <c r="CM125" i="4" s="1"/>
  <c r="BO126" i="4"/>
  <c r="CE127" i="4"/>
  <c r="C127" i="4"/>
  <c r="BS133" i="4"/>
  <c r="BT133" i="4" s="1"/>
  <c r="CO133" i="4"/>
  <c r="CS133" i="4" s="1"/>
  <c r="CL133" i="4"/>
  <c r="CM133" i="4" s="1"/>
  <c r="BN133" i="4"/>
  <c r="BW133" i="4" s="1"/>
  <c r="BY133" i="4" s="1"/>
  <c r="BS127" i="4"/>
  <c r="BT127" i="4" s="1"/>
  <c r="BN127" i="4"/>
  <c r="BW127" i="4" s="1"/>
  <c r="BY127" i="4" s="1"/>
  <c r="CO127" i="4"/>
  <c r="CS127" i="4" s="1"/>
  <c r="CL127" i="4"/>
  <c r="CM127" i="4" s="1"/>
  <c r="C119" i="4"/>
  <c r="CE119" i="4"/>
  <c r="CO119" i="4"/>
  <c r="CS119" i="4" s="1"/>
  <c r="BN119" i="4"/>
  <c r="BW119" i="4" s="1"/>
  <c r="BY119" i="4" s="1"/>
  <c r="BS119" i="4"/>
  <c r="BT119" i="4" s="1"/>
  <c r="CL119" i="4"/>
  <c r="CM119" i="4" s="1"/>
  <c r="BO128" i="4"/>
  <c r="CS121" i="4"/>
  <c r="BO113" i="4"/>
  <c r="CG113" i="4" s="1"/>
  <c r="CB115" i="4"/>
  <c r="CO111" i="4"/>
  <c r="CB116" i="4"/>
  <c r="BY113" i="4"/>
  <c r="BN116" i="4"/>
  <c r="BW116" i="4" s="1"/>
  <c r="BY116" i="4" s="1"/>
  <c r="CB112" i="4"/>
  <c r="CO112" i="4"/>
  <c r="BY115" i="4"/>
  <c r="CO116" i="4"/>
  <c r="CQ115" i="4"/>
  <c r="BN112" i="4"/>
  <c r="BW112" i="4" s="1"/>
  <c r="BY112" i="4" s="1"/>
  <c r="BN114" i="4"/>
  <c r="BW114" i="4" s="1"/>
  <c r="BY114" i="4" s="1"/>
  <c r="BP145" i="4" l="1"/>
  <c r="BP120" i="4"/>
  <c r="CN120" i="4"/>
  <c r="CG120" i="4"/>
  <c r="CG145" i="4"/>
  <c r="BP141" i="4"/>
  <c r="BQ141" i="4" s="1"/>
  <c r="CN141" i="4"/>
  <c r="CN145" i="4"/>
  <c r="CG138" i="4"/>
  <c r="BU141" i="4"/>
  <c r="BV141" i="4" s="1"/>
  <c r="BP138" i="4"/>
  <c r="CN153" i="4"/>
  <c r="CG153" i="4"/>
  <c r="CG135" i="4"/>
  <c r="BP135" i="4"/>
  <c r="CN135" i="4"/>
  <c r="BQ144" i="4"/>
  <c r="BU144" i="4"/>
  <c r="BV144" i="4" s="1"/>
  <c r="BQ154" i="4"/>
  <c r="BU154" i="4"/>
  <c r="BV154" i="4" s="1"/>
  <c r="CN118" i="4"/>
  <c r="CG118" i="4"/>
  <c r="BP118" i="4"/>
  <c r="BO119" i="4"/>
  <c r="CN119" i="4" s="1"/>
  <c r="CN137" i="4"/>
  <c r="BP137" i="4"/>
  <c r="CG137" i="4"/>
  <c r="BW111" i="4"/>
  <c r="BY111" i="4" s="1"/>
  <c r="BP139" i="4"/>
  <c r="CG139" i="4"/>
  <c r="CG149" i="4"/>
  <c r="CN149" i="4"/>
  <c r="CN143" i="4"/>
  <c r="CG143" i="4"/>
  <c r="BP143" i="4"/>
  <c r="CG148" i="4"/>
  <c r="BP148" i="4"/>
  <c r="CN148" i="4"/>
  <c r="BP151" i="4"/>
  <c r="CG142" i="4"/>
  <c r="BP142" i="4"/>
  <c r="CN142" i="4"/>
  <c r="CG151" i="4"/>
  <c r="BU149" i="4"/>
  <c r="BV149" i="4" s="1"/>
  <c r="BQ149" i="4"/>
  <c r="BP147" i="4"/>
  <c r="CG147" i="4"/>
  <c r="CN147" i="4"/>
  <c r="BQ140" i="4"/>
  <c r="BU140" i="4"/>
  <c r="BV140" i="4" s="1"/>
  <c r="BU152" i="4"/>
  <c r="BV152" i="4" s="1"/>
  <c r="BQ152" i="4"/>
  <c r="BO150" i="4"/>
  <c r="BQ153" i="4"/>
  <c r="BU153" i="4"/>
  <c r="BV153" i="4" s="1"/>
  <c r="BP146" i="4"/>
  <c r="CN146" i="4"/>
  <c r="CG146" i="4"/>
  <c r="CN122" i="4"/>
  <c r="CG132" i="4"/>
  <c r="CG122" i="4"/>
  <c r="CN132" i="4"/>
  <c r="BU123" i="4"/>
  <c r="BV123" i="4" s="1"/>
  <c r="BQ123" i="4"/>
  <c r="CG121" i="4"/>
  <c r="BP121" i="4"/>
  <c r="BQ121" i="4" s="1"/>
  <c r="CN124" i="4"/>
  <c r="BP124" i="4"/>
  <c r="CG124" i="4"/>
  <c r="CN129" i="4"/>
  <c r="BP129" i="4"/>
  <c r="CG129" i="4"/>
  <c r="CN136" i="4"/>
  <c r="BP136" i="4"/>
  <c r="CG136" i="4"/>
  <c r="BQ117" i="4"/>
  <c r="BU117" i="4"/>
  <c r="BV117" i="4" s="1"/>
  <c r="BP134" i="4"/>
  <c r="BQ134" i="4" s="1"/>
  <c r="CN130" i="4"/>
  <c r="BP130" i="4"/>
  <c r="CG130" i="4"/>
  <c r="CN134" i="4"/>
  <c r="BO133" i="4"/>
  <c r="CG133" i="4" s="1"/>
  <c r="BQ132" i="4"/>
  <c r="BU132" i="4"/>
  <c r="BV132" i="4" s="1"/>
  <c r="CG128" i="4"/>
  <c r="BP128" i="4"/>
  <c r="CN128" i="4"/>
  <c r="BO127" i="4"/>
  <c r="BQ122" i="4"/>
  <c r="BU122" i="4"/>
  <c r="BV122" i="4" s="1"/>
  <c r="BO125" i="4"/>
  <c r="BP126" i="4"/>
  <c r="CN126" i="4"/>
  <c r="CG126" i="4"/>
  <c r="BO131" i="4"/>
  <c r="BO112" i="4"/>
  <c r="BO116" i="4"/>
  <c r="BO114" i="4"/>
  <c r="Q111" i="4"/>
  <c r="S111" i="4"/>
  <c r="AB111" i="4"/>
  <c r="Q112" i="4"/>
  <c r="AD112" i="4" s="1"/>
  <c r="S112" i="4"/>
  <c r="AB112" i="4"/>
  <c r="Q113" i="4"/>
  <c r="S113" i="4"/>
  <c r="AB113" i="4"/>
  <c r="Q114" i="4"/>
  <c r="S114" i="4"/>
  <c r="AB114" i="4"/>
  <c r="Q115" i="4"/>
  <c r="AD115" i="4" s="1"/>
  <c r="S115" i="4"/>
  <c r="AB115" i="4"/>
  <c r="Q116" i="4"/>
  <c r="AD116" i="4" s="1"/>
  <c r="S116" i="4"/>
  <c r="AB116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AY104" i="4"/>
  <c r="AZ104" i="4"/>
  <c r="BB104" i="4"/>
  <c r="BX104" i="4"/>
  <c r="BZ104" i="4"/>
  <c r="CQ104" i="4" s="1"/>
  <c r="CA104" i="4"/>
  <c r="CR104" i="4" s="1"/>
  <c r="CE104" i="4"/>
  <c r="CH104" i="4"/>
  <c r="CI104" i="4"/>
  <c r="CV104" i="4"/>
  <c r="CW104" i="4"/>
  <c r="AY105" i="4"/>
  <c r="AZ105" i="4"/>
  <c r="BB105" i="4"/>
  <c r="BX105" i="4"/>
  <c r="BZ105" i="4"/>
  <c r="CA105" i="4"/>
  <c r="CR105" i="4" s="1"/>
  <c r="CE105" i="4"/>
  <c r="CH105" i="4"/>
  <c r="CI105" i="4"/>
  <c r="CV105" i="4"/>
  <c r="CW105" i="4"/>
  <c r="AY106" i="4"/>
  <c r="CO106" i="4" s="1"/>
  <c r="AZ106" i="4"/>
  <c r="BB106" i="4"/>
  <c r="BX106" i="4"/>
  <c r="BZ106" i="4"/>
  <c r="CQ106" i="4" s="1"/>
  <c r="CA106" i="4"/>
  <c r="CR106" i="4" s="1"/>
  <c r="CE106" i="4"/>
  <c r="CH106" i="4"/>
  <c r="CI106" i="4"/>
  <c r="CV106" i="4"/>
  <c r="CW106" i="4"/>
  <c r="AY107" i="4"/>
  <c r="AZ107" i="4"/>
  <c r="BB107" i="4"/>
  <c r="BX107" i="4"/>
  <c r="BZ107" i="4"/>
  <c r="CA107" i="4"/>
  <c r="CR107" i="4" s="1"/>
  <c r="CE107" i="4"/>
  <c r="CH107" i="4"/>
  <c r="CI107" i="4"/>
  <c r="CV107" i="4"/>
  <c r="CW107" i="4"/>
  <c r="AY108" i="4"/>
  <c r="AZ108" i="4"/>
  <c r="BB108" i="4"/>
  <c r="BX108" i="4"/>
  <c r="BZ108" i="4"/>
  <c r="CQ108" i="4" s="1"/>
  <c r="CA108" i="4"/>
  <c r="CR108" i="4" s="1"/>
  <c r="CE108" i="4"/>
  <c r="CH108" i="4"/>
  <c r="CI108" i="4"/>
  <c r="CV108" i="4"/>
  <c r="CW108" i="4"/>
  <c r="AY109" i="4"/>
  <c r="AZ109" i="4"/>
  <c r="BB109" i="4"/>
  <c r="BX109" i="4"/>
  <c r="BZ109" i="4"/>
  <c r="CQ109" i="4" s="1"/>
  <c r="CA109" i="4"/>
  <c r="CR109" i="4" s="1"/>
  <c r="CE109" i="4"/>
  <c r="CH109" i="4"/>
  <c r="CI109" i="4"/>
  <c r="CV109" i="4"/>
  <c r="CW109" i="4"/>
  <c r="AY110" i="4"/>
  <c r="AZ110" i="4"/>
  <c r="BB110" i="4"/>
  <c r="BX110" i="4"/>
  <c r="BZ110" i="4"/>
  <c r="CQ110" i="4" s="1"/>
  <c r="CA110" i="4"/>
  <c r="CR110" i="4" s="1"/>
  <c r="CE110" i="4"/>
  <c r="CH110" i="4"/>
  <c r="CI110" i="4"/>
  <c r="CV110" i="4"/>
  <c r="CW110" i="4"/>
  <c r="Q104" i="4"/>
  <c r="S104" i="4"/>
  <c r="AB104" i="4"/>
  <c r="Q105" i="4"/>
  <c r="AD105" i="4" s="1"/>
  <c r="S105" i="4"/>
  <c r="AB105" i="4"/>
  <c r="Q106" i="4"/>
  <c r="AD106" i="4" s="1"/>
  <c r="S106" i="4"/>
  <c r="AB106" i="4"/>
  <c r="Q107" i="4"/>
  <c r="AD107" i="4" s="1"/>
  <c r="S107" i="4"/>
  <c r="AB107" i="4"/>
  <c r="Q108" i="4"/>
  <c r="CP108" i="4" s="1"/>
  <c r="S108" i="4"/>
  <c r="AB108" i="4"/>
  <c r="Q109" i="4"/>
  <c r="S109" i="4"/>
  <c r="AB109" i="4"/>
  <c r="Q110" i="4"/>
  <c r="AD110" i="4" s="1"/>
  <c r="S110" i="4"/>
  <c r="AB110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D14" i="116"/>
  <c r="D22" i="116"/>
  <c r="C23" i="116"/>
  <c r="AY250" i="4"/>
  <c r="BN250" i="4" s="1"/>
  <c r="BW250" i="4" s="1"/>
  <c r="AZ250" i="4"/>
  <c r="BB250" i="4"/>
  <c r="BX250" i="4"/>
  <c r="BZ250" i="4"/>
  <c r="CA250" i="4"/>
  <c r="CR250" i="4" s="1"/>
  <c r="CH250" i="4"/>
  <c r="CI250" i="4"/>
  <c r="CV250" i="4"/>
  <c r="CW250" i="4"/>
  <c r="BQ145" i="4" l="1"/>
  <c r="BU145" i="4"/>
  <c r="BV145" i="4" s="1"/>
  <c r="BQ120" i="4"/>
  <c r="BU120" i="4"/>
  <c r="BV120" i="4" s="1"/>
  <c r="BQ138" i="4"/>
  <c r="BU138" i="4"/>
  <c r="BV138" i="4" s="1"/>
  <c r="BU135" i="4"/>
  <c r="BV135" i="4" s="1"/>
  <c r="BQ135" i="4"/>
  <c r="BQ118" i="4"/>
  <c r="BU118" i="4"/>
  <c r="BV118" i="4" s="1"/>
  <c r="BU139" i="4"/>
  <c r="BV139" i="4" s="1"/>
  <c r="BQ139" i="4"/>
  <c r="BU151" i="4"/>
  <c r="BV151" i="4" s="1"/>
  <c r="BQ151" i="4"/>
  <c r="BQ143" i="4"/>
  <c r="BU143" i="4"/>
  <c r="BV143" i="4" s="1"/>
  <c r="CG119" i="4"/>
  <c r="CO110" i="4"/>
  <c r="BP119" i="4"/>
  <c r="BQ119" i="4" s="1"/>
  <c r="BN104" i="4"/>
  <c r="BU137" i="4"/>
  <c r="BV137" i="4" s="1"/>
  <c r="BQ137" i="4"/>
  <c r="AM112" i="4"/>
  <c r="CF112" i="4" s="1"/>
  <c r="CO107" i="4"/>
  <c r="BQ148" i="4"/>
  <c r="BU148" i="4"/>
  <c r="BV148" i="4" s="1"/>
  <c r="BQ147" i="4"/>
  <c r="BU147" i="4"/>
  <c r="BV147" i="4" s="1"/>
  <c r="BQ142" i="4"/>
  <c r="BU142" i="4"/>
  <c r="BV142" i="4" s="1"/>
  <c r="CN150" i="4"/>
  <c r="BP150" i="4"/>
  <c r="CG150" i="4"/>
  <c r="BQ146" i="4"/>
  <c r="BU146" i="4"/>
  <c r="BV146" i="4" s="1"/>
  <c r="CP110" i="4"/>
  <c r="AM111" i="4"/>
  <c r="CF111" i="4" s="1"/>
  <c r="BU124" i="4"/>
  <c r="BV124" i="4" s="1"/>
  <c r="BQ124" i="4"/>
  <c r="BU121" i="4"/>
  <c r="BV121" i="4" s="1"/>
  <c r="BU134" i="4"/>
  <c r="BV134" i="4" s="1"/>
  <c r="CN133" i="4"/>
  <c r="BU136" i="4"/>
  <c r="BV136" i="4" s="1"/>
  <c r="BQ136" i="4"/>
  <c r="BP133" i="4"/>
  <c r="BQ133" i="4" s="1"/>
  <c r="AM116" i="4"/>
  <c r="CF116" i="4" s="1"/>
  <c r="BU129" i="4"/>
  <c r="BV129" i="4" s="1"/>
  <c r="BQ129" i="4"/>
  <c r="BU130" i="4"/>
  <c r="BV130" i="4" s="1"/>
  <c r="BQ130" i="4"/>
  <c r="BP127" i="4"/>
  <c r="CG127" i="4"/>
  <c r="CN127" i="4"/>
  <c r="BQ128" i="4"/>
  <c r="BU128" i="4"/>
  <c r="BV128" i="4" s="1"/>
  <c r="BU119" i="4"/>
  <c r="BV119" i="4" s="1"/>
  <c r="BQ126" i="4"/>
  <c r="BU126" i="4"/>
  <c r="BV126" i="4" s="1"/>
  <c r="CN125" i="4"/>
  <c r="CG125" i="4"/>
  <c r="BP125" i="4"/>
  <c r="CN131" i="4"/>
  <c r="BP131" i="4"/>
  <c r="CG131" i="4"/>
  <c r="AM114" i="4"/>
  <c r="CF114" i="4" s="1"/>
  <c r="CL111" i="4"/>
  <c r="CM111" i="4" s="1"/>
  <c r="CP111" i="4"/>
  <c r="CS111" i="4" s="1"/>
  <c r="BS111" i="4"/>
  <c r="BT111" i="4" s="1"/>
  <c r="CP116" i="4"/>
  <c r="CS116" i="4" s="1"/>
  <c r="CL116" i="4"/>
  <c r="CM116" i="4" s="1"/>
  <c r="BS116" i="4"/>
  <c r="BT116" i="4" s="1"/>
  <c r="AM115" i="4"/>
  <c r="CP115" i="4"/>
  <c r="CS115" i="4" s="1"/>
  <c r="CL115" i="4"/>
  <c r="CM115" i="4" s="1"/>
  <c r="BS115" i="4"/>
  <c r="BT115" i="4" s="1"/>
  <c r="CG112" i="4"/>
  <c r="CG116" i="4"/>
  <c r="CP112" i="4"/>
  <c r="CS112" i="4" s="1"/>
  <c r="CL112" i="4"/>
  <c r="CM112" i="4" s="1"/>
  <c r="BS112" i="4"/>
  <c r="BT112" i="4" s="1"/>
  <c r="CP114" i="4"/>
  <c r="CS114" i="4" s="1"/>
  <c r="BS114" i="4"/>
  <c r="BT114" i="4" s="1"/>
  <c r="CL114" i="4"/>
  <c r="CM114" i="4" s="1"/>
  <c r="CL104" i="4"/>
  <c r="CM104" i="4" s="1"/>
  <c r="AD113" i="4"/>
  <c r="CP113" i="4"/>
  <c r="CS113" i="4" s="1"/>
  <c r="BS113" i="4"/>
  <c r="BT113" i="4" s="1"/>
  <c r="CL113" i="4"/>
  <c r="CM113" i="4" s="1"/>
  <c r="AD114" i="4"/>
  <c r="AD111" i="4"/>
  <c r="CG114" i="4"/>
  <c r="AM113" i="4"/>
  <c r="CB109" i="4"/>
  <c r="AM109" i="4"/>
  <c r="CF109" i="4" s="1"/>
  <c r="AD108" i="4"/>
  <c r="AM104" i="4"/>
  <c r="CF104" i="4" s="1"/>
  <c r="CP105" i="4"/>
  <c r="CB107" i="4"/>
  <c r="CB105" i="4"/>
  <c r="CB104" i="4"/>
  <c r="AM105" i="4"/>
  <c r="CF105" i="4" s="1"/>
  <c r="CQ107" i="4"/>
  <c r="CP107" i="4"/>
  <c r="AD104" i="4"/>
  <c r="CB110" i="4"/>
  <c r="CL109" i="4"/>
  <c r="CM109" i="4" s="1"/>
  <c r="CL107" i="4"/>
  <c r="CM107" i="4" s="1"/>
  <c r="BS108" i="4"/>
  <c r="BT108" i="4" s="1"/>
  <c r="CL105" i="4"/>
  <c r="CM105" i="4" s="1"/>
  <c r="BS106" i="4"/>
  <c r="BT106" i="4" s="1"/>
  <c r="CP104" i="4"/>
  <c r="BS104" i="4"/>
  <c r="BT104" i="4" s="1"/>
  <c r="CO104" i="4"/>
  <c r="AM107" i="4"/>
  <c r="CF107" i="4" s="1"/>
  <c r="CP109" i="4"/>
  <c r="CO109" i="4"/>
  <c r="CP106" i="4"/>
  <c r="CS106" i="4" s="1"/>
  <c r="CL106" i="4"/>
  <c r="CM106" i="4" s="1"/>
  <c r="BN105" i="4"/>
  <c r="BW105" i="4" s="1"/>
  <c r="BY105" i="4" s="1"/>
  <c r="AM108" i="4"/>
  <c r="CF108" i="4" s="1"/>
  <c r="BS109" i="4"/>
  <c r="BT109" i="4" s="1"/>
  <c r="CB108" i="4"/>
  <c r="BN108" i="4"/>
  <c r="BW108" i="4" s="1"/>
  <c r="BY108" i="4" s="1"/>
  <c r="CQ105" i="4"/>
  <c r="CL110" i="4"/>
  <c r="CM110" i="4" s="1"/>
  <c r="CO108" i="4"/>
  <c r="CS108" i="4" s="1"/>
  <c r="CO105" i="4"/>
  <c r="CB106" i="4"/>
  <c r="BS110" i="4"/>
  <c r="BT110" i="4" s="1"/>
  <c r="BN109" i="4"/>
  <c r="BS107" i="4"/>
  <c r="BT107" i="4" s="1"/>
  <c r="BN106" i="4"/>
  <c r="CL108" i="4"/>
  <c r="CM108" i="4" s="1"/>
  <c r="BN110" i="4"/>
  <c r="BW110" i="4" s="1"/>
  <c r="BY110" i="4" s="1"/>
  <c r="BN107" i="4"/>
  <c r="BW107" i="4" s="1"/>
  <c r="BY107" i="4" s="1"/>
  <c r="BS105" i="4"/>
  <c r="BT105" i="4" s="1"/>
  <c r="AM110" i="4"/>
  <c r="CF110" i="4" s="1"/>
  <c r="AD109" i="4"/>
  <c r="AM106" i="4"/>
  <c r="CF106" i="4" s="1"/>
  <c r="BY250" i="4"/>
  <c r="CB250" i="4"/>
  <c r="CO250" i="4"/>
  <c r="CQ250" i="4"/>
  <c r="BO250" i="4"/>
  <c r="Q250" i="4"/>
  <c r="S250" i="4"/>
  <c r="AB250" i="4"/>
  <c r="B250" i="4"/>
  <c r="C250" i="4"/>
  <c r="AY99" i="4"/>
  <c r="AZ99" i="4"/>
  <c r="BB99" i="4"/>
  <c r="BX99" i="4"/>
  <c r="BZ99" i="4"/>
  <c r="CA99" i="4"/>
  <c r="CR99" i="4" s="1"/>
  <c r="CE99" i="4"/>
  <c r="CH99" i="4"/>
  <c r="CI99" i="4"/>
  <c r="CV99" i="4"/>
  <c r="CW99" i="4"/>
  <c r="AY100" i="4"/>
  <c r="AZ100" i="4"/>
  <c r="BB100" i="4"/>
  <c r="BX100" i="4"/>
  <c r="BZ100" i="4"/>
  <c r="CA100" i="4"/>
  <c r="CR100" i="4" s="1"/>
  <c r="CE100" i="4"/>
  <c r="CH100" i="4"/>
  <c r="CI100" i="4"/>
  <c r="CV100" i="4"/>
  <c r="CW100" i="4"/>
  <c r="AY101" i="4"/>
  <c r="AZ101" i="4"/>
  <c r="BB101" i="4"/>
  <c r="BX101" i="4"/>
  <c r="BZ101" i="4"/>
  <c r="CQ101" i="4" s="1"/>
  <c r="CA101" i="4"/>
  <c r="CR101" i="4" s="1"/>
  <c r="CE101" i="4"/>
  <c r="CH101" i="4"/>
  <c r="CI101" i="4"/>
  <c r="CV101" i="4"/>
  <c r="CW101" i="4"/>
  <c r="AY102" i="4"/>
  <c r="BN102" i="4" s="1"/>
  <c r="BW102" i="4" s="1"/>
  <c r="AZ102" i="4"/>
  <c r="BB102" i="4"/>
  <c r="BX102" i="4"/>
  <c r="BZ102" i="4"/>
  <c r="CQ102" i="4" s="1"/>
  <c r="CA102" i="4"/>
  <c r="CR102" i="4" s="1"/>
  <c r="CE102" i="4"/>
  <c r="CH102" i="4"/>
  <c r="CI102" i="4"/>
  <c r="CV102" i="4"/>
  <c r="CW102" i="4"/>
  <c r="AY103" i="4"/>
  <c r="BN103" i="4" s="1"/>
  <c r="BW103" i="4" s="1"/>
  <c r="AZ103" i="4"/>
  <c r="BB103" i="4"/>
  <c r="BX103" i="4"/>
  <c r="BZ103" i="4"/>
  <c r="CQ103" i="4" s="1"/>
  <c r="CA103" i="4"/>
  <c r="CR103" i="4" s="1"/>
  <c r="CE103" i="4"/>
  <c r="CH103" i="4"/>
  <c r="CI103" i="4"/>
  <c r="CV103" i="4"/>
  <c r="CW103" i="4"/>
  <c r="Q99" i="4"/>
  <c r="CP99" i="4" s="1"/>
  <c r="S99" i="4"/>
  <c r="AB99" i="4"/>
  <c r="Q100" i="4"/>
  <c r="CP100" i="4" s="1"/>
  <c r="S100" i="4"/>
  <c r="AB100" i="4"/>
  <c r="Q101" i="4"/>
  <c r="AD101" i="4" s="1"/>
  <c r="S101" i="4"/>
  <c r="AB101" i="4"/>
  <c r="Q102" i="4"/>
  <c r="S102" i="4"/>
  <c r="AB102" i="4"/>
  <c r="Q103" i="4"/>
  <c r="AD103" i="4" s="1"/>
  <c r="S103" i="4"/>
  <c r="AB103" i="4"/>
  <c r="B99" i="4"/>
  <c r="C99" i="4"/>
  <c r="B100" i="4"/>
  <c r="C100" i="4"/>
  <c r="B101" i="4"/>
  <c r="C101" i="4"/>
  <c r="B102" i="4"/>
  <c r="C102" i="4"/>
  <c r="B103" i="4"/>
  <c r="C103" i="4"/>
  <c r="D26" i="116"/>
  <c r="Y26" i="118"/>
  <c r="I652" i="114"/>
  <c r="I653" i="114"/>
  <c r="I654" i="114"/>
  <c r="I655" i="114"/>
  <c r="I656" i="114"/>
  <c r="I657" i="114"/>
  <c r="I658" i="114"/>
  <c r="I659" i="114"/>
  <c r="I651" i="114"/>
  <c r="C5" i="114"/>
  <c r="C6" i="114"/>
  <c r="C7" i="114"/>
  <c r="C8" i="114"/>
  <c r="C9" i="114"/>
  <c r="C10" i="114"/>
  <c r="C11" i="114"/>
  <c r="C12" i="114"/>
  <c r="C13" i="114"/>
  <c r="C14" i="114"/>
  <c r="C15" i="114"/>
  <c r="C16" i="114"/>
  <c r="C17" i="114"/>
  <c r="C18" i="114"/>
  <c r="C19" i="114"/>
  <c r="C20" i="114"/>
  <c r="C21" i="114"/>
  <c r="C22" i="114"/>
  <c r="C23" i="114"/>
  <c r="C24" i="114"/>
  <c r="C25" i="114"/>
  <c r="C26" i="114"/>
  <c r="C27" i="114"/>
  <c r="C28" i="114"/>
  <c r="C29" i="114"/>
  <c r="C30" i="114"/>
  <c r="C31" i="114"/>
  <c r="C32" i="114"/>
  <c r="C33" i="114"/>
  <c r="C34" i="114"/>
  <c r="C35" i="114"/>
  <c r="C36" i="114"/>
  <c r="C37" i="114"/>
  <c r="C38" i="114"/>
  <c r="C39" i="114"/>
  <c r="C40" i="114"/>
  <c r="C41" i="114"/>
  <c r="C42" i="114"/>
  <c r="C43" i="114"/>
  <c r="C44" i="114"/>
  <c r="C45" i="114"/>
  <c r="C46" i="114"/>
  <c r="C47" i="114"/>
  <c r="C48" i="114"/>
  <c r="C49" i="114"/>
  <c r="C50" i="114"/>
  <c r="C51" i="114"/>
  <c r="C52" i="114"/>
  <c r="C53" i="114"/>
  <c r="C54" i="114"/>
  <c r="C55" i="114"/>
  <c r="C56" i="114"/>
  <c r="C57" i="114"/>
  <c r="C58" i="114"/>
  <c r="C59" i="114"/>
  <c r="C60" i="114"/>
  <c r="C61" i="114"/>
  <c r="C62" i="114"/>
  <c r="C63" i="114"/>
  <c r="C64" i="114"/>
  <c r="C65" i="114"/>
  <c r="C66" i="114"/>
  <c r="C67" i="114"/>
  <c r="C68" i="114"/>
  <c r="C69" i="114"/>
  <c r="C70" i="114"/>
  <c r="C71" i="114"/>
  <c r="C72" i="114"/>
  <c r="C73" i="114"/>
  <c r="C74" i="114"/>
  <c r="C75" i="114"/>
  <c r="C76" i="114"/>
  <c r="C77" i="114"/>
  <c r="C78" i="114"/>
  <c r="C79" i="114"/>
  <c r="C80" i="114"/>
  <c r="C81" i="114"/>
  <c r="C82" i="114"/>
  <c r="C83" i="114"/>
  <c r="C84" i="114"/>
  <c r="C85" i="114"/>
  <c r="C86" i="114"/>
  <c r="C87" i="114"/>
  <c r="C88" i="114"/>
  <c r="C89" i="114"/>
  <c r="C90" i="114"/>
  <c r="C91" i="114"/>
  <c r="C92" i="114"/>
  <c r="C93" i="114"/>
  <c r="C94" i="114"/>
  <c r="C95" i="114"/>
  <c r="C96" i="114"/>
  <c r="C97" i="114"/>
  <c r="C98" i="114"/>
  <c r="C99" i="114"/>
  <c r="C100" i="114"/>
  <c r="C101" i="114"/>
  <c r="C102" i="114"/>
  <c r="C103" i="114"/>
  <c r="C104" i="114"/>
  <c r="C105" i="114"/>
  <c r="C106" i="114"/>
  <c r="C107" i="114"/>
  <c r="C108" i="114"/>
  <c r="C109" i="114"/>
  <c r="C110" i="114"/>
  <c r="C111" i="114"/>
  <c r="C112" i="114"/>
  <c r="C113" i="114"/>
  <c r="C114" i="114"/>
  <c r="C115" i="114"/>
  <c r="C116" i="114"/>
  <c r="C117" i="114"/>
  <c r="C118" i="114"/>
  <c r="C119" i="114"/>
  <c r="C120" i="114"/>
  <c r="C121" i="114"/>
  <c r="C122" i="114"/>
  <c r="C123" i="114"/>
  <c r="C124" i="114"/>
  <c r="C125" i="114"/>
  <c r="C126" i="114"/>
  <c r="C127" i="114"/>
  <c r="C128" i="114"/>
  <c r="C129" i="114"/>
  <c r="C130" i="114"/>
  <c r="C131" i="114"/>
  <c r="C132" i="114"/>
  <c r="C133" i="114"/>
  <c r="C134" i="114"/>
  <c r="C135" i="114"/>
  <c r="C136" i="114"/>
  <c r="C137" i="114"/>
  <c r="C138" i="114"/>
  <c r="C139" i="114"/>
  <c r="C140" i="114"/>
  <c r="C141" i="114"/>
  <c r="C142" i="114"/>
  <c r="C143" i="114"/>
  <c r="C144" i="114"/>
  <c r="C145" i="114"/>
  <c r="C146" i="114"/>
  <c r="C147" i="114"/>
  <c r="C148" i="114"/>
  <c r="C149" i="114"/>
  <c r="C150" i="114"/>
  <c r="C151" i="114"/>
  <c r="C152" i="114"/>
  <c r="C153" i="114"/>
  <c r="C154" i="114"/>
  <c r="C155" i="114"/>
  <c r="C156" i="114"/>
  <c r="C157" i="114"/>
  <c r="C158" i="114"/>
  <c r="C159" i="114"/>
  <c r="C160" i="114"/>
  <c r="C161" i="114"/>
  <c r="C162" i="114"/>
  <c r="C163" i="114"/>
  <c r="C164" i="114"/>
  <c r="C165" i="114"/>
  <c r="C166" i="114"/>
  <c r="C167" i="114"/>
  <c r="C168" i="114"/>
  <c r="C169" i="114"/>
  <c r="C170" i="114"/>
  <c r="C171" i="114"/>
  <c r="C172" i="114"/>
  <c r="C173" i="114"/>
  <c r="C174" i="114"/>
  <c r="C175" i="114"/>
  <c r="C176" i="114"/>
  <c r="C177" i="114"/>
  <c r="C178" i="114"/>
  <c r="C179" i="114"/>
  <c r="C180" i="114"/>
  <c r="C181" i="114"/>
  <c r="C182" i="114"/>
  <c r="C183" i="114"/>
  <c r="C184" i="114"/>
  <c r="C185" i="114"/>
  <c r="C186" i="114"/>
  <c r="C187" i="114"/>
  <c r="C188" i="114"/>
  <c r="C189" i="114"/>
  <c r="C190" i="114"/>
  <c r="C191" i="114"/>
  <c r="C192" i="114"/>
  <c r="C193" i="114"/>
  <c r="C194" i="114"/>
  <c r="C195" i="114"/>
  <c r="C196" i="114"/>
  <c r="C197" i="114"/>
  <c r="C198" i="114"/>
  <c r="C199" i="114"/>
  <c r="C200" i="114"/>
  <c r="C201" i="114"/>
  <c r="C202" i="114"/>
  <c r="C203" i="114"/>
  <c r="C204" i="114"/>
  <c r="C205" i="114"/>
  <c r="C206" i="114"/>
  <c r="C207" i="114"/>
  <c r="C208" i="114"/>
  <c r="C209" i="114"/>
  <c r="C210" i="114"/>
  <c r="C211" i="114"/>
  <c r="C212" i="114"/>
  <c r="C213" i="114"/>
  <c r="C214" i="114"/>
  <c r="C215" i="114"/>
  <c r="C216" i="114"/>
  <c r="C217" i="114"/>
  <c r="C218" i="114"/>
  <c r="C219" i="114"/>
  <c r="C220" i="114"/>
  <c r="C221" i="114"/>
  <c r="C222" i="114"/>
  <c r="C223" i="114"/>
  <c r="C224" i="114"/>
  <c r="C225" i="114"/>
  <c r="C226" i="114"/>
  <c r="C227" i="114"/>
  <c r="C228" i="114"/>
  <c r="C229" i="114"/>
  <c r="C230" i="114"/>
  <c r="C231" i="114"/>
  <c r="C232" i="114"/>
  <c r="C233" i="114"/>
  <c r="C234" i="114"/>
  <c r="C235" i="114"/>
  <c r="C236" i="114"/>
  <c r="C237" i="114"/>
  <c r="C238" i="114"/>
  <c r="C239" i="114"/>
  <c r="C240" i="114"/>
  <c r="C241" i="114"/>
  <c r="C242" i="114"/>
  <c r="C243" i="114"/>
  <c r="C244" i="114"/>
  <c r="C245" i="114"/>
  <c r="C246" i="114"/>
  <c r="C247" i="114"/>
  <c r="C248" i="114"/>
  <c r="C249" i="114"/>
  <c r="C250" i="114"/>
  <c r="C251" i="114"/>
  <c r="C252" i="114"/>
  <c r="C253" i="114"/>
  <c r="C254" i="114"/>
  <c r="C255" i="114"/>
  <c r="C256" i="114"/>
  <c r="C257" i="114"/>
  <c r="C258" i="114"/>
  <c r="C259" i="114"/>
  <c r="C260" i="114"/>
  <c r="C261" i="114"/>
  <c r="C262" i="114"/>
  <c r="C263" i="114"/>
  <c r="C264" i="114"/>
  <c r="C265" i="114"/>
  <c r="C266" i="114"/>
  <c r="C267" i="114"/>
  <c r="C268" i="114"/>
  <c r="C269" i="114"/>
  <c r="C270" i="114"/>
  <c r="C271" i="114"/>
  <c r="C272" i="114"/>
  <c r="C273" i="114"/>
  <c r="C274" i="114"/>
  <c r="C275" i="114"/>
  <c r="C276" i="114"/>
  <c r="C277" i="114"/>
  <c r="C278" i="114"/>
  <c r="C279" i="114"/>
  <c r="C280" i="114"/>
  <c r="C281" i="114"/>
  <c r="C282" i="114"/>
  <c r="C283" i="114"/>
  <c r="C284" i="114"/>
  <c r="C285" i="114"/>
  <c r="C286" i="114"/>
  <c r="C287" i="114"/>
  <c r="C288" i="114"/>
  <c r="C289" i="114"/>
  <c r="C290" i="114"/>
  <c r="C291" i="114"/>
  <c r="C292" i="114"/>
  <c r="C293" i="114"/>
  <c r="C294" i="114"/>
  <c r="C295" i="114"/>
  <c r="C296" i="114"/>
  <c r="C297" i="114"/>
  <c r="C298" i="114"/>
  <c r="C299" i="114"/>
  <c r="C300" i="114"/>
  <c r="C301" i="114"/>
  <c r="C302" i="114"/>
  <c r="C303" i="114"/>
  <c r="C304" i="114"/>
  <c r="C305" i="114"/>
  <c r="C306" i="114"/>
  <c r="C307" i="114"/>
  <c r="C308" i="114"/>
  <c r="C309" i="114"/>
  <c r="C310" i="114"/>
  <c r="C311" i="114"/>
  <c r="C312" i="114"/>
  <c r="C313" i="114"/>
  <c r="C314" i="114"/>
  <c r="C315" i="114"/>
  <c r="C316" i="114"/>
  <c r="C317" i="114"/>
  <c r="C318" i="114"/>
  <c r="C319" i="114"/>
  <c r="C320" i="114"/>
  <c r="C321" i="114"/>
  <c r="C322" i="114"/>
  <c r="C323" i="114"/>
  <c r="C324" i="114"/>
  <c r="C325" i="114"/>
  <c r="C326" i="114"/>
  <c r="C327" i="114"/>
  <c r="C328" i="114"/>
  <c r="C329" i="114"/>
  <c r="C330" i="114"/>
  <c r="C331" i="114"/>
  <c r="C332" i="114"/>
  <c r="C333" i="114"/>
  <c r="C334" i="114"/>
  <c r="C335" i="114"/>
  <c r="C336" i="114"/>
  <c r="C337" i="114"/>
  <c r="C338" i="114"/>
  <c r="C339" i="114"/>
  <c r="C340" i="114"/>
  <c r="C341" i="114"/>
  <c r="C342" i="114"/>
  <c r="C343" i="114"/>
  <c r="C344" i="114"/>
  <c r="C345" i="114"/>
  <c r="C346" i="114"/>
  <c r="C347" i="114"/>
  <c r="C348" i="114"/>
  <c r="C349" i="114"/>
  <c r="C350" i="114"/>
  <c r="C351" i="114"/>
  <c r="C352" i="114"/>
  <c r="C353" i="114"/>
  <c r="C354" i="114"/>
  <c r="C355" i="114"/>
  <c r="C356" i="114"/>
  <c r="C357" i="114"/>
  <c r="C358" i="114"/>
  <c r="C359" i="114"/>
  <c r="C360" i="114"/>
  <c r="C361" i="114"/>
  <c r="C362" i="114"/>
  <c r="C363" i="114"/>
  <c r="C364" i="114"/>
  <c r="C365" i="114"/>
  <c r="C366" i="114"/>
  <c r="C367" i="114"/>
  <c r="C368" i="114"/>
  <c r="C369" i="114"/>
  <c r="C370" i="114"/>
  <c r="C371" i="114"/>
  <c r="C372" i="114"/>
  <c r="C373" i="114"/>
  <c r="C374" i="114"/>
  <c r="C375" i="114"/>
  <c r="C376" i="114"/>
  <c r="C377" i="114"/>
  <c r="C378" i="114"/>
  <c r="C379" i="114"/>
  <c r="C380" i="114"/>
  <c r="C381" i="114"/>
  <c r="C382" i="114"/>
  <c r="C383" i="114"/>
  <c r="C384" i="114"/>
  <c r="C385" i="114"/>
  <c r="C386" i="114"/>
  <c r="C387" i="114"/>
  <c r="C388" i="114"/>
  <c r="C389" i="114"/>
  <c r="C390" i="114"/>
  <c r="C391" i="114"/>
  <c r="C392" i="114"/>
  <c r="C393" i="114"/>
  <c r="C394" i="114"/>
  <c r="C395" i="114"/>
  <c r="C396" i="114"/>
  <c r="C397" i="114"/>
  <c r="C398" i="114"/>
  <c r="C399" i="114"/>
  <c r="C400" i="114"/>
  <c r="C401" i="114"/>
  <c r="C402" i="114"/>
  <c r="C403" i="114"/>
  <c r="C404" i="114"/>
  <c r="C405" i="114"/>
  <c r="C406" i="114"/>
  <c r="C407" i="114"/>
  <c r="C408" i="114"/>
  <c r="C409" i="114"/>
  <c r="C410" i="114"/>
  <c r="C411" i="114"/>
  <c r="C412" i="114"/>
  <c r="C413" i="114"/>
  <c r="C414" i="114"/>
  <c r="C415" i="114"/>
  <c r="C416" i="114"/>
  <c r="C417" i="114"/>
  <c r="C418" i="114"/>
  <c r="C419" i="114"/>
  <c r="C420" i="114"/>
  <c r="C421" i="114"/>
  <c r="C422" i="114"/>
  <c r="C423" i="114"/>
  <c r="C424" i="114"/>
  <c r="C425" i="114"/>
  <c r="C426" i="114"/>
  <c r="C427" i="114"/>
  <c r="C428" i="114"/>
  <c r="C429" i="114"/>
  <c r="C430" i="114"/>
  <c r="C431" i="114"/>
  <c r="C432" i="114"/>
  <c r="C433" i="114"/>
  <c r="C434" i="114"/>
  <c r="C435" i="114"/>
  <c r="C436" i="114"/>
  <c r="C437" i="114"/>
  <c r="C438" i="114"/>
  <c r="C439" i="114"/>
  <c r="C440" i="114"/>
  <c r="C441" i="114"/>
  <c r="C442" i="114"/>
  <c r="C443" i="114"/>
  <c r="C444" i="114"/>
  <c r="C445" i="114"/>
  <c r="C446" i="114"/>
  <c r="C447" i="114"/>
  <c r="C448" i="114"/>
  <c r="C449" i="114"/>
  <c r="C450" i="114"/>
  <c r="C451" i="114"/>
  <c r="C452" i="114"/>
  <c r="C453" i="114"/>
  <c r="C454" i="114"/>
  <c r="C455" i="114"/>
  <c r="C456" i="114"/>
  <c r="C457" i="114"/>
  <c r="C458" i="114"/>
  <c r="C459" i="114"/>
  <c r="C460" i="114"/>
  <c r="C461" i="114"/>
  <c r="C462" i="114"/>
  <c r="C463" i="114"/>
  <c r="C464" i="114"/>
  <c r="C465" i="114"/>
  <c r="C466" i="114"/>
  <c r="C467" i="114"/>
  <c r="C468" i="114"/>
  <c r="C469" i="114"/>
  <c r="C470" i="114"/>
  <c r="C471" i="114"/>
  <c r="C472" i="114"/>
  <c r="C473" i="114"/>
  <c r="C474" i="114"/>
  <c r="C475" i="114"/>
  <c r="C476" i="114"/>
  <c r="C477" i="114"/>
  <c r="C478" i="114"/>
  <c r="C479" i="114"/>
  <c r="C480" i="114"/>
  <c r="C481" i="114"/>
  <c r="C482" i="114"/>
  <c r="C483" i="114"/>
  <c r="C484" i="114"/>
  <c r="C485" i="114"/>
  <c r="C486" i="114"/>
  <c r="C487" i="114"/>
  <c r="C488" i="114"/>
  <c r="C489" i="114"/>
  <c r="C490" i="114"/>
  <c r="C491" i="114"/>
  <c r="C492" i="114"/>
  <c r="C493" i="114"/>
  <c r="C494" i="114"/>
  <c r="C495" i="114"/>
  <c r="C496" i="114"/>
  <c r="C497" i="114"/>
  <c r="C498" i="114"/>
  <c r="C499" i="114"/>
  <c r="C500" i="114"/>
  <c r="C501" i="114"/>
  <c r="C502" i="114"/>
  <c r="C503" i="114"/>
  <c r="C504" i="114"/>
  <c r="C505" i="114"/>
  <c r="C506" i="114"/>
  <c r="C507" i="114"/>
  <c r="C508" i="114"/>
  <c r="C509" i="114"/>
  <c r="C510" i="114"/>
  <c r="C511" i="114"/>
  <c r="C512" i="114"/>
  <c r="C513" i="114"/>
  <c r="C514" i="114"/>
  <c r="C515" i="114"/>
  <c r="C516" i="114"/>
  <c r="C517" i="114"/>
  <c r="C518" i="114"/>
  <c r="C519" i="114"/>
  <c r="C520" i="114"/>
  <c r="C521" i="114"/>
  <c r="C522" i="114"/>
  <c r="C523" i="114"/>
  <c r="C524" i="114"/>
  <c r="C525" i="114"/>
  <c r="C526" i="114"/>
  <c r="C527" i="114"/>
  <c r="C528" i="114"/>
  <c r="C529" i="114"/>
  <c r="C530" i="114"/>
  <c r="C531" i="114"/>
  <c r="C532" i="114"/>
  <c r="C533" i="114"/>
  <c r="C534" i="114"/>
  <c r="C535" i="114"/>
  <c r="C536" i="114"/>
  <c r="C537" i="114"/>
  <c r="C538" i="114"/>
  <c r="C539" i="114"/>
  <c r="C540" i="114"/>
  <c r="C541" i="114"/>
  <c r="C542" i="114"/>
  <c r="C543" i="114"/>
  <c r="C544" i="114"/>
  <c r="C545" i="114"/>
  <c r="C546" i="114"/>
  <c r="C547" i="114"/>
  <c r="C548" i="114"/>
  <c r="C549" i="114"/>
  <c r="C550" i="114"/>
  <c r="C551" i="114"/>
  <c r="C552" i="114"/>
  <c r="C553" i="114"/>
  <c r="C554" i="114"/>
  <c r="C555" i="114"/>
  <c r="C556" i="114"/>
  <c r="C557" i="114"/>
  <c r="C558" i="114"/>
  <c r="C559" i="114"/>
  <c r="C560" i="114"/>
  <c r="C561" i="114"/>
  <c r="C562" i="114"/>
  <c r="C563" i="114"/>
  <c r="C564" i="114"/>
  <c r="C565" i="114"/>
  <c r="C566" i="114"/>
  <c r="C567" i="114"/>
  <c r="C568" i="114"/>
  <c r="C569" i="114"/>
  <c r="C570" i="114"/>
  <c r="C571" i="114"/>
  <c r="C572" i="114"/>
  <c r="C573" i="114"/>
  <c r="C574" i="114"/>
  <c r="C575" i="114"/>
  <c r="C576" i="114"/>
  <c r="C577" i="114"/>
  <c r="C578" i="114"/>
  <c r="C579" i="114"/>
  <c r="C580" i="114"/>
  <c r="C581" i="114"/>
  <c r="C582" i="114"/>
  <c r="C583" i="114"/>
  <c r="C584" i="114"/>
  <c r="C585" i="114"/>
  <c r="C586" i="114"/>
  <c r="C587" i="114"/>
  <c r="C588" i="114"/>
  <c r="C589" i="114"/>
  <c r="C590" i="114"/>
  <c r="C591" i="114"/>
  <c r="C592" i="114"/>
  <c r="C593" i="114"/>
  <c r="C594" i="114"/>
  <c r="C595" i="114"/>
  <c r="C596" i="114"/>
  <c r="C597" i="114"/>
  <c r="C598" i="114"/>
  <c r="C599" i="114"/>
  <c r="C600" i="114"/>
  <c r="C601" i="114"/>
  <c r="C602" i="114"/>
  <c r="C603" i="114"/>
  <c r="C604" i="114"/>
  <c r="C605" i="114"/>
  <c r="C606" i="114"/>
  <c r="C607" i="114"/>
  <c r="C608" i="114"/>
  <c r="C609" i="114"/>
  <c r="C610" i="114"/>
  <c r="C611" i="114"/>
  <c r="C612" i="114"/>
  <c r="C613" i="114"/>
  <c r="C614" i="114"/>
  <c r="C615" i="114"/>
  <c r="C616" i="114"/>
  <c r="C617" i="114"/>
  <c r="C618" i="114"/>
  <c r="C619" i="114"/>
  <c r="C620" i="114"/>
  <c r="C621" i="114"/>
  <c r="C622" i="114"/>
  <c r="C623" i="114"/>
  <c r="C624" i="114"/>
  <c r="C625" i="114"/>
  <c r="C626" i="114"/>
  <c r="C627" i="114"/>
  <c r="C628" i="114"/>
  <c r="C629" i="114"/>
  <c r="C630" i="114"/>
  <c r="C631" i="114"/>
  <c r="C632" i="114"/>
  <c r="C633" i="114"/>
  <c r="C634" i="114"/>
  <c r="C635" i="114"/>
  <c r="C636" i="114"/>
  <c r="C637" i="114"/>
  <c r="C638" i="114"/>
  <c r="C639" i="114"/>
  <c r="C640" i="114"/>
  <c r="C641" i="114"/>
  <c r="C642" i="114"/>
  <c r="C643" i="114"/>
  <c r="C644" i="114"/>
  <c r="C645" i="114"/>
  <c r="C646" i="114"/>
  <c r="C647" i="114"/>
  <c r="C648" i="114"/>
  <c r="C649" i="114"/>
  <c r="C650" i="114"/>
  <c r="C651" i="114"/>
  <c r="C652" i="114"/>
  <c r="C653" i="114"/>
  <c r="C654" i="114"/>
  <c r="C655" i="114"/>
  <c r="C656" i="114"/>
  <c r="C657" i="114"/>
  <c r="C658" i="114"/>
  <c r="C659" i="114"/>
  <c r="C660" i="114"/>
  <c r="C4" i="114"/>
  <c r="I634" i="114"/>
  <c r="I635" i="114"/>
  <c r="I636" i="114"/>
  <c r="I637" i="114"/>
  <c r="I638" i="114"/>
  <c r="I639" i="114"/>
  <c r="I640" i="114"/>
  <c r="I641" i="114"/>
  <c r="I642" i="114"/>
  <c r="I643" i="114"/>
  <c r="I644" i="114"/>
  <c r="I645" i="114"/>
  <c r="I646" i="114"/>
  <c r="I647" i="114"/>
  <c r="I648" i="114"/>
  <c r="I649" i="114"/>
  <c r="I650" i="114"/>
  <c r="I633" i="114"/>
  <c r="T518" i="107"/>
  <c r="T723" i="107"/>
  <c r="T724" i="107"/>
  <c r="T725" i="107"/>
  <c r="T726" i="107"/>
  <c r="T727" i="107"/>
  <c r="T728" i="107"/>
  <c r="D723" i="107"/>
  <c r="D724" i="107"/>
  <c r="D725" i="107"/>
  <c r="D726" i="107"/>
  <c r="D727" i="107"/>
  <c r="D728" i="107"/>
  <c r="CS110" i="4" l="1"/>
  <c r="BO104" i="4"/>
  <c r="BW104" i="4"/>
  <c r="BY104" i="4" s="1"/>
  <c r="CN112" i="4"/>
  <c r="BN100" i="4"/>
  <c r="BW100" i="4" s="1"/>
  <c r="BY100" i="4" s="1"/>
  <c r="BP112" i="4"/>
  <c r="BQ150" i="4"/>
  <c r="BU150" i="4"/>
  <c r="BV150" i="4" s="1"/>
  <c r="CN116" i="4"/>
  <c r="BP111" i="4"/>
  <c r="BU111" i="4" s="1"/>
  <c r="BV111" i="4" s="1"/>
  <c r="CN111" i="4"/>
  <c r="BU133" i="4"/>
  <c r="BV133" i="4" s="1"/>
  <c r="CN114" i="4"/>
  <c r="BP116" i="4"/>
  <c r="BU116" i="4" s="1"/>
  <c r="BV116" i="4" s="1"/>
  <c r="BP114" i="4"/>
  <c r="BQ114" i="4" s="1"/>
  <c r="BQ125" i="4"/>
  <c r="BU125" i="4"/>
  <c r="BV125" i="4" s="1"/>
  <c r="BU131" i="4"/>
  <c r="BV131" i="4" s="1"/>
  <c r="BQ131" i="4"/>
  <c r="BQ127" i="4"/>
  <c r="BU127" i="4"/>
  <c r="BV127" i="4" s="1"/>
  <c r="CF115" i="4"/>
  <c r="CN115" i="4"/>
  <c r="BP115" i="4"/>
  <c r="BP113" i="4"/>
  <c r="CF113" i="4"/>
  <c r="CN113" i="4"/>
  <c r="CS107" i="4"/>
  <c r="CS109" i="4"/>
  <c r="BO105" i="4"/>
  <c r="CS104" i="4"/>
  <c r="BO107" i="4"/>
  <c r="BO108" i="4"/>
  <c r="BW106" i="4"/>
  <c r="BY106" i="4" s="1"/>
  <c r="BO106" i="4"/>
  <c r="BW109" i="4"/>
  <c r="BY109" i="4" s="1"/>
  <c r="BO109" i="4"/>
  <c r="CS105" i="4"/>
  <c r="BO110" i="4"/>
  <c r="CL99" i="4"/>
  <c r="CM99" i="4" s="1"/>
  <c r="BY102" i="4"/>
  <c r="CL101" i="4"/>
  <c r="CM101" i="4" s="1"/>
  <c r="AM102" i="4"/>
  <c r="CF102" i="4" s="1"/>
  <c r="AD100" i="4"/>
  <c r="AD99" i="4"/>
  <c r="CB101" i="4"/>
  <c r="AM100" i="4"/>
  <c r="CF100" i="4" s="1"/>
  <c r="CP102" i="4"/>
  <c r="CB99" i="4"/>
  <c r="AM250" i="4"/>
  <c r="CF250" i="4" s="1"/>
  <c r="CP250" i="4"/>
  <c r="CS250" i="4" s="1"/>
  <c r="AD250" i="4"/>
  <c r="AD102" i="4"/>
  <c r="AM99" i="4"/>
  <c r="CG250" i="4"/>
  <c r="CL250" i="4"/>
  <c r="CM250" i="4" s="1"/>
  <c r="AM103" i="4"/>
  <c r="CF103" i="4" s="1"/>
  <c r="CQ99" i="4"/>
  <c r="CO99" i="4"/>
  <c r="BN99" i="4"/>
  <c r="BW99" i="4" s="1"/>
  <c r="BY99" i="4" s="1"/>
  <c r="BS250" i="4"/>
  <c r="CB102" i="4"/>
  <c r="CB100" i="4"/>
  <c r="CB103" i="4"/>
  <c r="CO102" i="4"/>
  <c r="CQ100" i="4"/>
  <c r="BS99" i="4"/>
  <c r="BT99" i="4" s="1"/>
  <c r="BY103" i="4"/>
  <c r="CL102" i="4"/>
  <c r="CM102" i="4" s="1"/>
  <c r="BS101" i="4"/>
  <c r="BT101" i="4" s="1"/>
  <c r="CO100" i="4"/>
  <c r="BS102" i="4"/>
  <c r="BT102" i="4" s="1"/>
  <c r="CP101" i="4"/>
  <c r="CP103" i="4"/>
  <c r="BO103" i="4"/>
  <c r="CG103" i="4" s="1"/>
  <c r="CO101" i="4"/>
  <c r="CO103" i="4"/>
  <c r="BO102" i="4"/>
  <c r="BN101" i="4"/>
  <c r="BW101" i="4" s="1"/>
  <c r="BY101" i="4" s="1"/>
  <c r="CL103" i="4"/>
  <c r="CM103" i="4" s="1"/>
  <c r="CL100" i="4"/>
  <c r="CM100" i="4" s="1"/>
  <c r="BS103" i="4"/>
  <c r="BT103" i="4" s="1"/>
  <c r="BS100" i="4"/>
  <c r="BT100" i="4" s="1"/>
  <c r="AM101" i="4"/>
  <c r="CF101" i="4" s="1"/>
  <c r="CN104" i="4" l="1"/>
  <c r="BP104" i="4"/>
  <c r="CG104" i="4"/>
  <c r="BU112" i="4"/>
  <c r="BV112" i="4" s="1"/>
  <c r="BQ112" i="4"/>
  <c r="BQ116" i="4"/>
  <c r="BO100" i="4"/>
  <c r="CG100" i="4" s="1"/>
  <c r="BU114" i="4"/>
  <c r="BV114" i="4" s="1"/>
  <c r="BQ111" i="4"/>
  <c r="BU113" i="4"/>
  <c r="BV113" i="4" s="1"/>
  <c r="BQ113" i="4"/>
  <c r="BQ115" i="4"/>
  <c r="BU115" i="4"/>
  <c r="BV115" i="4" s="1"/>
  <c r="BP103" i="4"/>
  <c r="BQ103" i="4" s="1"/>
  <c r="CS99" i="4"/>
  <c r="CN105" i="4"/>
  <c r="BP105" i="4"/>
  <c r="CG105" i="4"/>
  <c r="CS100" i="4"/>
  <c r="BP108" i="4"/>
  <c r="CG108" i="4"/>
  <c r="CN108" i="4"/>
  <c r="CN109" i="4"/>
  <c r="BP109" i="4"/>
  <c r="CG109" i="4"/>
  <c r="BQ104" i="4"/>
  <c r="BU104" i="4"/>
  <c r="BV104" i="4" s="1"/>
  <c r="CN106" i="4"/>
  <c r="BP106" i="4"/>
  <c r="CG106" i="4"/>
  <c r="BP110" i="4"/>
  <c r="CG110" i="4"/>
  <c r="CN110" i="4"/>
  <c r="BP107" i="4"/>
  <c r="CG107" i="4"/>
  <c r="CN107" i="4"/>
  <c r="CS103" i="4"/>
  <c r="CS101" i="4"/>
  <c r="CN250" i="4"/>
  <c r="CS102" i="4"/>
  <c r="BP250" i="4"/>
  <c r="BU250" i="4" s="1"/>
  <c r="BO99" i="4"/>
  <c r="CF99" i="4"/>
  <c r="CN102" i="4"/>
  <c r="BP102" i="4"/>
  <c r="CG102" i="4"/>
  <c r="CN103" i="4"/>
  <c r="BO101" i="4"/>
  <c r="J412" i="104"/>
  <c r="L412" i="104" s="1"/>
  <c r="J413" i="104"/>
  <c r="L413" i="104" s="1"/>
  <c r="J414" i="104"/>
  <c r="L414" i="104" s="1"/>
  <c r="D414" i="104"/>
  <c r="D412" i="104"/>
  <c r="D413" i="104"/>
  <c r="T402" i="107"/>
  <c r="AQ402" i="107" s="1"/>
  <c r="AR402" i="107" s="1"/>
  <c r="AS402" i="107" s="1"/>
  <c r="T403" i="107"/>
  <c r="AQ403" i="107" s="1"/>
  <c r="AR403" i="107" s="1"/>
  <c r="AS403" i="107" s="1"/>
  <c r="T404" i="107"/>
  <c r="AQ404" i="107" s="1"/>
  <c r="AR404" i="107" s="1"/>
  <c r="AS404" i="107" s="1"/>
  <c r="D402" i="107"/>
  <c r="D403" i="107"/>
  <c r="D404" i="107"/>
  <c r="AP206" i="104"/>
  <c r="AR206" i="104" s="1"/>
  <c r="AP207" i="104"/>
  <c r="AR207" i="104" s="1"/>
  <c r="AB206" i="104"/>
  <c r="AB207" i="104"/>
  <c r="T729" i="107"/>
  <c r="T730" i="107"/>
  <c r="D729" i="107"/>
  <c r="D730" i="107"/>
  <c r="BX86" i="4"/>
  <c r="BZ86" i="4"/>
  <c r="CQ86" i="4" s="1"/>
  <c r="CA86" i="4"/>
  <c r="CR86" i="4" s="1"/>
  <c r="CH86" i="4"/>
  <c r="CI86" i="4"/>
  <c r="CV86" i="4"/>
  <c r="CW86" i="4"/>
  <c r="AY87" i="4"/>
  <c r="BX87" i="4"/>
  <c r="BZ87" i="4"/>
  <c r="CQ87" i="4" s="1"/>
  <c r="CA87" i="4"/>
  <c r="CH87" i="4"/>
  <c r="CI87" i="4"/>
  <c r="CV87" i="4"/>
  <c r="BB88" i="4"/>
  <c r="BX88" i="4"/>
  <c r="BZ88" i="4"/>
  <c r="CQ88" i="4" s="1"/>
  <c r="CA88" i="4"/>
  <c r="CR88" i="4" s="1"/>
  <c r="CH88" i="4"/>
  <c r="CI88" i="4"/>
  <c r="CV88" i="4"/>
  <c r="CW89" i="4"/>
  <c r="CE89" i="4"/>
  <c r="AY89" i="4"/>
  <c r="BN89" i="4" s="1"/>
  <c r="BW89" i="4" s="1"/>
  <c r="AZ89" i="4"/>
  <c r="BB89" i="4"/>
  <c r="BX89" i="4"/>
  <c r="BZ89" i="4"/>
  <c r="CQ89" i="4" s="1"/>
  <c r="CA89" i="4"/>
  <c r="CR89" i="4" s="1"/>
  <c r="CH89" i="4"/>
  <c r="CI89" i="4"/>
  <c r="CV89" i="4"/>
  <c r="CW90" i="4"/>
  <c r="BX90" i="4"/>
  <c r="BZ90" i="4"/>
  <c r="CQ90" i="4" s="1"/>
  <c r="CA90" i="4"/>
  <c r="CR90" i="4" s="1"/>
  <c r="CH90" i="4"/>
  <c r="CI90" i="4"/>
  <c r="CV90" i="4"/>
  <c r="AZ91" i="4"/>
  <c r="AY91" i="4"/>
  <c r="BX91" i="4"/>
  <c r="BZ91" i="4"/>
  <c r="CA91" i="4"/>
  <c r="CR91" i="4" s="1"/>
  <c r="CH91" i="4"/>
  <c r="CI91" i="4"/>
  <c r="CV91" i="4"/>
  <c r="AZ92" i="4"/>
  <c r="BB92" i="4"/>
  <c r="BX92" i="4"/>
  <c r="BZ92" i="4"/>
  <c r="CA92" i="4"/>
  <c r="CR92" i="4" s="1"/>
  <c r="CH92" i="4"/>
  <c r="CI92" i="4"/>
  <c r="CV92" i="4"/>
  <c r="AZ93" i="4"/>
  <c r="BX93" i="4"/>
  <c r="BZ93" i="4"/>
  <c r="CA93" i="4"/>
  <c r="CR93" i="4" s="1"/>
  <c r="CH93" i="4"/>
  <c r="CI93" i="4"/>
  <c r="CV93" i="4"/>
  <c r="CW94" i="4"/>
  <c r="BX94" i="4"/>
  <c r="BZ94" i="4"/>
  <c r="CQ94" i="4" s="1"/>
  <c r="CA94" i="4"/>
  <c r="CR94" i="4" s="1"/>
  <c r="CH94" i="4"/>
  <c r="CI94" i="4"/>
  <c r="CV94" i="4"/>
  <c r="BX95" i="4"/>
  <c r="BZ95" i="4"/>
  <c r="CQ95" i="4" s="1"/>
  <c r="CA95" i="4"/>
  <c r="CR95" i="4" s="1"/>
  <c r="CH95" i="4"/>
  <c r="CI95" i="4"/>
  <c r="CV95" i="4"/>
  <c r="CW95" i="4"/>
  <c r="BX96" i="4"/>
  <c r="BZ96" i="4"/>
  <c r="CQ96" i="4" s="1"/>
  <c r="CA96" i="4"/>
  <c r="CR96" i="4" s="1"/>
  <c r="CH96" i="4"/>
  <c r="CI96" i="4"/>
  <c r="CV96" i="4"/>
  <c r="AZ97" i="4"/>
  <c r="AY97" i="4"/>
  <c r="BX97" i="4"/>
  <c r="BZ97" i="4"/>
  <c r="CQ97" i="4" s="1"/>
  <c r="CA97" i="4"/>
  <c r="CR97" i="4" s="1"/>
  <c r="CH97" i="4"/>
  <c r="CI97" i="4"/>
  <c r="CV97" i="4"/>
  <c r="AY98" i="4"/>
  <c r="AZ98" i="4"/>
  <c r="BB98" i="4"/>
  <c r="BX98" i="4"/>
  <c r="BZ98" i="4"/>
  <c r="CA98" i="4"/>
  <c r="CR98" i="4" s="1"/>
  <c r="CH98" i="4"/>
  <c r="CI98" i="4"/>
  <c r="CV98" i="4"/>
  <c r="AY85" i="4"/>
  <c r="AZ85" i="4"/>
  <c r="BB85" i="4"/>
  <c r="BX85" i="4"/>
  <c r="BZ85" i="4"/>
  <c r="CA85" i="4"/>
  <c r="CR85" i="4" s="1"/>
  <c r="CE85" i="4"/>
  <c r="CH85" i="4"/>
  <c r="CI85" i="4"/>
  <c r="CV85" i="4"/>
  <c r="CW85" i="4"/>
  <c r="C85" i="4"/>
  <c r="Q85" i="4"/>
  <c r="CP85" i="4" s="1"/>
  <c r="S85" i="4"/>
  <c r="AB85" i="4"/>
  <c r="Q86" i="4"/>
  <c r="AD86" i="4" s="1"/>
  <c r="S86" i="4"/>
  <c r="AB86" i="4"/>
  <c r="Q87" i="4"/>
  <c r="AD87" i="4" s="1"/>
  <c r="S87" i="4"/>
  <c r="AB87" i="4"/>
  <c r="Q88" i="4"/>
  <c r="CP88" i="4" s="1"/>
  <c r="S88" i="4"/>
  <c r="AB88" i="4"/>
  <c r="Q89" i="4"/>
  <c r="S89" i="4"/>
  <c r="AB89" i="4"/>
  <c r="Q90" i="4"/>
  <c r="CP90" i="4" s="1"/>
  <c r="S90" i="4"/>
  <c r="AB90" i="4"/>
  <c r="Q91" i="4"/>
  <c r="CP91" i="4" s="1"/>
  <c r="S91" i="4"/>
  <c r="AB91" i="4"/>
  <c r="Q92" i="4"/>
  <c r="S92" i="4"/>
  <c r="AB92" i="4"/>
  <c r="Q93" i="4"/>
  <c r="CP93" i="4" s="1"/>
  <c r="S93" i="4"/>
  <c r="AB93" i="4"/>
  <c r="Q94" i="4"/>
  <c r="AD94" i="4" s="1"/>
  <c r="S94" i="4"/>
  <c r="AB94" i="4"/>
  <c r="Q95" i="4"/>
  <c r="AD95" i="4" s="1"/>
  <c r="S95" i="4"/>
  <c r="AB95" i="4"/>
  <c r="Q96" i="4"/>
  <c r="CP96" i="4" s="1"/>
  <c r="S96" i="4"/>
  <c r="AB96" i="4"/>
  <c r="Q97" i="4"/>
  <c r="AD97" i="4" s="1"/>
  <c r="S97" i="4"/>
  <c r="AB97" i="4"/>
  <c r="Q98" i="4"/>
  <c r="CP98" i="4" s="1"/>
  <c r="S98" i="4"/>
  <c r="AB98" i="4"/>
  <c r="B85" i="4"/>
  <c r="B86" i="4"/>
  <c r="B87" i="4"/>
  <c r="B88" i="4"/>
  <c r="B89" i="4"/>
  <c r="C89" i="4"/>
  <c r="B90" i="4"/>
  <c r="B91" i="4"/>
  <c r="B92" i="4"/>
  <c r="B93" i="4"/>
  <c r="B94" i="4"/>
  <c r="B95" i="4"/>
  <c r="B96" i="4"/>
  <c r="B97" i="4"/>
  <c r="B98" i="4"/>
  <c r="F12" i="81"/>
  <c r="O265" i="4" s="1"/>
  <c r="L12" i="81"/>
  <c r="AS264" i="4" s="1"/>
  <c r="BP100" i="4" l="1"/>
  <c r="BU100" i="4" s="1"/>
  <c r="BV100" i="4" s="1"/>
  <c r="BN85" i="4"/>
  <c r="CN100" i="4"/>
  <c r="BU103" i="4"/>
  <c r="BV103" i="4" s="1"/>
  <c r="AM90" i="4"/>
  <c r="CF90" i="4" s="1"/>
  <c r="BQ105" i="4"/>
  <c r="BU105" i="4"/>
  <c r="BV105" i="4" s="1"/>
  <c r="BU106" i="4"/>
  <c r="BV106" i="4" s="1"/>
  <c r="BQ106" i="4"/>
  <c r="BQ110" i="4"/>
  <c r="BU110" i="4"/>
  <c r="BV110" i="4" s="1"/>
  <c r="BU109" i="4"/>
  <c r="BV109" i="4" s="1"/>
  <c r="BQ109" i="4"/>
  <c r="BQ107" i="4"/>
  <c r="BU107" i="4"/>
  <c r="BV107" i="4" s="1"/>
  <c r="BQ108" i="4"/>
  <c r="BU108" i="4"/>
  <c r="BV108" i="4" s="1"/>
  <c r="CB96" i="4"/>
  <c r="CB91" i="4"/>
  <c r="CQ91" i="4"/>
  <c r="BQ100" i="4"/>
  <c r="AD93" i="4"/>
  <c r="CG99" i="4"/>
  <c r="CN99" i="4"/>
  <c r="BP99" i="4"/>
  <c r="BQ102" i="4"/>
  <c r="BU102" i="4"/>
  <c r="BV102" i="4" s="1"/>
  <c r="CN101" i="4"/>
  <c r="CG101" i="4"/>
  <c r="BP101" i="4"/>
  <c r="AD91" i="4"/>
  <c r="AM91" i="4"/>
  <c r="CF91" i="4" s="1"/>
  <c r="AM98" i="4"/>
  <c r="CF98" i="4" s="1"/>
  <c r="CB85" i="4"/>
  <c r="AD90" i="4"/>
  <c r="CB97" i="4"/>
  <c r="CB86" i="4"/>
  <c r="CO85" i="4"/>
  <c r="BY89" i="4"/>
  <c r="CB95" i="4"/>
  <c r="BS85" i="4"/>
  <c r="BT85" i="4" s="1"/>
  <c r="CQ85" i="4"/>
  <c r="AM97" i="4"/>
  <c r="CF97" i="4" s="1"/>
  <c r="CB93" i="4"/>
  <c r="AM92" i="4"/>
  <c r="CF92" i="4" s="1"/>
  <c r="AM89" i="4"/>
  <c r="CF89" i="4" s="1"/>
  <c r="CB90" i="4"/>
  <c r="AD98" i="4"/>
  <c r="AM88" i="4"/>
  <c r="CF88" i="4" s="1"/>
  <c r="CL85" i="4"/>
  <c r="CM85" i="4" s="1"/>
  <c r="AD88" i="4"/>
  <c r="AM85" i="4"/>
  <c r="CF85" i="4" s="1"/>
  <c r="AM96" i="4"/>
  <c r="CF96" i="4" s="1"/>
  <c r="AD85" i="4"/>
  <c r="CP89" i="4"/>
  <c r="CP87" i="4"/>
  <c r="CP86" i="4"/>
  <c r="AD96" i="4"/>
  <c r="AM93" i="4"/>
  <c r="CF93" i="4" s="1"/>
  <c r="CQ93" i="4"/>
  <c r="CP92" i="4"/>
  <c r="CP94" i="4"/>
  <c r="CB87" i="4"/>
  <c r="AM95" i="4"/>
  <c r="CF95" i="4" s="1"/>
  <c r="CP97" i="4"/>
  <c r="CP95" i="4"/>
  <c r="CB89" i="4"/>
  <c r="AD89" i="4"/>
  <c r="AM86" i="4"/>
  <c r="CF86" i="4" s="1"/>
  <c r="BO89" i="4"/>
  <c r="CG89" i="4" s="1"/>
  <c r="CQ92" i="4"/>
  <c r="CB92" i="4"/>
  <c r="CO97" i="4"/>
  <c r="BN97" i="4"/>
  <c r="BW97" i="4" s="1"/>
  <c r="BY97" i="4" s="1"/>
  <c r="BS97" i="4"/>
  <c r="BT97" i="4" s="1"/>
  <c r="CQ98" i="4"/>
  <c r="CB98" i="4"/>
  <c r="C92" i="4"/>
  <c r="CE92" i="4"/>
  <c r="CL91" i="4"/>
  <c r="CM91" i="4" s="1"/>
  <c r="CO91" i="4"/>
  <c r="BN91" i="4"/>
  <c r="BW91" i="4" s="1"/>
  <c r="BY91" i="4" s="1"/>
  <c r="BS91" i="4"/>
  <c r="BT91" i="4" s="1"/>
  <c r="CW96" i="4"/>
  <c r="AY96" i="4"/>
  <c r="AZ96" i="4"/>
  <c r="BB96" i="4"/>
  <c r="CE91" i="4"/>
  <c r="C91" i="4"/>
  <c r="CE97" i="4"/>
  <c r="C97" i="4"/>
  <c r="CL97" i="4"/>
  <c r="CM97" i="4" s="1"/>
  <c r="BN98" i="4"/>
  <c r="BW98" i="4" s="1"/>
  <c r="BY98" i="4" s="1"/>
  <c r="BS98" i="4"/>
  <c r="BT98" i="4" s="1"/>
  <c r="C98" i="4"/>
  <c r="CE98" i="4"/>
  <c r="CO87" i="4"/>
  <c r="BN87" i="4"/>
  <c r="BW87" i="4" s="1"/>
  <c r="BY87" i="4" s="1"/>
  <c r="BS87" i="4"/>
  <c r="BT87" i="4" s="1"/>
  <c r="CL87" i="4"/>
  <c r="CM87" i="4" s="1"/>
  <c r="CO98" i="4"/>
  <c r="CL98" i="4"/>
  <c r="CM98" i="4" s="1"/>
  <c r="CE95" i="4"/>
  <c r="C95" i="4"/>
  <c r="C86" i="4"/>
  <c r="CE86" i="4"/>
  <c r="BB94" i="4"/>
  <c r="AY93" i="4"/>
  <c r="CW97" i="4"/>
  <c r="AZ94" i="4"/>
  <c r="CW91" i="4"/>
  <c r="AZ88" i="4"/>
  <c r="BB95" i="4"/>
  <c r="AY94" i="4"/>
  <c r="AY88" i="4"/>
  <c r="CW98" i="4"/>
  <c r="AZ95" i="4"/>
  <c r="CW92" i="4"/>
  <c r="CO89" i="4"/>
  <c r="AY95" i="4"/>
  <c r="BB90" i="4"/>
  <c r="CW93" i="4"/>
  <c r="AZ90" i="4"/>
  <c r="CW87" i="4"/>
  <c r="BB97" i="4"/>
  <c r="BB91" i="4"/>
  <c r="AY90" i="4"/>
  <c r="CL89" i="4"/>
  <c r="CM89" i="4" s="1"/>
  <c r="CW88" i="4"/>
  <c r="CR87" i="4"/>
  <c r="BB86" i="4"/>
  <c r="BS89" i="4"/>
  <c r="BT89" i="4" s="1"/>
  <c r="AZ86" i="4"/>
  <c r="CB88" i="4"/>
  <c r="BB87" i="4"/>
  <c r="AY86" i="4"/>
  <c r="CB94" i="4"/>
  <c r="BB93" i="4"/>
  <c r="AY92" i="4"/>
  <c r="AZ87" i="4"/>
  <c r="AD92" i="4"/>
  <c r="AM87" i="4"/>
  <c r="CF87" i="4" s="1"/>
  <c r="AM94" i="4"/>
  <c r="CF94" i="4" s="1"/>
  <c r="BX65" i="4"/>
  <c r="BZ65" i="4"/>
  <c r="CQ65" i="4" s="1"/>
  <c r="CA65" i="4"/>
  <c r="CH65" i="4"/>
  <c r="CI65" i="4"/>
  <c r="CV65" i="4"/>
  <c r="AY66" i="4"/>
  <c r="C66" i="4"/>
  <c r="BX66" i="4"/>
  <c r="BZ66" i="4"/>
  <c r="CQ66" i="4" s="1"/>
  <c r="CA66" i="4"/>
  <c r="CR66" i="4" s="1"/>
  <c r="CH66" i="4"/>
  <c r="CI66" i="4"/>
  <c r="CV66" i="4"/>
  <c r="CW67" i="4"/>
  <c r="AZ67" i="4"/>
  <c r="BB67" i="4"/>
  <c r="BX67" i="4"/>
  <c r="BZ67" i="4"/>
  <c r="CQ67" i="4" s="1"/>
  <c r="CA67" i="4"/>
  <c r="CR67" i="4" s="1"/>
  <c r="CH67" i="4"/>
  <c r="CI67" i="4"/>
  <c r="CV67" i="4"/>
  <c r="CW68" i="4"/>
  <c r="BX68" i="4"/>
  <c r="BZ68" i="4"/>
  <c r="CQ68" i="4" s="1"/>
  <c r="CA68" i="4"/>
  <c r="CH68" i="4"/>
  <c r="CI68" i="4"/>
  <c r="CV68" i="4"/>
  <c r="CW69" i="4"/>
  <c r="BX69" i="4"/>
  <c r="BZ69" i="4"/>
  <c r="CQ69" i="4" s="1"/>
  <c r="CA69" i="4"/>
  <c r="CH69" i="4"/>
  <c r="CI69" i="4"/>
  <c r="CV69" i="4"/>
  <c r="BX70" i="4"/>
  <c r="BZ70" i="4"/>
  <c r="CQ70" i="4" s="1"/>
  <c r="CA70" i="4"/>
  <c r="CR70" i="4" s="1"/>
  <c r="CH70" i="4"/>
  <c r="CI70" i="4"/>
  <c r="CV70" i="4"/>
  <c r="CW70" i="4"/>
  <c r="BX71" i="4"/>
  <c r="BZ71" i="4"/>
  <c r="CQ71" i="4" s="1"/>
  <c r="CA71" i="4"/>
  <c r="CR71" i="4" s="1"/>
  <c r="CH71" i="4"/>
  <c r="CI71" i="4"/>
  <c r="CV71" i="4"/>
  <c r="AZ72" i="4"/>
  <c r="C72" i="4"/>
  <c r="AY72" i="4"/>
  <c r="CO72" i="4" s="1"/>
  <c r="BX72" i="4"/>
  <c r="BZ72" i="4"/>
  <c r="CQ72" i="4" s="1"/>
  <c r="CA72" i="4"/>
  <c r="CR72" i="4" s="1"/>
  <c r="CH72" i="4"/>
  <c r="CI72" i="4"/>
  <c r="CV72" i="4"/>
  <c r="CW73" i="4"/>
  <c r="AZ73" i="4"/>
  <c r="BB73" i="4"/>
  <c r="BX73" i="4"/>
  <c r="BZ73" i="4"/>
  <c r="CQ73" i="4" s="1"/>
  <c r="CA73" i="4"/>
  <c r="CR73" i="4" s="1"/>
  <c r="CH73" i="4"/>
  <c r="CI73" i="4"/>
  <c r="CV73" i="4"/>
  <c r="CW74" i="4"/>
  <c r="AY74" i="4"/>
  <c r="BB74" i="4"/>
  <c r="BX74" i="4"/>
  <c r="BZ74" i="4"/>
  <c r="CA74" i="4"/>
  <c r="CR74" i="4" s="1"/>
  <c r="CH74" i="4"/>
  <c r="CI74" i="4"/>
  <c r="CV74" i="4"/>
  <c r="CW75" i="4"/>
  <c r="BX75" i="4"/>
  <c r="BZ75" i="4"/>
  <c r="CQ75" i="4" s="1"/>
  <c r="CA75" i="4"/>
  <c r="CR75" i="4" s="1"/>
  <c r="CH75" i="4"/>
  <c r="CI75" i="4"/>
  <c r="CV75" i="4"/>
  <c r="BX76" i="4"/>
  <c r="BZ76" i="4"/>
  <c r="CQ76" i="4" s="1"/>
  <c r="CA76" i="4"/>
  <c r="CR76" i="4" s="1"/>
  <c r="CH76" i="4"/>
  <c r="CI76" i="4"/>
  <c r="CV76" i="4"/>
  <c r="CW76" i="4"/>
  <c r="BX77" i="4"/>
  <c r="BZ77" i="4"/>
  <c r="CQ77" i="4" s="1"/>
  <c r="CA77" i="4"/>
  <c r="CR77" i="4" s="1"/>
  <c r="CH77" i="4"/>
  <c r="CI77" i="4"/>
  <c r="CV77" i="4"/>
  <c r="AZ78" i="4"/>
  <c r="BX78" i="4"/>
  <c r="BZ78" i="4"/>
  <c r="CQ78" i="4" s="1"/>
  <c r="CA78" i="4"/>
  <c r="CR78" i="4" s="1"/>
  <c r="CH78" i="4"/>
  <c r="CI78" i="4"/>
  <c r="CV78" i="4"/>
  <c r="BB79" i="4"/>
  <c r="BX79" i="4"/>
  <c r="BZ79" i="4"/>
  <c r="CQ79" i="4" s="1"/>
  <c r="CA79" i="4"/>
  <c r="CR79" i="4" s="1"/>
  <c r="CH79" i="4"/>
  <c r="CI79" i="4"/>
  <c r="CV79" i="4"/>
  <c r="CW80" i="4"/>
  <c r="BX80" i="4"/>
  <c r="BZ80" i="4"/>
  <c r="CA80" i="4"/>
  <c r="CR80" i="4" s="1"/>
  <c r="CH80" i="4"/>
  <c r="CI80" i="4"/>
  <c r="CV80" i="4"/>
  <c r="CW81" i="4"/>
  <c r="BX81" i="4"/>
  <c r="BZ81" i="4"/>
  <c r="CQ81" i="4" s="1"/>
  <c r="CA81" i="4"/>
  <c r="CR81" i="4" s="1"/>
  <c r="CH81" i="4"/>
  <c r="CI81" i="4"/>
  <c r="CV81" i="4"/>
  <c r="AY82" i="4"/>
  <c r="BX82" i="4"/>
  <c r="BZ82" i="4"/>
  <c r="CQ82" i="4" s="1"/>
  <c r="CA82" i="4"/>
  <c r="CR82" i="4" s="1"/>
  <c r="CH82" i="4"/>
  <c r="CI82" i="4"/>
  <c r="CV82" i="4"/>
  <c r="BX83" i="4"/>
  <c r="BZ83" i="4"/>
  <c r="CQ83" i="4" s="1"/>
  <c r="CA83" i="4"/>
  <c r="CR83" i="4" s="1"/>
  <c r="CH83" i="4"/>
  <c r="CI83" i="4"/>
  <c r="CV83" i="4"/>
  <c r="AZ84" i="4"/>
  <c r="BX84" i="4"/>
  <c r="BZ84" i="4"/>
  <c r="CQ84" i="4" s="1"/>
  <c r="CA84" i="4"/>
  <c r="CR84" i="4" s="1"/>
  <c r="CH84" i="4"/>
  <c r="CI84" i="4"/>
  <c r="CV84" i="4"/>
  <c r="AY64" i="4"/>
  <c r="AZ64" i="4"/>
  <c r="BB64" i="4"/>
  <c r="BX64" i="4"/>
  <c r="BZ64" i="4"/>
  <c r="CQ64" i="4" s="1"/>
  <c r="CA64" i="4"/>
  <c r="CR64" i="4" s="1"/>
  <c r="CE64" i="4"/>
  <c r="CH64" i="4"/>
  <c r="CI64" i="4"/>
  <c r="CV64" i="4"/>
  <c r="CW64" i="4"/>
  <c r="C64" i="4"/>
  <c r="Q64" i="4"/>
  <c r="S64" i="4"/>
  <c r="AB64" i="4"/>
  <c r="Q65" i="4"/>
  <c r="CP65" i="4" s="1"/>
  <c r="S65" i="4"/>
  <c r="AB65" i="4"/>
  <c r="Q66" i="4"/>
  <c r="AD66" i="4" s="1"/>
  <c r="S66" i="4"/>
  <c r="AB66" i="4"/>
  <c r="Q67" i="4"/>
  <c r="CP67" i="4" s="1"/>
  <c r="S67" i="4"/>
  <c r="AB67" i="4"/>
  <c r="Q68" i="4"/>
  <c r="CP68" i="4" s="1"/>
  <c r="S68" i="4"/>
  <c r="AB68" i="4"/>
  <c r="Q69" i="4"/>
  <c r="AD69" i="4" s="1"/>
  <c r="S69" i="4"/>
  <c r="AB69" i="4"/>
  <c r="Q70" i="4"/>
  <c r="CP70" i="4" s="1"/>
  <c r="S70" i="4"/>
  <c r="AB70" i="4"/>
  <c r="Q71" i="4"/>
  <c r="AD71" i="4" s="1"/>
  <c r="S71" i="4"/>
  <c r="AB71" i="4"/>
  <c r="Q72" i="4"/>
  <c r="AD72" i="4" s="1"/>
  <c r="S72" i="4"/>
  <c r="AB72" i="4"/>
  <c r="Q73" i="4"/>
  <c r="AD73" i="4" s="1"/>
  <c r="S73" i="4"/>
  <c r="AB73" i="4"/>
  <c r="Q74" i="4"/>
  <c r="S74" i="4"/>
  <c r="AB74" i="4"/>
  <c r="Q75" i="4"/>
  <c r="CP75" i="4" s="1"/>
  <c r="S75" i="4"/>
  <c r="AB75" i="4"/>
  <c r="Q76" i="4"/>
  <c r="AD76" i="4" s="1"/>
  <c r="S76" i="4"/>
  <c r="AB76" i="4"/>
  <c r="Q77" i="4"/>
  <c r="AD77" i="4" s="1"/>
  <c r="S77" i="4"/>
  <c r="AB77" i="4"/>
  <c r="Q78" i="4"/>
  <c r="AD78" i="4" s="1"/>
  <c r="S78" i="4"/>
  <c r="AB78" i="4"/>
  <c r="Q79" i="4"/>
  <c r="CP79" i="4" s="1"/>
  <c r="S79" i="4"/>
  <c r="AB79" i="4"/>
  <c r="Q80" i="4"/>
  <c r="S80" i="4"/>
  <c r="AB80" i="4"/>
  <c r="Q81" i="4"/>
  <c r="AD81" i="4" s="1"/>
  <c r="S81" i="4"/>
  <c r="AB81" i="4"/>
  <c r="Q82" i="4"/>
  <c r="AD82" i="4" s="1"/>
  <c r="S82" i="4"/>
  <c r="AB82" i="4"/>
  <c r="Q83" i="4"/>
  <c r="AD83" i="4" s="1"/>
  <c r="S83" i="4"/>
  <c r="AB83" i="4"/>
  <c r="Q84" i="4"/>
  <c r="AD84" i="4" s="1"/>
  <c r="S84" i="4"/>
  <c r="AB84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C3" i="116"/>
  <c r="BW85" i="4" l="1"/>
  <c r="BY85" i="4" s="1"/>
  <c r="BO85" i="4"/>
  <c r="BN64" i="4"/>
  <c r="BO64" i="4" s="1"/>
  <c r="CS91" i="4"/>
  <c r="BQ99" i="4"/>
  <c r="BU99" i="4"/>
  <c r="BV99" i="4" s="1"/>
  <c r="BU101" i="4"/>
  <c r="BV101" i="4" s="1"/>
  <c r="BQ101" i="4"/>
  <c r="BO97" i="4"/>
  <c r="CG97" i="4" s="1"/>
  <c r="CS85" i="4"/>
  <c r="CS97" i="4"/>
  <c r="CS89" i="4"/>
  <c r="BP89" i="4"/>
  <c r="BQ89" i="4" s="1"/>
  <c r="AM79" i="4"/>
  <c r="CF79" i="4" s="1"/>
  <c r="CN89" i="4"/>
  <c r="BO87" i="4"/>
  <c r="CG87" i="4" s="1"/>
  <c r="BO98" i="4"/>
  <c r="BP98" i="4" s="1"/>
  <c r="CE93" i="4"/>
  <c r="C93" i="4"/>
  <c r="BN92" i="4"/>
  <c r="BW92" i="4" s="1"/>
  <c r="BY92" i="4" s="1"/>
  <c r="BS92" i="4"/>
  <c r="BT92" i="4" s="1"/>
  <c r="CL92" i="4"/>
  <c r="CM92" i="4" s="1"/>
  <c r="CO92" i="4"/>
  <c r="CS92" i="4" s="1"/>
  <c r="C94" i="4"/>
  <c r="CE94" i="4"/>
  <c r="CO93" i="4"/>
  <c r="CS93" i="4" s="1"/>
  <c r="BS93" i="4"/>
  <c r="BT93" i="4" s="1"/>
  <c r="CL93" i="4"/>
  <c r="CM93" i="4" s="1"/>
  <c r="BN93" i="4"/>
  <c r="BW93" i="4" s="1"/>
  <c r="BY93" i="4" s="1"/>
  <c r="CS87" i="4"/>
  <c r="BS90" i="4"/>
  <c r="BT90" i="4" s="1"/>
  <c r="CO90" i="4"/>
  <c r="CS90" i="4" s="1"/>
  <c r="BN90" i="4"/>
  <c r="BW90" i="4" s="1"/>
  <c r="BY90" i="4" s="1"/>
  <c r="CL90" i="4"/>
  <c r="CM90" i="4" s="1"/>
  <c r="BS96" i="4"/>
  <c r="BT96" i="4" s="1"/>
  <c r="CO96" i="4"/>
  <c r="CS96" i="4" s="1"/>
  <c r="BN96" i="4"/>
  <c r="BW96" i="4" s="1"/>
  <c r="BY96" i="4" s="1"/>
  <c r="CL96" i="4"/>
  <c r="CM96" i="4" s="1"/>
  <c r="C96" i="4"/>
  <c r="CE96" i="4"/>
  <c r="CL86" i="4"/>
  <c r="CM86" i="4" s="1"/>
  <c r="CO86" i="4"/>
  <c r="CS86" i="4" s="1"/>
  <c r="BN86" i="4"/>
  <c r="BW86" i="4" s="1"/>
  <c r="BY86" i="4" s="1"/>
  <c r="BS86" i="4"/>
  <c r="BT86" i="4" s="1"/>
  <c r="BN88" i="4"/>
  <c r="BW88" i="4" s="1"/>
  <c r="BY88" i="4" s="1"/>
  <c r="BS88" i="4"/>
  <c r="BT88" i="4" s="1"/>
  <c r="CL88" i="4"/>
  <c r="CM88" i="4" s="1"/>
  <c r="CO88" i="4"/>
  <c r="CS88" i="4" s="1"/>
  <c r="BN94" i="4"/>
  <c r="BW94" i="4" s="1"/>
  <c r="BY94" i="4" s="1"/>
  <c r="BS94" i="4"/>
  <c r="BT94" i="4" s="1"/>
  <c r="CL94" i="4"/>
  <c r="CM94" i="4" s="1"/>
  <c r="CO94" i="4"/>
  <c r="CS94" i="4" s="1"/>
  <c r="BO91" i="4"/>
  <c r="C90" i="4"/>
  <c r="CE90" i="4"/>
  <c r="CE87" i="4"/>
  <c r="C87" i="4"/>
  <c r="CS98" i="4"/>
  <c r="CE88" i="4"/>
  <c r="C88" i="4"/>
  <c r="CL95" i="4"/>
  <c r="CM95" i="4" s="1"/>
  <c r="CO95" i="4"/>
  <c r="CS95" i="4" s="1"/>
  <c r="BN95" i="4"/>
  <c r="BW95" i="4" s="1"/>
  <c r="BY95" i="4" s="1"/>
  <c r="BS95" i="4"/>
  <c r="BT95" i="4" s="1"/>
  <c r="CN85" i="4"/>
  <c r="CG85" i="4"/>
  <c r="BP85" i="4"/>
  <c r="AM76" i="4"/>
  <c r="CF76" i="4" s="1"/>
  <c r="CB72" i="4"/>
  <c r="AD79" i="4"/>
  <c r="CP81" i="4"/>
  <c r="AM72" i="4"/>
  <c r="CF72" i="4" s="1"/>
  <c r="CB69" i="4"/>
  <c r="CB80" i="4"/>
  <c r="CP76" i="4"/>
  <c r="AM74" i="4"/>
  <c r="CF74" i="4" s="1"/>
  <c r="CP84" i="4"/>
  <c r="AM80" i="4"/>
  <c r="CF80" i="4" s="1"/>
  <c r="AD65" i="4"/>
  <c r="CB74" i="4"/>
  <c r="AM75" i="4"/>
  <c r="CF75" i="4" s="1"/>
  <c r="CB64" i="4"/>
  <c r="AM64" i="4"/>
  <c r="CF64" i="4" s="1"/>
  <c r="AD75" i="4"/>
  <c r="AD68" i="4"/>
  <c r="CP64" i="4"/>
  <c r="AD64" i="4"/>
  <c r="AD74" i="4"/>
  <c r="CR69" i="4"/>
  <c r="CQ74" i="4"/>
  <c r="CP82" i="4"/>
  <c r="CQ80" i="4"/>
  <c r="CB65" i="4"/>
  <c r="AM82" i="4"/>
  <c r="CF82" i="4" s="1"/>
  <c r="AM65" i="4"/>
  <c r="CF65" i="4" s="1"/>
  <c r="AM70" i="4"/>
  <c r="CF70" i="4" s="1"/>
  <c r="AM84" i="4"/>
  <c r="CF84" i="4" s="1"/>
  <c r="AD70" i="4"/>
  <c r="AM67" i="4"/>
  <c r="CF67" i="4" s="1"/>
  <c r="CL64" i="4"/>
  <c r="CM64" i="4" s="1"/>
  <c r="CP74" i="4"/>
  <c r="AM81" i="4"/>
  <c r="CF81" i="4" s="1"/>
  <c r="AD67" i="4"/>
  <c r="CP83" i="4"/>
  <c r="CB81" i="4"/>
  <c r="CP73" i="4"/>
  <c r="CP72" i="4"/>
  <c r="CS72" i="4" s="1"/>
  <c r="CB68" i="4"/>
  <c r="CB82" i="4"/>
  <c r="CP71" i="4"/>
  <c r="CB70" i="4"/>
  <c r="AM69" i="4"/>
  <c r="CF69" i="4" s="1"/>
  <c r="AD80" i="4"/>
  <c r="AM77" i="4"/>
  <c r="CF77" i="4" s="1"/>
  <c r="CP77" i="4"/>
  <c r="CB84" i="4"/>
  <c r="CP78" i="4"/>
  <c r="CB76" i="4"/>
  <c r="CP66" i="4"/>
  <c r="CP80" i="4"/>
  <c r="BS74" i="4"/>
  <c r="BT74" i="4" s="1"/>
  <c r="CB78" i="4"/>
  <c r="CP69" i="4"/>
  <c r="AM68" i="4"/>
  <c r="CF68" i="4" s="1"/>
  <c r="BS64" i="4"/>
  <c r="BT64" i="4" s="1"/>
  <c r="CO64" i="4"/>
  <c r="BN74" i="4"/>
  <c r="BW74" i="4" s="1"/>
  <c r="BY74" i="4" s="1"/>
  <c r="CO66" i="4"/>
  <c r="BN66" i="4"/>
  <c r="BW66" i="4" s="1"/>
  <c r="BY66" i="4" s="1"/>
  <c r="BS66" i="4"/>
  <c r="BT66" i="4" s="1"/>
  <c r="CL66" i="4"/>
  <c r="CM66" i="4" s="1"/>
  <c r="C77" i="4"/>
  <c r="CE77" i="4"/>
  <c r="C76" i="4"/>
  <c r="CE76" i="4"/>
  <c r="C71" i="4"/>
  <c r="CE71" i="4"/>
  <c r="C70" i="4"/>
  <c r="CE70" i="4"/>
  <c r="CL82" i="4"/>
  <c r="CM82" i="4" s="1"/>
  <c r="CO82" i="4"/>
  <c r="BN82" i="4"/>
  <c r="BW82" i="4" s="1"/>
  <c r="BY82" i="4" s="1"/>
  <c r="BS82" i="4"/>
  <c r="BT82" i="4" s="1"/>
  <c r="C83" i="4"/>
  <c r="CE83" i="4"/>
  <c r="C65" i="4"/>
  <c r="CE65" i="4"/>
  <c r="CB75" i="4"/>
  <c r="AY73" i="4"/>
  <c r="CL72" i="4"/>
  <c r="CM72" i="4" s="1"/>
  <c r="BB80" i="4"/>
  <c r="AY79" i="4"/>
  <c r="BB68" i="4"/>
  <c r="AY67" i="4"/>
  <c r="CW83" i="4"/>
  <c r="AZ80" i="4"/>
  <c r="CW77" i="4"/>
  <c r="CO74" i="4"/>
  <c r="AZ74" i="4"/>
  <c r="CW71" i="4"/>
  <c r="AZ68" i="4"/>
  <c r="CW65" i="4"/>
  <c r="BB81" i="4"/>
  <c r="AY80" i="4"/>
  <c r="BB75" i="4"/>
  <c r="AY84" i="4"/>
  <c r="CW82" i="4"/>
  <c r="BB69" i="4"/>
  <c r="AY68" i="4"/>
  <c r="CW84" i="4"/>
  <c r="AZ81" i="4"/>
  <c r="CW78" i="4"/>
  <c r="AZ75" i="4"/>
  <c r="CW72" i="4"/>
  <c r="BS72" i="4"/>
  <c r="BT72" i="4" s="1"/>
  <c r="AZ69" i="4"/>
  <c r="CW66" i="4"/>
  <c r="BB76" i="4"/>
  <c r="AY75" i="4"/>
  <c r="CL74" i="4"/>
  <c r="CM74" i="4" s="1"/>
  <c r="CR65" i="4"/>
  <c r="CB83" i="4"/>
  <c r="BB82" i="4"/>
  <c r="AY81" i="4"/>
  <c r="CB77" i="4"/>
  <c r="CB71" i="4"/>
  <c r="BB70" i="4"/>
  <c r="AY69" i="4"/>
  <c r="AZ82" i="4"/>
  <c r="CW79" i="4"/>
  <c r="AZ76" i="4"/>
  <c r="CE72" i="4"/>
  <c r="AZ70" i="4"/>
  <c r="CE66" i="4"/>
  <c r="BB77" i="4"/>
  <c r="AY76" i="4"/>
  <c r="CB66" i="4"/>
  <c r="BB65" i="4"/>
  <c r="AY78" i="4"/>
  <c r="AZ79" i="4"/>
  <c r="BB71" i="4"/>
  <c r="AY70" i="4"/>
  <c r="AZ83" i="4"/>
  <c r="AZ77" i="4"/>
  <c r="BN72" i="4"/>
  <c r="BW72" i="4" s="1"/>
  <c r="BY72" i="4" s="1"/>
  <c r="AZ71" i="4"/>
  <c r="AZ65" i="4"/>
  <c r="BB83" i="4"/>
  <c r="BB84" i="4"/>
  <c r="AY83" i="4"/>
  <c r="CB79" i="4"/>
  <c r="BB78" i="4"/>
  <c r="AY77" i="4"/>
  <c r="CB67" i="4"/>
  <c r="BB66" i="4"/>
  <c r="AY65" i="4"/>
  <c r="CB73" i="4"/>
  <c r="BB72" i="4"/>
  <c r="AY71" i="4"/>
  <c r="AZ66" i="4"/>
  <c r="CR68" i="4"/>
  <c r="AM83" i="4"/>
  <c r="CF83" i="4" s="1"/>
  <c r="AM71" i="4"/>
  <c r="CF71" i="4" s="1"/>
  <c r="AM78" i="4"/>
  <c r="CF78" i="4" s="1"/>
  <c r="AM66" i="4"/>
  <c r="CF66" i="4" s="1"/>
  <c r="AM73" i="4"/>
  <c r="CF73" i="4" s="1"/>
  <c r="AL391" i="107"/>
  <c r="AL389" i="107"/>
  <c r="AL390" i="107"/>
  <c r="AP205" i="104"/>
  <c r="AR205" i="104" s="1"/>
  <c r="AB205" i="104"/>
  <c r="AB200" i="104"/>
  <c r="AB201" i="104"/>
  <c r="AB202" i="104"/>
  <c r="AB203" i="104"/>
  <c r="AB204" i="104"/>
  <c r="AP200" i="104"/>
  <c r="AR200" i="104" s="1"/>
  <c r="AP201" i="104"/>
  <c r="AR201" i="104" s="1"/>
  <c r="AP202" i="104"/>
  <c r="AR202" i="104" s="1"/>
  <c r="AP203" i="104"/>
  <c r="AR203" i="104" s="1"/>
  <c r="AP204" i="104"/>
  <c r="AR204" i="104" s="1"/>
  <c r="AG386" i="107"/>
  <c r="AI386" i="107" s="1"/>
  <c r="AK386" i="107"/>
  <c r="AL386" i="107" s="1"/>
  <c r="AO386" i="107"/>
  <c r="AP386" i="107"/>
  <c r="W386" i="107"/>
  <c r="AG396" i="107"/>
  <c r="AI396" i="107" s="1"/>
  <c r="Y224" i="104" s="1"/>
  <c r="AK396" i="107"/>
  <c r="AL396" i="107"/>
  <c r="AO396" i="107"/>
  <c r="AP396" i="107"/>
  <c r="AG397" i="107"/>
  <c r="AI397" i="107" s="1"/>
  <c r="AK397" i="107"/>
  <c r="AL397" i="107"/>
  <c r="AO397" i="107"/>
  <c r="AP397" i="107"/>
  <c r="AG398" i="107"/>
  <c r="AI398" i="107" s="1"/>
  <c r="AK398" i="107"/>
  <c r="AL398" i="107"/>
  <c r="AO398" i="107"/>
  <c r="AP398" i="107"/>
  <c r="AG399" i="107"/>
  <c r="AK399" i="107"/>
  <c r="AL399" i="107"/>
  <c r="AO399" i="107"/>
  <c r="AP399" i="107"/>
  <c r="AG400" i="107"/>
  <c r="AI400" i="107" s="1"/>
  <c r="AK400" i="107"/>
  <c r="AL400" i="107"/>
  <c r="AO400" i="107"/>
  <c r="AP400" i="107"/>
  <c r="AG401" i="107"/>
  <c r="AI401" i="107" s="1"/>
  <c r="AK401" i="107"/>
  <c r="AL401" i="107"/>
  <c r="AO401" i="107"/>
  <c r="AP401" i="107"/>
  <c r="W396" i="107"/>
  <c r="W397" i="107"/>
  <c r="W398" i="107"/>
  <c r="W399" i="107"/>
  <c r="W400" i="107"/>
  <c r="W401" i="107"/>
  <c r="T396" i="107"/>
  <c r="T397" i="107"/>
  <c r="T398" i="107"/>
  <c r="T399" i="107"/>
  <c r="T400" i="107"/>
  <c r="T401" i="107"/>
  <c r="D396" i="107"/>
  <c r="D397" i="107"/>
  <c r="D398" i="107"/>
  <c r="D399" i="107"/>
  <c r="D400" i="107"/>
  <c r="D401" i="107"/>
  <c r="AL218" i="107"/>
  <c r="AO218" i="107"/>
  <c r="AP218" i="107"/>
  <c r="AG218" i="107"/>
  <c r="AI218" i="107" s="1"/>
  <c r="T516" i="107"/>
  <c r="T517" i="107"/>
  <c r="D516" i="107"/>
  <c r="D517" i="107"/>
  <c r="D518" i="107"/>
  <c r="V228" i="104"/>
  <c r="X228" i="104" s="1"/>
  <c r="Y228" i="104" s="1"/>
  <c r="C22" i="116"/>
  <c r="C14" i="116"/>
  <c r="AN249" i="4"/>
  <c r="V220" i="104"/>
  <c r="X220" i="104" s="1"/>
  <c r="AG430" i="107" s="1"/>
  <c r="V221" i="104"/>
  <c r="X221" i="104" s="1"/>
  <c r="V222" i="104"/>
  <c r="X222" i="104" s="1"/>
  <c r="V223" i="104"/>
  <c r="X223" i="104" s="1"/>
  <c r="V224" i="104"/>
  <c r="X224" i="104" s="1"/>
  <c r="V225" i="104"/>
  <c r="X225" i="104" s="1"/>
  <c r="V226" i="104"/>
  <c r="X226" i="104" s="1"/>
  <c r="V227" i="104"/>
  <c r="X227" i="104" s="1"/>
  <c r="D409" i="104"/>
  <c r="D410" i="104"/>
  <c r="D411" i="104"/>
  <c r="J409" i="104"/>
  <c r="J410" i="104"/>
  <c r="L410" i="104" s="1"/>
  <c r="J411" i="104"/>
  <c r="L411" i="104" s="1"/>
  <c r="BB7" i="4"/>
  <c r="CW8" i="4"/>
  <c r="CE8" i="4"/>
  <c r="AY9" i="4"/>
  <c r="AZ10" i="4"/>
  <c r="C10" i="4"/>
  <c r="CW11" i="4"/>
  <c r="C11" i="4"/>
  <c r="CW14" i="4"/>
  <c r="C14" i="4"/>
  <c r="CE15" i="4"/>
  <c r="C16" i="4"/>
  <c r="AZ17" i="4"/>
  <c r="CE17" i="4"/>
  <c r="CE19" i="4"/>
  <c r="BB20" i="4"/>
  <c r="CE20" i="4"/>
  <c r="C22" i="4"/>
  <c r="CW23" i="4"/>
  <c r="C23" i="4"/>
  <c r="AY25" i="4"/>
  <c r="CW26" i="4"/>
  <c r="C26" i="4"/>
  <c r="CE27" i="4"/>
  <c r="CE28" i="4"/>
  <c r="AZ29" i="4"/>
  <c r="CE32" i="4"/>
  <c r="CE33" i="4"/>
  <c r="C34" i="4"/>
  <c r="AY35" i="4"/>
  <c r="CE35" i="4"/>
  <c r="AY38" i="4"/>
  <c r="C38" i="4"/>
  <c r="AZ39" i="4"/>
  <c r="AY40" i="4"/>
  <c r="C40" i="4"/>
  <c r="AY41" i="4"/>
  <c r="CE41" i="4"/>
  <c r="CE44" i="4"/>
  <c r="C46" i="4"/>
  <c r="AY47" i="4"/>
  <c r="CE47" i="4"/>
  <c r="C50" i="4"/>
  <c r="CE51" i="4"/>
  <c r="C52" i="4"/>
  <c r="CW53" i="4"/>
  <c r="CE53" i="4"/>
  <c r="AY56" i="4"/>
  <c r="CE56" i="4"/>
  <c r="CE57" i="4"/>
  <c r="C58" i="4"/>
  <c r="CE61" i="4"/>
  <c r="AY5" i="4"/>
  <c r="AZ5" i="4"/>
  <c r="BB5" i="4"/>
  <c r="BX5" i="4"/>
  <c r="BZ5" i="4"/>
  <c r="CA5" i="4"/>
  <c r="CR5" i="4" s="1"/>
  <c r="CH5" i="4"/>
  <c r="CI5" i="4"/>
  <c r="CV5" i="4"/>
  <c r="CW5" i="4"/>
  <c r="AY6" i="4"/>
  <c r="BN6" i="4" s="1"/>
  <c r="BW6" i="4" s="1"/>
  <c r="AZ6" i="4"/>
  <c r="BB6" i="4"/>
  <c r="BX6" i="4"/>
  <c r="BZ6" i="4"/>
  <c r="CA6" i="4"/>
  <c r="CR6" i="4" s="1"/>
  <c r="CH6" i="4"/>
  <c r="CI6" i="4"/>
  <c r="CV6" i="4"/>
  <c r="CW6" i="4"/>
  <c r="AY7" i="4"/>
  <c r="BN7" i="4" s="1"/>
  <c r="BW7" i="4" s="1"/>
  <c r="AZ7" i="4"/>
  <c r="BX7" i="4"/>
  <c r="BZ7" i="4"/>
  <c r="CQ7" i="4" s="1"/>
  <c r="CA7" i="4"/>
  <c r="CR7" i="4" s="1"/>
  <c r="CE7" i="4"/>
  <c r="CH7" i="4"/>
  <c r="CI7" i="4"/>
  <c r="CV7" i="4"/>
  <c r="BB8" i="4"/>
  <c r="BX8" i="4"/>
  <c r="BZ8" i="4"/>
  <c r="CQ8" i="4" s="1"/>
  <c r="CA8" i="4"/>
  <c r="CR8" i="4" s="1"/>
  <c r="CH8" i="4"/>
  <c r="CI8" i="4"/>
  <c r="CV8" i="4"/>
  <c r="AZ9" i="4"/>
  <c r="BB9" i="4"/>
  <c r="BX9" i="4"/>
  <c r="BZ9" i="4"/>
  <c r="CQ9" i="4" s="1"/>
  <c r="CA9" i="4"/>
  <c r="CR9" i="4" s="1"/>
  <c r="CE9" i="4"/>
  <c r="CH9" i="4"/>
  <c r="CI9" i="4"/>
  <c r="CV9" i="4"/>
  <c r="CW9" i="4"/>
  <c r="AY10" i="4"/>
  <c r="BB10" i="4"/>
  <c r="BX10" i="4"/>
  <c r="BZ10" i="4"/>
  <c r="CA10" i="4"/>
  <c r="CR10" i="4" s="1"/>
  <c r="CH10" i="4"/>
  <c r="CI10" i="4"/>
  <c r="CV10" i="4"/>
  <c r="CW10" i="4"/>
  <c r="BB11" i="4"/>
  <c r="BX11" i="4"/>
  <c r="BZ11" i="4"/>
  <c r="CQ11" i="4" s="1"/>
  <c r="CA11" i="4"/>
  <c r="CR11" i="4" s="1"/>
  <c r="CH11" i="4"/>
  <c r="CI11" i="4"/>
  <c r="CV11" i="4"/>
  <c r="AY12" i="4"/>
  <c r="BN12" i="4" s="1"/>
  <c r="BW12" i="4" s="1"/>
  <c r="AZ12" i="4"/>
  <c r="BB12" i="4"/>
  <c r="BX12" i="4"/>
  <c r="BZ12" i="4"/>
  <c r="CQ12" i="4" s="1"/>
  <c r="CA12" i="4"/>
  <c r="CR12" i="4" s="1"/>
  <c r="CH12" i="4"/>
  <c r="CI12" i="4"/>
  <c r="CV12" i="4"/>
  <c r="CW12" i="4"/>
  <c r="AY13" i="4"/>
  <c r="BN13" i="4" s="1"/>
  <c r="BW13" i="4" s="1"/>
  <c r="AZ13" i="4"/>
  <c r="BB13" i="4"/>
  <c r="BX13" i="4"/>
  <c r="BZ13" i="4"/>
  <c r="CA13" i="4"/>
  <c r="CR13" i="4" s="1"/>
  <c r="CE13" i="4"/>
  <c r="CH13" i="4"/>
  <c r="CI13" i="4"/>
  <c r="CV13" i="4"/>
  <c r="CW13" i="4"/>
  <c r="AY14" i="4"/>
  <c r="AZ14" i="4"/>
  <c r="BB14" i="4"/>
  <c r="BX14" i="4"/>
  <c r="BZ14" i="4"/>
  <c r="CQ14" i="4" s="1"/>
  <c r="CA14" i="4"/>
  <c r="CR14" i="4" s="1"/>
  <c r="CE14" i="4"/>
  <c r="CH14" i="4"/>
  <c r="CI14" i="4"/>
  <c r="CV14" i="4"/>
  <c r="AY15" i="4"/>
  <c r="AZ15" i="4"/>
  <c r="BB15" i="4"/>
  <c r="BX15" i="4"/>
  <c r="BZ15" i="4"/>
  <c r="CQ15" i="4" s="1"/>
  <c r="CA15" i="4"/>
  <c r="CR15" i="4" s="1"/>
  <c r="CH15" i="4"/>
  <c r="CI15" i="4"/>
  <c r="CV15" i="4"/>
  <c r="CW15" i="4"/>
  <c r="AY16" i="4"/>
  <c r="AZ16" i="4"/>
  <c r="BB16" i="4"/>
  <c r="BX16" i="4"/>
  <c r="BZ16" i="4"/>
  <c r="CQ16" i="4" s="1"/>
  <c r="CA16" i="4"/>
  <c r="CR16" i="4" s="1"/>
  <c r="CH16" i="4"/>
  <c r="CI16" i="4"/>
  <c r="CV16" i="4"/>
  <c r="CW16" i="4"/>
  <c r="AY17" i="4"/>
  <c r="BX17" i="4"/>
  <c r="BZ17" i="4"/>
  <c r="CQ17" i="4" s="1"/>
  <c r="CA17" i="4"/>
  <c r="CR17" i="4" s="1"/>
  <c r="CH17" i="4"/>
  <c r="CI17" i="4"/>
  <c r="CV17" i="4"/>
  <c r="CW17" i="4"/>
  <c r="AY18" i="4"/>
  <c r="AZ18" i="4"/>
  <c r="BB18" i="4"/>
  <c r="BX18" i="4"/>
  <c r="BZ18" i="4"/>
  <c r="CQ18" i="4" s="1"/>
  <c r="CA18" i="4"/>
  <c r="CR18" i="4" s="1"/>
  <c r="CH18" i="4"/>
  <c r="CI18" i="4"/>
  <c r="CV18" i="4"/>
  <c r="CW18" i="4"/>
  <c r="AY19" i="4"/>
  <c r="CO19" i="4" s="1"/>
  <c r="AZ19" i="4"/>
  <c r="BB19" i="4"/>
  <c r="BX19" i="4"/>
  <c r="BZ19" i="4"/>
  <c r="CQ19" i="4" s="1"/>
  <c r="CA19" i="4"/>
  <c r="CR19" i="4" s="1"/>
  <c r="CH19" i="4"/>
  <c r="CI19" i="4"/>
  <c r="CV19" i="4"/>
  <c r="CW19" i="4"/>
  <c r="AY20" i="4"/>
  <c r="AZ20" i="4"/>
  <c r="BX20" i="4"/>
  <c r="BZ20" i="4"/>
  <c r="CA20" i="4"/>
  <c r="CR20" i="4" s="1"/>
  <c r="CH20" i="4"/>
  <c r="CI20" i="4"/>
  <c r="CV20" i="4"/>
  <c r="CW20" i="4"/>
  <c r="AY21" i="4"/>
  <c r="BN21" i="4" s="1"/>
  <c r="AZ21" i="4"/>
  <c r="BB21" i="4"/>
  <c r="BX21" i="4"/>
  <c r="BZ21" i="4"/>
  <c r="CQ21" i="4" s="1"/>
  <c r="CA21" i="4"/>
  <c r="CR21" i="4" s="1"/>
  <c r="CE21" i="4"/>
  <c r="CH21" i="4"/>
  <c r="CI21" i="4"/>
  <c r="CV21" i="4"/>
  <c r="CW21" i="4"/>
  <c r="AY22" i="4"/>
  <c r="AZ22" i="4"/>
  <c r="BB22" i="4"/>
  <c r="BX22" i="4"/>
  <c r="BZ22" i="4"/>
  <c r="CQ22" i="4" s="1"/>
  <c r="CA22" i="4"/>
  <c r="CR22" i="4" s="1"/>
  <c r="CE22" i="4"/>
  <c r="CH22" i="4"/>
  <c r="CI22" i="4"/>
  <c r="CV22" i="4"/>
  <c r="CW22" i="4"/>
  <c r="BB23" i="4"/>
  <c r="BX23" i="4"/>
  <c r="BZ23" i="4"/>
  <c r="CQ23" i="4" s="1"/>
  <c r="CA23" i="4"/>
  <c r="CR23" i="4" s="1"/>
  <c r="CH23" i="4"/>
  <c r="CI23" i="4"/>
  <c r="CV23" i="4"/>
  <c r="AY24" i="4"/>
  <c r="AZ24" i="4"/>
  <c r="BB24" i="4"/>
  <c r="BX24" i="4"/>
  <c r="BZ24" i="4"/>
  <c r="CA24" i="4"/>
  <c r="CR24" i="4" s="1"/>
  <c r="CH24" i="4"/>
  <c r="CI24" i="4"/>
  <c r="CV24" i="4"/>
  <c r="CW24" i="4"/>
  <c r="AZ25" i="4"/>
  <c r="BB25" i="4"/>
  <c r="BX25" i="4"/>
  <c r="BZ25" i="4"/>
  <c r="CQ25" i="4" s="1"/>
  <c r="CA25" i="4"/>
  <c r="CR25" i="4" s="1"/>
  <c r="CE25" i="4"/>
  <c r="CH25" i="4"/>
  <c r="CI25" i="4"/>
  <c r="CV25" i="4"/>
  <c r="BB26" i="4"/>
  <c r="BX26" i="4"/>
  <c r="BZ26" i="4"/>
  <c r="CA26" i="4"/>
  <c r="CR26" i="4" s="1"/>
  <c r="CE26" i="4"/>
  <c r="CH26" i="4"/>
  <c r="CI26" i="4"/>
  <c r="CV26" i="4"/>
  <c r="AY27" i="4"/>
  <c r="BN27" i="4" s="1"/>
  <c r="BW27" i="4" s="1"/>
  <c r="AZ27" i="4"/>
  <c r="BB27" i="4"/>
  <c r="BX27" i="4"/>
  <c r="BZ27" i="4"/>
  <c r="CQ27" i="4" s="1"/>
  <c r="CA27" i="4"/>
  <c r="CR27" i="4" s="1"/>
  <c r="CH27" i="4"/>
  <c r="CI27" i="4"/>
  <c r="CV27" i="4"/>
  <c r="CW27" i="4"/>
  <c r="AY28" i="4"/>
  <c r="AZ28" i="4"/>
  <c r="BB28" i="4"/>
  <c r="BX28" i="4"/>
  <c r="BZ28" i="4"/>
  <c r="CA28" i="4"/>
  <c r="CR28" i="4" s="1"/>
  <c r="CH28" i="4"/>
  <c r="CI28" i="4"/>
  <c r="CV28" i="4"/>
  <c r="CW28" i="4"/>
  <c r="BX29" i="4"/>
  <c r="BZ29" i="4"/>
  <c r="CQ29" i="4" s="1"/>
  <c r="CA29" i="4"/>
  <c r="CR29" i="4" s="1"/>
  <c r="CH29" i="4"/>
  <c r="CI29" i="4"/>
  <c r="CV29" i="4"/>
  <c r="AY30" i="4"/>
  <c r="AZ30" i="4"/>
  <c r="BB30" i="4"/>
  <c r="BX30" i="4"/>
  <c r="BZ30" i="4"/>
  <c r="CA30" i="4"/>
  <c r="CR30" i="4" s="1"/>
  <c r="CH30" i="4"/>
  <c r="CI30" i="4"/>
  <c r="CV30" i="4"/>
  <c r="CW30" i="4"/>
  <c r="AY31" i="4"/>
  <c r="AZ31" i="4"/>
  <c r="BB31" i="4"/>
  <c r="BX31" i="4"/>
  <c r="BZ31" i="4"/>
  <c r="CQ31" i="4" s="1"/>
  <c r="CA31" i="4"/>
  <c r="CR31" i="4" s="1"/>
  <c r="CE31" i="4"/>
  <c r="CH31" i="4"/>
  <c r="CI31" i="4"/>
  <c r="CV31" i="4"/>
  <c r="CW31" i="4"/>
  <c r="AY32" i="4"/>
  <c r="CO32" i="4" s="1"/>
  <c r="AZ32" i="4"/>
  <c r="BB32" i="4"/>
  <c r="BX32" i="4"/>
  <c r="BZ32" i="4"/>
  <c r="CA32" i="4"/>
  <c r="CR32" i="4" s="1"/>
  <c r="CH32" i="4"/>
  <c r="CI32" i="4"/>
  <c r="CV32" i="4"/>
  <c r="CW32" i="4"/>
  <c r="AY33" i="4"/>
  <c r="AZ33" i="4"/>
  <c r="BB33" i="4"/>
  <c r="BX33" i="4"/>
  <c r="BZ33" i="4"/>
  <c r="CQ33" i="4" s="1"/>
  <c r="CA33" i="4"/>
  <c r="CR33" i="4" s="1"/>
  <c r="CH33" i="4"/>
  <c r="CI33" i="4"/>
  <c r="CV33" i="4"/>
  <c r="CW33" i="4"/>
  <c r="AY34" i="4"/>
  <c r="AZ34" i="4"/>
  <c r="BB34" i="4"/>
  <c r="BX34" i="4"/>
  <c r="BZ34" i="4"/>
  <c r="CA34" i="4"/>
  <c r="CR34" i="4" s="1"/>
  <c r="CH34" i="4"/>
  <c r="CI34" i="4"/>
  <c r="CV34" i="4"/>
  <c r="CW34" i="4"/>
  <c r="BX35" i="4"/>
  <c r="BZ35" i="4"/>
  <c r="CQ35" i="4" s="1"/>
  <c r="CA35" i="4"/>
  <c r="CR35" i="4" s="1"/>
  <c r="CH35" i="4"/>
  <c r="CI35" i="4"/>
  <c r="CV35" i="4"/>
  <c r="AY36" i="4"/>
  <c r="AZ36" i="4"/>
  <c r="BB36" i="4"/>
  <c r="BX36" i="4"/>
  <c r="BZ36" i="4"/>
  <c r="CQ36" i="4" s="1"/>
  <c r="CA36" i="4"/>
  <c r="CH36" i="4"/>
  <c r="CI36" i="4"/>
  <c r="CV36" i="4"/>
  <c r="CW36" i="4"/>
  <c r="AY37" i="4"/>
  <c r="AZ37" i="4"/>
  <c r="BB37" i="4"/>
  <c r="BX37" i="4"/>
  <c r="BZ37" i="4"/>
  <c r="CQ37" i="4" s="1"/>
  <c r="CA37" i="4"/>
  <c r="CR37" i="4" s="1"/>
  <c r="CE37" i="4"/>
  <c r="CH37" i="4"/>
  <c r="CI37" i="4"/>
  <c r="CV37" i="4"/>
  <c r="CW37" i="4"/>
  <c r="AZ38" i="4"/>
  <c r="BB38" i="4"/>
  <c r="BX38" i="4"/>
  <c r="BZ38" i="4"/>
  <c r="CQ38" i="4" s="1"/>
  <c r="CA38" i="4"/>
  <c r="CR38" i="4" s="1"/>
  <c r="CE38" i="4"/>
  <c r="CH38" i="4"/>
  <c r="CI38" i="4"/>
  <c r="CV38" i="4"/>
  <c r="CW38" i="4"/>
  <c r="AY39" i="4"/>
  <c r="BB39" i="4"/>
  <c r="BX39" i="4"/>
  <c r="BZ39" i="4"/>
  <c r="CA39" i="4"/>
  <c r="CR39" i="4" s="1"/>
  <c r="CE39" i="4"/>
  <c r="CH39" i="4"/>
  <c r="CI39" i="4"/>
  <c r="CV39" i="4"/>
  <c r="CW39" i="4"/>
  <c r="AZ40" i="4"/>
  <c r="BB40" i="4"/>
  <c r="BX40" i="4"/>
  <c r="BZ40" i="4"/>
  <c r="CQ40" i="4" s="1"/>
  <c r="CA40" i="4"/>
  <c r="CR40" i="4" s="1"/>
  <c r="CE40" i="4"/>
  <c r="CH40" i="4"/>
  <c r="CI40" i="4"/>
  <c r="CV40" i="4"/>
  <c r="CW40" i="4"/>
  <c r="BX41" i="4"/>
  <c r="BZ41" i="4"/>
  <c r="CA41" i="4"/>
  <c r="CR41" i="4" s="1"/>
  <c r="CH41" i="4"/>
  <c r="CI41" i="4"/>
  <c r="CV41" i="4"/>
  <c r="AY42" i="4"/>
  <c r="AZ42" i="4"/>
  <c r="BB42" i="4"/>
  <c r="BX42" i="4"/>
  <c r="BZ42" i="4"/>
  <c r="CA42" i="4"/>
  <c r="CR42" i="4" s="1"/>
  <c r="CH42" i="4"/>
  <c r="CI42" i="4"/>
  <c r="CV42" i="4"/>
  <c r="CW42" i="4"/>
  <c r="AY43" i="4"/>
  <c r="AZ43" i="4"/>
  <c r="BB43" i="4"/>
  <c r="BX43" i="4"/>
  <c r="BZ43" i="4"/>
  <c r="CQ43" i="4" s="1"/>
  <c r="CA43" i="4"/>
  <c r="CR43" i="4" s="1"/>
  <c r="CE43" i="4"/>
  <c r="CH43" i="4"/>
  <c r="CI43" i="4"/>
  <c r="CV43" i="4"/>
  <c r="CW43" i="4"/>
  <c r="AY44" i="4"/>
  <c r="AZ44" i="4"/>
  <c r="BB44" i="4"/>
  <c r="BX44" i="4"/>
  <c r="BZ44" i="4"/>
  <c r="CQ44" i="4" s="1"/>
  <c r="CA44" i="4"/>
  <c r="CR44" i="4" s="1"/>
  <c r="CH44" i="4"/>
  <c r="CI44" i="4"/>
  <c r="CV44" i="4"/>
  <c r="CW44" i="4"/>
  <c r="AY45" i="4"/>
  <c r="AZ45" i="4"/>
  <c r="BB45" i="4"/>
  <c r="BX45" i="4"/>
  <c r="BZ45" i="4"/>
  <c r="CQ45" i="4" s="1"/>
  <c r="CA45" i="4"/>
  <c r="CR45" i="4" s="1"/>
  <c r="CE45" i="4"/>
  <c r="CH45" i="4"/>
  <c r="CI45" i="4"/>
  <c r="CV45" i="4"/>
  <c r="CW45" i="4"/>
  <c r="AY46" i="4"/>
  <c r="AZ46" i="4"/>
  <c r="BB46" i="4"/>
  <c r="BX46" i="4"/>
  <c r="BZ46" i="4"/>
  <c r="CA46" i="4"/>
  <c r="CR46" i="4" s="1"/>
  <c r="CE46" i="4"/>
  <c r="CH46" i="4"/>
  <c r="CI46" i="4"/>
  <c r="CV46" i="4"/>
  <c r="CW46" i="4"/>
  <c r="BX47" i="4"/>
  <c r="BZ47" i="4"/>
  <c r="CQ47" i="4" s="1"/>
  <c r="CA47" i="4"/>
  <c r="CR47" i="4" s="1"/>
  <c r="CH47" i="4"/>
  <c r="CI47" i="4"/>
  <c r="CV47" i="4"/>
  <c r="AY48" i="4"/>
  <c r="AZ48" i="4"/>
  <c r="BB48" i="4"/>
  <c r="BX48" i="4"/>
  <c r="BZ48" i="4"/>
  <c r="CQ48" i="4" s="1"/>
  <c r="CA48" i="4"/>
  <c r="CR48" i="4" s="1"/>
  <c r="CH48" i="4"/>
  <c r="CI48" i="4"/>
  <c r="CV48" i="4"/>
  <c r="CW48" i="4"/>
  <c r="AY49" i="4"/>
  <c r="AZ49" i="4"/>
  <c r="BB49" i="4"/>
  <c r="BX49" i="4"/>
  <c r="BZ49" i="4"/>
  <c r="CQ49" i="4" s="1"/>
  <c r="CA49" i="4"/>
  <c r="CR49" i="4" s="1"/>
  <c r="CE49" i="4"/>
  <c r="CH49" i="4"/>
  <c r="CI49" i="4"/>
  <c r="CV49" i="4"/>
  <c r="CW49" i="4"/>
  <c r="AY50" i="4"/>
  <c r="AZ50" i="4"/>
  <c r="BB50" i="4"/>
  <c r="BX50" i="4"/>
  <c r="BZ50" i="4"/>
  <c r="CQ50" i="4" s="1"/>
  <c r="CA50" i="4"/>
  <c r="CR50" i="4" s="1"/>
  <c r="CE50" i="4"/>
  <c r="CH50" i="4"/>
  <c r="CI50" i="4"/>
  <c r="CV50" i="4"/>
  <c r="CW50" i="4"/>
  <c r="AY51" i="4"/>
  <c r="CO51" i="4" s="1"/>
  <c r="AZ51" i="4"/>
  <c r="BB51" i="4"/>
  <c r="BX51" i="4"/>
  <c r="BZ51" i="4"/>
  <c r="CA51" i="4"/>
  <c r="CR51" i="4" s="1"/>
  <c r="CH51" i="4"/>
  <c r="CI51" i="4"/>
  <c r="CV51" i="4"/>
  <c r="CW51" i="4"/>
  <c r="AY52" i="4"/>
  <c r="AZ52" i="4"/>
  <c r="BB52" i="4"/>
  <c r="BX52" i="4"/>
  <c r="BZ52" i="4"/>
  <c r="CQ52" i="4" s="1"/>
  <c r="CA52" i="4"/>
  <c r="CR52" i="4" s="1"/>
  <c r="CH52" i="4"/>
  <c r="CI52" i="4"/>
  <c r="CV52" i="4"/>
  <c r="CW52" i="4"/>
  <c r="BX53" i="4"/>
  <c r="BZ53" i="4"/>
  <c r="CQ53" i="4" s="1"/>
  <c r="CA53" i="4"/>
  <c r="CR53" i="4" s="1"/>
  <c r="CH53" i="4"/>
  <c r="CI53" i="4"/>
  <c r="CV53" i="4"/>
  <c r="AY54" i="4"/>
  <c r="AZ54" i="4"/>
  <c r="BB54" i="4"/>
  <c r="BX54" i="4"/>
  <c r="BZ54" i="4"/>
  <c r="CA54" i="4"/>
  <c r="CR54" i="4" s="1"/>
  <c r="CH54" i="4"/>
  <c r="CI54" i="4"/>
  <c r="CV54" i="4"/>
  <c r="CW54" i="4"/>
  <c r="AY55" i="4"/>
  <c r="BN55" i="4" s="1"/>
  <c r="AZ55" i="4"/>
  <c r="BB55" i="4"/>
  <c r="BX55" i="4"/>
  <c r="BZ55" i="4"/>
  <c r="CQ55" i="4" s="1"/>
  <c r="CA55" i="4"/>
  <c r="CR55" i="4" s="1"/>
  <c r="CE55" i="4"/>
  <c r="CH55" i="4"/>
  <c r="CI55" i="4"/>
  <c r="CV55" i="4"/>
  <c r="CW55" i="4"/>
  <c r="BB56" i="4"/>
  <c r="BX56" i="4"/>
  <c r="BZ56" i="4"/>
  <c r="CQ56" i="4" s="1"/>
  <c r="CA56" i="4"/>
  <c r="CR56" i="4" s="1"/>
  <c r="CH56" i="4"/>
  <c r="CI56" i="4"/>
  <c r="CV56" i="4"/>
  <c r="CW56" i="4"/>
  <c r="AY57" i="4"/>
  <c r="AZ57" i="4"/>
  <c r="BB57" i="4"/>
  <c r="BX57" i="4"/>
  <c r="BZ57" i="4"/>
  <c r="CA57" i="4"/>
  <c r="CR57" i="4" s="1"/>
  <c r="CH57" i="4"/>
  <c r="CI57" i="4"/>
  <c r="CV57" i="4"/>
  <c r="CW57" i="4"/>
  <c r="AY58" i="4"/>
  <c r="AZ58" i="4"/>
  <c r="BB58" i="4"/>
  <c r="BX58" i="4"/>
  <c r="BZ58" i="4"/>
  <c r="CQ58" i="4" s="1"/>
  <c r="CA58" i="4"/>
  <c r="CR58" i="4" s="1"/>
  <c r="CH58" i="4"/>
  <c r="CI58" i="4"/>
  <c r="CV58" i="4"/>
  <c r="CW58" i="4"/>
  <c r="BX59" i="4"/>
  <c r="BZ59" i="4"/>
  <c r="CQ59" i="4" s="1"/>
  <c r="CA59" i="4"/>
  <c r="CH59" i="4"/>
  <c r="CI59" i="4"/>
  <c r="CV59" i="4"/>
  <c r="AY60" i="4"/>
  <c r="AZ60" i="4"/>
  <c r="BB60" i="4"/>
  <c r="BX60" i="4"/>
  <c r="BZ60" i="4"/>
  <c r="CQ60" i="4" s="1"/>
  <c r="CA60" i="4"/>
  <c r="CR60" i="4" s="1"/>
  <c r="CH60" i="4"/>
  <c r="CI60" i="4"/>
  <c r="CV60" i="4"/>
  <c r="CW60" i="4"/>
  <c r="AY61" i="4"/>
  <c r="AZ61" i="4"/>
  <c r="BB61" i="4"/>
  <c r="BX61" i="4"/>
  <c r="BZ61" i="4"/>
  <c r="CA61" i="4"/>
  <c r="CR61" i="4" s="1"/>
  <c r="CH61" i="4"/>
  <c r="CI61" i="4"/>
  <c r="CV61" i="4"/>
  <c r="CW61" i="4"/>
  <c r="BB62" i="4"/>
  <c r="BX62" i="4"/>
  <c r="BZ62" i="4"/>
  <c r="CQ62" i="4" s="1"/>
  <c r="CA62" i="4"/>
  <c r="CR62" i="4" s="1"/>
  <c r="CH62" i="4"/>
  <c r="CI62" i="4"/>
  <c r="CV62" i="4"/>
  <c r="CW62" i="4"/>
  <c r="BX63" i="4"/>
  <c r="BZ63" i="4"/>
  <c r="CA63" i="4"/>
  <c r="CR63" i="4" s="1"/>
  <c r="CH63" i="4"/>
  <c r="CI63" i="4"/>
  <c r="CV63" i="4"/>
  <c r="CW63" i="4"/>
  <c r="Q5" i="4"/>
  <c r="S5" i="4"/>
  <c r="AB5" i="4"/>
  <c r="Q6" i="4"/>
  <c r="S6" i="4"/>
  <c r="AB6" i="4"/>
  <c r="Q7" i="4"/>
  <c r="AD7" i="4" s="1"/>
  <c r="S7" i="4"/>
  <c r="AB7" i="4"/>
  <c r="Q8" i="4"/>
  <c r="CP8" i="4" s="1"/>
  <c r="S8" i="4"/>
  <c r="AB8" i="4"/>
  <c r="Q9" i="4"/>
  <c r="AD9" i="4" s="1"/>
  <c r="S9" i="4"/>
  <c r="AB9" i="4"/>
  <c r="Q10" i="4"/>
  <c r="S10" i="4"/>
  <c r="AB10" i="4"/>
  <c r="Q11" i="4"/>
  <c r="AD11" i="4" s="1"/>
  <c r="S11" i="4"/>
  <c r="AB11" i="4"/>
  <c r="Q12" i="4"/>
  <c r="S12" i="4"/>
  <c r="AB12" i="4"/>
  <c r="Q13" i="4"/>
  <c r="AD13" i="4" s="1"/>
  <c r="S13" i="4"/>
  <c r="AB13" i="4"/>
  <c r="Q14" i="4"/>
  <c r="AD14" i="4" s="1"/>
  <c r="S14" i="4"/>
  <c r="AB14" i="4"/>
  <c r="Q15" i="4"/>
  <c r="S15" i="4"/>
  <c r="AB15" i="4"/>
  <c r="Q16" i="4"/>
  <c r="AD16" i="4" s="1"/>
  <c r="S16" i="4"/>
  <c r="AB16" i="4"/>
  <c r="Q17" i="4"/>
  <c r="CP17" i="4" s="1"/>
  <c r="S17" i="4"/>
  <c r="AB17" i="4"/>
  <c r="Q18" i="4"/>
  <c r="S18" i="4"/>
  <c r="AB18" i="4"/>
  <c r="Q19" i="4"/>
  <c r="AD19" i="4" s="1"/>
  <c r="S19" i="4"/>
  <c r="AB19" i="4"/>
  <c r="Q20" i="4"/>
  <c r="AD20" i="4" s="1"/>
  <c r="S20" i="4"/>
  <c r="AB20" i="4"/>
  <c r="Q21" i="4"/>
  <c r="AD21" i="4" s="1"/>
  <c r="S21" i="4"/>
  <c r="AB21" i="4"/>
  <c r="Q22" i="4"/>
  <c r="CP22" i="4" s="1"/>
  <c r="S22" i="4"/>
  <c r="AB22" i="4"/>
  <c r="Q23" i="4"/>
  <c r="S23" i="4"/>
  <c r="AB23" i="4"/>
  <c r="Q24" i="4"/>
  <c r="AD24" i="4" s="1"/>
  <c r="S24" i="4"/>
  <c r="AB24" i="4"/>
  <c r="Q25" i="4"/>
  <c r="AD25" i="4" s="1"/>
  <c r="S25" i="4"/>
  <c r="AB25" i="4"/>
  <c r="Q26" i="4"/>
  <c r="S26" i="4"/>
  <c r="AB26" i="4"/>
  <c r="Q27" i="4"/>
  <c r="AD27" i="4" s="1"/>
  <c r="S27" i="4"/>
  <c r="AB27" i="4"/>
  <c r="Q28" i="4"/>
  <c r="CP28" i="4" s="1"/>
  <c r="S28" i="4"/>
  <c r="AB28" i="4"/>
  <c r="Q29" i="4"/>
  <c r="S29" i="4"/>
  <c r="AB29" i="4"/>
  <c r="Q30" i="4"/>
  <c r="CP30" i="4" s="1"/>
  <c r="S30" i="4"/>
  <c r="AB30" i="4"/>
  <c r="Q31" i="4"/>
  <c r="S31" i="4"/>
  <c r="AB31" i="4"/>
  <c r="Q32" i="4"/>
  <c r="CP32" i="4" s="1"/>
  <c r="S32" i="4"/>
  <c r="AB32" i="4"/>
  <c r="Q33" i="4"/>
  <c r="AD33" i="4" s="1"/>
  <c r="S33" i="4"/>
  <c r="AB33" i="4"/>
  <c r="Q34" i="4"/>
  <c r="S34" i="4"/>
  <c r="AB34" i="4"/>
  <c r="Q35" i="4"/>
  <c r="CP35" i="4" s="1"/>
  <c r="S35" i="4"/>
  <c r="AB35" i="4"/>
  <c r="Q36" i="4"/>
  <c r="S36" i="4"/>
  <c r="AB36" i="4"/>
  <c r="Q37" i="4"/>
  <c r="S37" i="4"/>
  <c r="AB37" i="4"/>
  <c r="Q38" i="4"/>
  <c r="AD38" i="4" s="1"/>
  <c r="S38" i="4"/>
  <c r="AB38" i="4"/>
  <c r="Q39" i="4"/>
  <c r="CP39" i="4" s="1"/>
  <c r="S39" i="4"/>
  <c r="AB39" i="4"/>
  <c r="Q40" i="4"/>
  <c r="S40" i="4"/>
  <c r="AB40" i="4"/>
  <c r="Q41" i="4"/>
  <c r="AD41" i="4" s="1"/>
  <c r="S41" i="4"/>
  <c r="AB41" i="4"/>
  <c r="Q42" i="4"/>
  <c r="S42" i="4"/>
  <c r="AB42" i="4"/>
  <c r="Q43" i="4"/>
  <c r="AD43" i="4" s="1"/>
  <c r="S43" i="4"/>
  <c r="AB43" i="4"/>
  <c r="Q44" i="4"/>
  <c r="CP44" i="4" s="1"/>
  <c r="S44" i="4"/>
  <c r="AB44" i="4"/>
  <c r="Q45" i="4"/>
  <c r="S45" i="4"/>
  <c r="AB45" i="4"/>
  <c r="Q46" i="4"/>
  <c r="AD46" i="4" s="1"/>
  <c r="S46" i="4"/>
  <c r="AB46" i="4"/>
  <c r="Q47" i="4"/>
  <c r="AD47" i="4" s="1"/>
  <c r="S47" i="4"/>
  <c r="AB47" i="4"/>
  <c r="Q48" i="4"/>
  <c r="AD48" i="4" s="1"/>
  <c r="S48" i="4"/>
  <c r="AB48" i="4"/>
  <c r="Q49" i="4"/>
  <c r="CP49" i="4" s="1"/>
  <c r="S49" i="4"/>
  <c r="AB49" i="4"/>
  <c r="Q50" i="4"/>
  <c r="S50" i="4"/>
  <c r="AB50" i="4"/>
  <c r="Q51" i="4"/>
  <c r="CP51" i="4" s="1"/>
  <c r="S51" i="4"/>
  <c r="AB51" i="4"/>
  <c r="Q52" i="4"/>
  <c r="CP52" i="4" s="1"/>
  <c r="S52" i="4"/>
  <c r="AB52" i="4"/>
  <c r="Q53" i="4"/>
  <c r="S53" i="4"/>
  <c r="AB53" i="4"/>
  <c r="Q54" i="4"/>
  <c r="CP54" i="4" s="1"/>
  <c r="S54" i="4"/>
  <c r="AB54" i="4"/>
  <c r="Q55" i="4"/>
  <c r="S55" i="4"/>
  <c r="AB55" i="4"/>
  <c r="Q56" i="4"/>
  <c r="S56" i="4"/>
  <c r="AB56" i="4"/>
  <c r="Q57" i="4"/>
  <c r="AD57" i="4" s="1"/>
  <c r="S57" i="4"/>
  <c r="AB57" i="4"/>
  <c r="Q58" i="4"/>
  <c r="AD58" i="4" s="1"/>
  <c r="S58" i="4"/>
  <c r="AB58" i="4"/>
  <c r="Q59" i="4"/>
  <c r="CP59" i="4" s="1"/>
  <c r="S59" i="4"/>
  <c r="AB59" i="4"/>
  <c r="Q60" i="4"/>
  <c r="AD60" i="4" s="1"/>
  <c r="S60" i="4"/>
  <c r="AB60" i="4"/>
  <c r="Q61" i="4"/>
  <c r="AD61" i="4" s="1"/>
  <c r="S61" i="4"/>
  <c r="AB61" i="4"/>
  <c r="Q62" i="4"/>
  <c r="AD62" i="4" s="1"/>
  <c r="S62" i="4"/>
  <c r="AB62" i="4"/>
  <c r="Q63" i="4"/>
  <c r="AD63" i="4" s="1"/>
  <c r="S63" i="4"/>
  <c r="AB63" i="4"/>
  <c r="B5" i="4"/>
  <c r="B6" i="4"/>
  <c r="B7" i="4"/>
  <c r="C7" i="4"/>
  <c r="B8" i="4"/>
  <c r="B9" i="4"/>
  <c r="C9" i="4"/>
  <c r="B10" i="4"/>
  <c r="B11" i="4"/>
  <c r="B12" i="4"/>
  <c r="B13" i="4"/>
  <c r="C13" i="4"/>
  <c r="B14" i="4"/>
  <c r="B15" i="4"/>
  <c r="C15" i="4"/>
  <c r="B16" i="4"/>
  <c r="B17" i="4"/>
  <c r="B18" i="4"/>
  <c r="B19" i="4"/>
  <c r="C19" i="4"/>
  <c r="B20" i="4"/>
  <c r="B21" i="4"/>
  <c r="C21" i="4"/>
  <c r="B22" i="4"/>
  <c r="B23" i="4"/>
  <c r="B24" i="4"/>
  <c r="B25" i="4"/>
  <c r="C25" i="4"/>
  <c r="B26" i="4"/>
  <c r="B27" i="4"/>
  <c r="C27" i="4"/>
  <c r="B28" i="4"/>
  <c r="B29" i="4"/>
  <c r="B30" i="4"/>
  <c r="B31" i="4"/>
  <c r="C31" i="4"/>
  <c r="B32" i="4"/>
  <c r="B33" i="4"/>
  <c r="C33" i="4"/>
  <c r="B34" i="4"/>
  <c r="B35" i="4"/>
  <c r="B36" i="4"/>
  <c r="B37" i="4"/>
  <c r="C37" i="4"/>
  <c r="B38" i="4"/>
  <c r="B39" i="4"/>
  <c r="C39" i="4"/>
  <c r="B40" i="4"/>
  <c r="B41" i="4"/>
  <c r="B42" i="4"/>
  <c r="B43" i="4"/>
  <c r="C43" i="4"/>
  <c r="B44" i="4"/>
  <c r="B45" i="4"/>
  <c r="C45" i="4"/>
  <c r="B46" i="4"/>
  <c r="B47" i="4"/>
  <c r="B48" i="4"/>
  <c r="B49" i="4"/>
  <c r="C49" i="4"/>
  <c r="B50" i="4"/>
  <c r="B51" i="4"/>
  <c r="C51" i="4"/>
  <c r="B52" i="4"/>
  <c r="B53" i="4"/>
  <c r="B54" i="4"/>
  <c r="B55" i="4"/>
  <c r="C55" i="4"/>
  <c r="B56" i="4"/>
  <c r="B57" i="4"/>
  <c r="C57" i="4"/>
  <c r="B58" i="4"/>
  <c r="B59" i="4"/>
  <c r="B60" i="4"/>
  <c r="B61" i="4"/>
  <c r="C61" i="4"/>
  <c r="B62" i="4"/>
  <c r="B63" i="4"/>
  <c r="AG14" i="118"/>
  <c r="AG22" i="118"/>
  <c r="AD21" i="118"/>
  <c r="AD10" i="118"/>
  <c r="D649" i="107"/>
  <c r="D5" i="107"/>
  <c r="Q244" i="4" l="1"/>
  <c r="CO31" i="4"/>
  <c r="CO61" i="4"/>
  <c r="BN28" i="4"/>
  <c r="BN5" i="4"/>
  <c r="BW5" i="4" s="1"/>
  <c r="BY5" i="4" s="1"/>
  <c r="CO14" i="4"/>
  <c r="BN10" i="4"/>
  <c r="BW64" i="4"/>
  <c r="BY64" i="4" s="1"/>
  <c r="BN50" i="4"/>
  <c r="BW50" i="4" s="1"/>
  <c r="CO36" i="4"/>
  <c r="CO20" i="4"/>
  <c r="BN15" i="4"/>
  <c r="BW15" i="4" s="1"/>
  <c r="BY15" i="4" s="1"/>
  <c r="BN60" i="4"/>
  <c r="BW60" i="4" s="1"/>
  <c r="BY60" i="4" s="1"/>
  <c r="CO43" i="4"/>
  <c r="CO39" i="4"/>
  <c r="CO41" i="4"/>
  <c r="CO54" i="4"/>
  <c r="CO22" i="4"/>
  <c r="CS22" i="4" s="1"/>
  <c r="Y223" i="104"/>
  <c r="BU89" i="4"/>
  <c r="BV89" i="4" s="1"/>
  <c r="CN97" i="4"/>
  <c r="BP97" i="4"/>
  <c r="BQ97" i="4" s="1"/>
  <c r="BP87" i="4"/>
  <c r="BQ87" i="4" s="1"/>
  <c r="CN87" i="4"/>
  <c r="CN98" i="4"/>
  <c r="CG98" i="4"/>
  <c r="CP5" i="4"/>
  <c r="BO95" i="4"/>
  <c r="BP95" i="4" s="1"/>
  <c r="BO88" i="4"/>
  <c r="CN88" i="4" s="1"/>
  <c r="Y222" i="104"/>
  <c r="AC267" i="4"/>
  <c r="L409" i="104"/>
  <c r="O267" i="4" s="1"/>
  <c r="BO92" i="4"/>
  <c r="BP92" i="4" s="1"/>
  <c r="BO90" i="4"/>
  <c r="CG90" i="4" s="1"/>
  <c r="BO94" i="4"/>
  <c r="BP91" i="4"/>
  <c r="CG91" i="4"/>
  <c r="CN91" i="4"/>
  <c r="BO93" i="4"/>
  <c r="BO96" i="4"/>
  <c r="BQ98" i="4"/>
  <c r="BU98" i="4"/>
  <c r="BV98" i="4" s="1"/>
  <c r="BO86" i="4"/>
  <c r="BU85" i="4"/>
  <c r="BV85" i="4" s="1"/>
  <c r="BQ85" i="4"/>
  <c r="CS74" i="4"/>
  <c r="CS82" i="4"/>
  <c r="CS64" i="4"/>
  <c r="BO66" i="4"/>
  <c r="BP66" i="4" s="1"/>
  <c r="BO82" i="4"/>
  <c r="CN82" i="4" s="1"/>
  <c r="CS66" i="4"/>
  <c r="AM32" i="4"/>
  <c r="CF32" i="4" s="1"/>
  <c r="BO72" i="4"/>
  <c r="BP72" i="4" s="1"/>
  <c r="BO74" i="4"/>
  <c r="CL76" i="4"/>
  <c r="CM76" i="4" s="1"/>
  <c r="BS76" i="4"/>
  <c r="BT76" i="4" s="1"/>
  <c r="CO76" i="4"/>
  <c r="CS76" i="4" s="1"/>
  <c r="BN76" i="4"/>
  <c r="BW76" i="4" s="1"/>
  <c r="BY76" i="4" s="1"/>
  <c r="CO84" i="4"/>
  <c r="CS84" i="4" s="1"/>
  <c r="BN84" i="4"/>
  <c r="BW84" i="4" s="1"/>
  <c r="BY84" i="4" s="1"/>
  <c r="BS84" i="4"/>
  <c r="BT84" i="4" s="1"/>
  <c r="CL84" i="4"/>
  <c r="CM84" i="4" s="1"/>
  <c r="CE79" i="4"/>
  <c r="C79" i="4"/>
  <c r="CL77" i="4"/>
  <c r="CM77" i="4" s="1"/>
  <c r="CO77" i="4"/>
  <c r="CS77" i="4" s="1"/>
  <c r="BN77" i="4"/>
  <c r="BW77" i="4" s="1"/>
  <c r="BY77" i="4" s="1"/>
  <c r="BS77" i="4"/>
  <c r="BT77" i="4" s="1"/>
  <c r="C82" i="4"/>
  <c r="CE82" i="4"/>
  <c r="C69" i="4"/>
  <c r="CE69" i="4"/>
  <c r="BS81" i="4"/>
  <c r="BT81" i="4" s="1"/>
  <c r="CL81" i="4"/>
  <c r="CM81" i="4" s="1"/>
  <c r="CO81" i="4"/>
  <c r="CS81" i="4" s="1"/>
  <c r="BN81" i="4"/>
  <c r="BW81" i="4" s="1"/>
  <c r="BY81" i="4" s="1"/>
  <c r="CE74" i="4"/>
  <c r="C74" i="4"/>
  <c r="BS80" i="4"/>
  <c r="BT80" i="4" s="1"/>
  <c r="BN80" i="4"/>
  <c r="BW80" i="4" s="1"/>
  <c r="BY80" i="4" s="1"/>
  <c r="CL80" i="4"/>
  <c r="CM80" i="4" s="1"/>
  <c r="CO80" i="4"/>
  <c r="CS80" i="4" s="1"/>
  <c r="CL70" i="4"/>
  <c r="CM70" i="4" s="1"/>
  <c r="BS70" i="4"/>
  <c r="BT70" i="4" s="1"/>
  <c r="CO70" i="4"/>
  <c r="CS70" i="4" s="1"/>
  <c r="BN70" i="4"/>
  <c r="BW70" i="4" s="1"/>
  <c r="BY70" i="4" s="1"/>
  <c r="BN67" i="4"/>
  <c r="BW67" i="4" s="1"/>
  <c r="BY67" i="4" s="1"/>
  <c r="BS67" i="4"/>
  <c r="BT67" i="4" s="1"/>
  <c r="CL67" i="4"/>
  <c r="CM67" i="4" s="1"/>
  <c r="CO67" i="4"/>
  <c r="CS67" i="4" s="1"/>
  <c r="CL83" i="4"/>
  <c r="CM83" i="4" s="1"/>
  <c r="CO83" i="4"/>
  <c r="CS83" i="4" s="1"/>
  <c r="BN83" i="4"/>
  <c r="BW83" i="4" s="1"/>
  <c r="BY83" i="4" s="1"/>
  <c r="BS83" i="4"/>
  <c r="BT83" i="4" s="1"/>
  <c r="C75" i="4"/>
  <c r="CE75" i="4"/>
  <c r="CE80" i="4"/>
  <c r="C80" i="4"/>
  <c r="CE67" i="4"/>
  <c r="C67" i="4"/>
  <c r="BN79" i="4"/>
  <c r="BW79" i="4" s="1"/>
  <c r="BY79" i="4" s="1"/>
  <c r="BS79" i="4"/>
  <c r="BT79" i="4" s="1"/>
  <c r="CL79" i="4"/>
  <c r="CM79" i="4" s="1"/>
  <c r="CO79" i="4"/>
  <c r="CS79" i="4" s="1"/>
  <c r="CO71" i="4"/>
  <c r="CS71" i="4" s="1"/>
  <c r="BN71" i="4"/>
  <c r="BW71" i="4" s="1"/>
  <c r="BY71" i="4" s="1"/>
  <c r="CL71" i="4"/>
  <c r="CM71" i="4" s="1"/>
  <c r="BS71" i="4"/>
  <c r="BT71" i="4" s="1"/>
  <c r="C78" i="4"/>
  <c r="CE78" i="4"/>
  <c r="C84" i="4"/>
  <c r="CE84" i="4"/>
  <c r="BS75" i="4"/>
  <c r="BT75" i="4" s="1"/>
  <c r="CL75" i="4"/>
  <c r="CM75" i="4" s="1"/>
  <c r="CO75" i="4"/>
  <c r="CS75" i="4" s="1"/>
  <c r="BN75" i="4"/>
  <c r="BW75" i="4" s="1"/>
  <c r="BY75" i="4" s="1"/>
  <c r="CO78" i="4"/>
  <c r="CS78" i="4" s="1"/>
  <c r="BN78" i="4"/>
  <c r="BW78" i="4" s="1"/>
  <c r="BY78" i="4" s="1"/>
  <c r="BS78" i="4"/>
  <c r="BT78" i="4" s="1"/>
  <c r="CL78" i="4"/>
  <c r="CM78" i="4" s="1"/>
  <c r="C81" i="4"/>
  <c r="CE81" i="4"/>
  <c r="BN68" i="4"/>
  <c r="BW68" i="4" s="1"/>
  <c r="BY68" i="4" s="1"/>
  <c r="BS68" i="4"/>
  <c r="BT68" i="4" s="1"/>
  <c r="CL68" i="4"/>
  <c r="CM68" i="4" s="1"/>
  <c r="CO68" i="4"/>
  <c r="CS68" i="4" s="1"/>
  <c r="CE73" i="4"/>
  <c r="C73" i="4"/>
  <c r="BN73" i="4"/>
  <c r="BW73" i="4" s="1"/>
  <c r="BY73" i="4" s="1"/>
  <c r="CO73" i="4"/>
  <c r="CS73" i="4" s="1"/>
  <c r="BS73" i="4"/>
  <c r="BT73" i="4" s="1"/>
  <c r="CL73" i="4"/>
  <c r="CM73" i="4" s="1"/>
  <c r="CL65" i="4"/>
  <c r="CM65" i="4" s="1"/>
  <c r="CO65" i="4"/>
  <c r="CS65" i="4" s="1"/>
  <c r="BN65" i="4"/>
  <c r="BW65" i="4" s="1"/>
  <c r="BY65" i="4" s="1"/>
  <c r="BS65" i="4"/>
  <c r="BT65" i="4" s="1"/>
  <c r="BS69" i="4"/>
  <c r="BT69" i="4" s="1"/>
  <c r="CL69" i="4"/>
  <c r="CM69" i="4" s="1"/>
  <c r="CO69" i="4"/>
  <c r="CS69" i="4" s="1"/>
  <c r="BN69" i="4"/>
  <c r="BW69" i="4" s="1"/>
  <c r="BY69" i="4" s="1"/>
  <c r="CE68" i="4"/>
  <c r="C68" i="4"/>
  <c r="CN64" i="4"/>
  <c r="BP64" i="4"/>
  <c r="CG64" i="4"/>
  <c r="CB59" i="4"/>
  <c r="CB12" i="4"/>
  <c r="AM39" i="4"/>
  <c r="CF39" i="4" s="1"/>
  <c r="AD17" i="4"/>
  <c r="CL6" i="4"/>
  <c r="CM6" i="4" s="1"/>
  <c r="AD5" i="4"/>
  <c r="AD39" i="4"/>
  <c r="CB10" i="4"/>
  <c r="CB24" i="4"/>
  <c r="BY27" i="4"/>
  <c r="CL57" i="4"/>
  <c r="CM57" i="4" s="1"/>
  <c r="CB5" i="4"/>
  <c r="CB54" i="4"/>
  <c r="CB15" i="4"/>
  <c r="BS31" i="4"/>
  <c r="BT31" i="4" s="1"/>
  <c r="CB41" i="4"/>
  <c r="AD32" i="4"/>
  <c r="AM17" i="4"/>
  <c r="CF17" i="4" s="1"/>
  <c r="AM13" i="4"/>
  <c r="CF13" i="4" s="1"/>
  <c r="CB16" i="4"/>
  <c r="CB35" i="4"/>
  <c r="AM35" i="4"/>
  <c r="CF35" i="4" s="1"/>
  <c r="AD35" i="4"/>
  <c r="CQ54" i="4"/>
  <c r="CB36" i="4"/>
  <c r="BY13" i="4"/>
  <c r="CP60" i="4"/>
  <c r="CB44" i="4"/>
  <c r="CB43" i="4"/>
  <c r="BN31" i="4"/>
  <c r="BW31" i="4" s="1"/>
  <c r="BY31" i="4" s="1"/>
  <c r="CB51" i="4"/>
  <c r="CB14" i="4"/>
  <c r="CO5" i="4"/>
  <c r="AQ401" i="107"/>
  <c r="C26" i="116"/>
  <c r="AQ399" i="107"/>
  <c r="AQ397" i="107"/>
  <c r="AQ400" i="107"/>
  <c r="AQ398" i="107"/>
  <c r="AM400" i="107"/>
  <c r="AN400" i="107" s="1"/>
  <c r="AM398" i="107"/>
  <c r="AN398" i="107" s="1"/>
  <c r="AM399" i="107"/>
  <c r="AQ396" i="107"/>
  <c r="Y225" i="104"/>
  <c r="AM386" i="107"/>
  <c r="AM401" i="107"/>
  <c r="AI399" i="107"/>
  <c r="Y221" i="104"/>
  <c r="AM396" i="107"/>
  <c r="AM397" i="107"/>
  <c r="Y227" i="104"/>
  <c r="Y226" i="104"/>
  <c r="AM218" i="107"/>
  <c r="AN218" i="107" s="1"/>
  <c r="Y220" i="104"/>
  <c r="AS267" i="4"/>
  <c r="CB47" i="4"/>
  <c r="AM49" i="4"/>
  <c r="CF49" i="4" s="1"/>
  <c r="BS44" i="4"/>
  <c r="BT44" i="4" s="1"/>
  <c r="CB40" i="4"/>
  <c r="CB38" i="4"/>
  <c r="CB7" i="4"/>
  <c r="AM20" i="4"/>
  <c r="CF20" i="4" s="1"/>
  <c r="AD52" i="4"/>
  <c r="AM27" i="4"/>
  <c r="CF27" i="4" s="1"/>
  <c r="AD59" i="4"/>
  <c r="AM52" i="4"/>
  <c r="CF52" i="4" s="1"/>
  <c r="BN39" i="4"/>
  <c r="BW39" i="4" s="1"/>
  <c r="BY39" i="4" s="1"/>
  <c r="BS30" i="4"/>
  <c r="BT30" i="4" s="1"/>
  <c r="CB18" i="4"/>
  <c r="AM63" i="4"/>
  <c r="CF63" i="4" s="1"/>
  <c r="AD30" i="4"/>
  <c r="AM5" i="4"/>
  <c r="CF5" i="4" s="1"/>
  <c r="CB50" i="4"/>
  <c r="CQ10" i="4"/>
  <c r="CP46" i="4"/>
  <c r="CL33" i="4"/>
  <c r="CM33" i="4" s="1"/>
  <c r="CP11" i="4"/>
  <c r="AM8" i="4"/>
  <c r="CF8" i="4" s="1"/>
  <c r="CB57" i="4"/>
  <c r="AM11" i="4"/>
  <c r="CF11" i="4" s="1"/>
  <c r="CB11" i="4"/>
  <c r="CP7" i="4"/>
  <c r="AM61" i="4"/>
  <c r="CF61" i="4" s="1"/>
  <c r="AM46" i="4"/>
  <c r="CF46" i="4" s="1"/>
  <c r="BN43" i="4"/>
  <c r="BW43" i="4" s="1"/>
  <c r="BY43" i="4" s="1"/>
  <c r="BW55" i="4"/>
  <c r="BY55" i="4" s="1"/>
  <c r="BO55" i="4"/>
  <c r="CG55" i="4" s="1"/>
  <c r="C12" i="4"/>
  <c r="CE12" i="4"/>
  <c r="BS25" i="4"/>
  <c r="BT25" i="4" s="1"/>
  <c r="BN25" i="4"/>
  <c r="BW25" i="4" s="1"/>
  <c r="BY25" i="4" s="1"/>
  <c r="C24" i="4"/>
  <c r="CE24" i="4"/>
  <c r="C30" i="4"/>
  <c r="CE30" i="4"/>
  <c r="C36" i="4"/>
  <c r="CE36" i="4"/>
  <c r="C18" i="4"/>
  <c r="CE18" i="4"/>
  <c r="BN38" i="4"/>
  <c r="BW38" i="4" s="1"/>
  <c r="BY38" i="4" s="1"/>
  <c r="C42" i="4"/>
  <c r="CE42" i="4"/>
  <c r="CO47" i="4"/>
  <c r="BN47" i="4"/>
  <c r="BO47" i="4" s="1"/>
  <c r="C63" i="4"/>
  <c r="CE63" i="4"/>
  <c r="CE62" i="4"/>
  <c r="C62" i="4"/>
  <c r="CE48" i="4"/>
  <c r="C48" i="4"/>
  <c r="CO35" i="4"/>
  <c r="CS35" i="4" s="1"/>
  <c r="BN35" i="4"/>
  <c r="BW35" i="4" s="1"/>
  <c r="BY35" i="4" s="1"/>
  <c r="CE60" i="4"/>
  <c r="C60" i="4"/>
  <c r="BN40" i="4"/>
  <c r="BW40" i="4" s="1"/>
  <c r="BY40" i="4" s="1"/>
  <c r="CO40" i="4"/>
  <c r="C54" i="4"/>
  <c r="CE54" i="4"/>
  <c r="CE59" i="4"/>
  <c r="C59" i="4"/>
  <c r="C6" i="4"/>
  <c r="CE6" i="4"/>
  <c r="BS34" i="4"/>
  <c r="BT34" i="4" s="1"/>
  <c r="BB63" i="4"/>
  <c r="AZ62" i="4"/>
  <c r="AZ56" i="4"/>
  <c r="BS51" i="4"/>
  <c r="BT51" i="4" s="1"/>
  <c r="CW35" i="4"/>
  <c r="CE23" i="4"/>
  <c r="BB17" i="4"/>
  <c r="C56" i="4"/>
  <c r="C44" i="4"/>
  <c r="C32" i="4"/>
  <c r="C20" i="4"/>
  <c r="C8" i="4"/>
  <c r="AZ63" i="4"/>
  <c r="AY62" i="4"/>
  <c r="BB59" i="4"/>
  <c r="BN54" i="4"/>
  <c r="BW54" i="4" s="1"/>
  <c r="BY54" i="4" s="1"/>
  <c r="BB53" i="4"/>
  <c r="BN51" i="4"/>
  <c r="BW51" i="4" s="1"/>
  <c r="BY51" i="4" s="1"/>
  <c r="BB35" i="4"/>
  <c r="BN32" i="4"/>
  <c r="BW32" i="4" s="1"/>
  <c r="BY32" i="4" s="1"/>
  <c r="CE10" i="4"/>
  <c r="AZ53" i="4"/>
  <c r="CE11" i="4"/>
  <c r="CO7" i="4"/>
  <c r="AZ35" i="4"/>
  <c r="CW47" i="4"/>
  <c r="AY63" i="4"/>
  <c r="AZ59" i="4"/>
  <c r="CW59" i="4"/>
  <c r="AY53" i="4"/>
  <c r="CL53" i="4" s="1"/>
  <c r="CM53" i="4" s="1"/>
  <c r="BB47" i="4"/>
  <c r="BS36" i="4"/>
  <c r="BT36" i="4" s="1"/>
  <c r="AZ23" i="4"/>
  <c r="AZ11" i="4"/>
  <c r="CO27" i="4"/>
  <c r="AZ26" i="4"/>
  <c r="AY11" i="4"/>
  <c r="C47" i="4"/>
  <c r="C35" i="4"/>
  <c r="C17" i="4"/>
  <c r="BS32" i="4"/>
  <c r="BT32" i="4" s="1"/>
  <c r="CL21" i="4"/>
  <c r="CM21" i="4" s="1"/>
  <c r="CL50" i="4"/>
  <c r="CM50" i="4" s="1"/>
  <c r="AY26" i="4"/>
  <c r="CE16" i="4"/>
  <c r="AY8" i="4"/>
  <c r="BB29" i="4"/>
  <c r="AY59" i="4"/>
  <c r="BB41" i="4"/>
  <c r="AZ47" i="4"/>
  <c r="AZ41" i="4"/>
  <c r="AY29" i="4"/>
  <c r="CW41" i="4"/>
  <c r="CW29" i="4"/>
  <c r="AY23" i="4"/>
  <c r="CL23" i="4" s="1"/>
  <c r="CM23" i="4" s="1"/>
  <c r="AZ8" i="4"/>
  <c r="C53" i="4"/>
  <c r="C41" i="4"/>
  <c r="CE58" i="4"/>
  <c r="CE52" i="4"/>
  <c r="BN36" i="4"/>
  <c r="BW36" i="4" s="1"/>
  <c r="BY36" i="4" s="1"/>
  <c r="CE34" i="4"/>
  <c r="CW25" i="4"/>
  <c r="CW7" i="4"/>
  <c r="CO60" i="4"/>
  <c r="C28" i="4"/>
  <c r="CE5" i="4"/>
  <c r="C5" i="4"/>
  <c r="AM59" i="4"/>
  <c r="CF59" i="4" s="1"/>
  <c r="AD49" i="4"/>
  <c r="AM30" i="4"/>
  <c r="CF30" i="4" s="1"/>
  <c r="AD8" i="4"/>
  <c r="CB63" i="4"/>
  <c r="CB62" i="4"/>
  <c r="CB55" i="4"/>
  <c r="CB48" i="4"/>
  <c r="BS41" i="4"/>
  <c r="BT41" i="4" s="1"/>
  <c r="CO25" i="4"/>
  <c r="CB19" i="4"/>
  <c r="CB17" i="4"/>
  <c r="BY7" i="4"/>
  <c r="BS7" i="4"/>
  <c r="BT7" i="4" s="1"/>
  <c r="CB6" i="4"/>
  <c r="CP16" i="4"/>
  <c r="BS27" i="4"/>
  <c r="BT27" i="4" s="1"/>
  <c r="CQ5" i="4"/>
  <c r="CL15" i="4"/>
  <c r="CM15" i="4" s="1"/>
  <c r="CQ24" i="4"/>
  <c r="CP14" i="4"/>
  <c r="CB32" i="4"/>
  <c r="CL27" i="4"/>
  <c r="CM27" i="4" s="1"/>
  <c r="BS17" i="4"/>
  <c r="BT17" i="4" s="1"/>
  <c r="BY12" i="4"/>
  <c r="CP25" i="4"/>
  <c r="CB26" i="4"/>
  <c r="CR36" i="4"/>
  <c r="BS5" i="4"/>
  <c r="BT5" i="4" s="1"/>
  <c r="AM54" i="4"/>
  <c r="CF54" i="4" s="1"/>
  <c r="AM22" i="4"/>
  <c r="CF22" i="4" s="1"/>
  <c r="AD54" i="4"/>
  <c r="AM41" i="4"/>
  <c r="CF41" i="4" s="1"/>
  <c r="AM28" i="4"/>
  <c r="CF28" i="4" s="1"/>
  <c r="AM25" i="4"/>
  <c r="CF25" i="4" s="1"/>
  <c r="AD22" i="4"/>
  <c r="CL20" i="4"/>
  <c r="CM20" i="4" s="1"/>
  <c r="AM16" i="4"/>
  <c r="CF16" i="4" s="1"/>
  <c r="CQ63" i="4"/>
  <c r="BS60" i="4"/>
  <c r="BT60" i="4" s="1"/>
  <c r="CP57" i="4"/>
  <c r="CL56" i="4"/>
  <c r="CM56" i="4" s="1"/>
  <c r="CB53" i="4"/>
  <c r="CB52" i="4"/>
  <c r="BN30" i="4"/>
  <c r="BW30" i="4" s="1"/>
  <c r="BY30" i="4" s="1"/>
  <c r="CP19" i="4"/>
  <c r="CS19" i="4" s="1"/>
  <c r="CP13" i="4"/>
  <c r="CB9" i="4"/>
  <c r="CB8" i="4"/>
  <c r="CB56" i="4"/>
  <c r="CQ51" i="4"/>
  <c r="CS51" i="4" s="1"/>
  <c r="CP41" i="4"/>
  <c r="AM47" i="4"/>
  <c r="CF47" i="4" s="1"/>
  <c r="AM44" i="4"/>
  <c r="CF44" i="4" s="1"/>
  <c r="AD28" i="4"/>
  <c r="CP63" i="4"/>
  <c r="CO57" i="4"/>
  <c r="CP38" i="4"/>
  <c r="CB30" i="4"/>
  <c r="CP27" i="4"/>
  <c r="CL5" i="4"/>
  <c r="CM5" i="4" s="1"/>
  <c r="BS19" i="4"/>
  <c r="BT19" i="4" s="1"/>
  <c r="AD44" i="4"/>
  <c r="CQ30" i="4"/>
  <c r="CB23" i="4"/>
  <c r="AD18" i="4"/>
  <c r="AM18" i="4"/>
  <c r="CF18" i="4" s="1"/>
  <c r="CP18" i="4"/>
  <c r="CP6" i="4"/>
  <c r="BN49" i="4"/>
  <c r="BW49" i="4" s="1"/>
  <c r="BY49" i="4" s="1"/>
  <c r="BS49" i="4"/>
  <c r="BT49" i="4" s="1"/>
  <c r="CP58" i="4"/>
  <c r="BS58" i="4"/>
  <c r="BT58" i="4" s="1"/>
  <c r="CL48" i="4"/>
  <c r="CM48" i="4" s="1"/>
  <c r="BN48" i="4"/>
  <c r="BW48" i="4" s="1"/>
  <c r="BY48" i="4" s="1"/>
  <c r="CO48" i="4"/>
  <c r="AD23" i="4"/>
  <c r="AM23" i="4"/>
  <c r="CF23" i="4" s="1"/>
  <c r="CP23" i="4"/>
  <c r="CB28" i="4"/>
  <c r="CQ28" i="4"/>
  <c r="AD51" i="4"/>
  <c r="AM51" i="4"/>
  <c r="CF51" i="4" s="1"/>
  <c r="AM45" i="4"/>
  <c r="CF45" i="4" s="1"/>
  <c r="AD45" i="4"/>
  <c r="CL51" i="4"/>
  <c r="CM51" i="4" s="1"/>
  <c r="BS20" i="4"/>
  <c r="BT20" i="4" s="1"/>
  <c r="CQ57" i="4"/>
  <c r="CL17" i="4"/>
  <c r="CM17" i="4" s="1"/>
  <c r="BN14" i="4"/>
  <c r="BW14" i="4" s="1"/>
  <c r="BY14" i="4" s="1"/>
  <c r="BS14" i="4"/>
  <c r="BT14" i="4" s="1"/>
  <c r="CL14" i="4"/>
  <c r="CM14" i="4" s="1"/>
  <c r="BY6" i="4"/>
  <c r="CP40" i="4"/>
  <c r="AD40" i="4"/>
  <c r="AM40" i="4"/>
  <c r="AD55" i="4"/>
  <c r="CP55" i="4"/>
  <c r="CO24" i="4"/>
  <c r="AD36" i="4"/>
  <c r="CP36" i="4"/>
  <c r="BS40" i="4"/>
  <c r="BT40" i="4" s="1"/>
  <c r="CB20" i="4"/>
  <c r="AD42" i="4"/>
  <c r="CP42" i="4"/>
  <c r="AM42" i="4"/>
  <c r="CF42" i="4" s="1"/>
  <c r="BS42" i="4"/>
  <c r="BT42" i="4" s="1"/>
  <c r="BW21" i="4"/>
  <c r="BY21" i="4" s="1"/>
  <c r="BO21" i="4"/>
  <c r="CG21" i="4" s="1"/>
  <c r="AD26" i="4"/>
  <c r="BS38" i="4"/>
  <c r="BT38" i="4" s="1"/>
  <c r="CO38" i="4"/>
  <c r="CL38" i="4"/>
  <c r="CM38" i="4" s="1"/>
  <c r="AD10" i="4"/>
  <c r="AM10" i="4"/>
  <c r="CF10" i="4" s="1"/>
  <c r="AD50" i="4"/>
  <c r="CP50" i="4"/>
  <c r="AM6" i="4"/>
  <c r="CF6" i="4" s="1"/>
  <c r="CB49" i="4"/>
  <c r="CL42" i="4"/>
  <c r="CM42" i="4" s="1"/>
  <c r="CO33" i="4"/>
  <c r="BS33" i="4"/>
  <c r="BT33" i="4" s="1"/>
  <c r="CQ20" i="4"/>
  <c r="BO12" i="4"/>
  <c r="CG12" i="4" s="1"/>
  <c r="AM15" i="4"/>
  <c r="CF15" i="4" s="1"/>
  <c r="CP15" i="4"/>
  <c r="BS61" i="4"/>
  <c r="BT61" i="4" s="1"/>
  <c r="CP61" i="4"/>
  <c r="CP29" i="4"/>
  <c r="AD29" i="4"/>
  <c r="AM29" i="4"/>
  <c r="CF29" i="4" s="1"/>
  <c r="AD53" i="4"/>
  <c r="AM53" i="4"/>
  <c r="CF53" i="4" s="1"/>
  <c r="CP53" i="4"/>
  <c r="CL47" i="4"/>
  <c r="CM47" i="4" s="1"/>
  <c r="BS47" i="4"/>
  <c r="BT47" i="4" s="1"/>
  <c r="CP47" i="4"/>
  <c r="AM31" i="4"/>
  <c r="CP31" i="4"/>
  <c r="AD6" i="4"/>
  <c r="CP20" i="4"/>
  <c r="AD56" i="4"/>
  <c r="AM56" i="4"/>
  <c r="CF56" i="4" s="1"/>
  <c r="CP56" i="4"/>
  <c r="AD34" i="4"/>
  <c r="AM34" i="4"/>
  <c r="CF34" i="4" s="1"/>
  <c r="CP34" i="4"/>
  <c r="CQ41" i="4"/>
  <c r="CQ26" i="4"/>
  <c r="BN24" i="4"/>
  <c r="BW24" i="4" s="1"/>
  <c r="BY24" i="4" s="1"/>
  <c r="CB21" i="4"/>
  <c r="CP10" i="4"/>
  <c r="BS9" i="4"/>
  <c r="BT9" i="4" s="1"/>
  <c r="BN9" i="4"/>
  <c r="BW9" i="4" s="1"/>
  <c r="BY9" i="4" s="1"/>
  <c r="CL9" i="4"/>
  <c r="CM9" i="4" s="1"/>
  <c r="CL18" i="4"/>
  <c r="CM18" i="4" s="1"/>
  <c r="BS12" i="4"/>
  <c r="BT12" i="4" s="1"/>
  <c r="CL12" i="4"/>
  <c r="CM12" i="4" s="1"/>
  <c r="CO12" i="4"/>
  <c r="BS50" i="4"/>
  <c r="BT50" i="4" s="1"/>
  <c r="CO50" i="4"/>
  <c r="CL16" i="4"/>
  <c r="CM16" i="4" s="1"/>
  <c r="BN16" i="4"/>
  <c r="BW16" i="4" s="1"/>
  <c r="BY16" i="4" s="1"/>
  <c r="CO16" i="4"/>
  <c r="BS16" i="4"/>
  <c r="BT16" i="4" s="1"/>
  <c r="AM58" i="4"/>
  <c r="CF58" i="4" s="1"/>
  <c r="AM37" i="4"/>
  <c r="CF37" i="4" s="1"/>
  <c r="AD37" i="4"/>
  <c r="CP37" i="4"/>
  <c r="AD15" i="4"/>
  <c r="AD12" i="4"/>
  <c r="CP12" i="4"/>
  <c r="AM9" i="4"/>
  <c r="CF9" i="4" s="1"/>
  <c r="CP9" i="4"/>
  <c r="BN57" i="4"/>
  <c r="BW57" i="4" s="1"/>
  <c r="BY57" i="4" s="1"/>
  <c r="BS57" i="4"/>
  <c r="BT57" i="4" s="1"/>
  <c r="CP45" i="4"/>
  <c r="CL36" i="4"/>
  <c r="CM36" i="4" s="1"/>
  <c r="CQ32" i="4"/>
  <c r="CS32" i="4" s="1"/>
  <c r="CB27" i="4"/>
  <c r="CP26" i="4"/>
  <c r="CQ6" i="4"/>
  <c r="AM33" i="4"/>
  <c r="CF33" i="4" s="1"/>
  <c r="CL43" i="4"/>
  <c r="CM43" i="4" s="1"/>
  <c r="BN18" i="4"/>
  <c r="CB60" i="4"/>
  <c r="CL60" i="4"/>
  <c r="CM60" i="4" s="1"/>
  <c r="CP48" i="4"/>
  <c r="CL40" i="4"/>
  <c r="CM40" i="4" s="1"/>
  <c r="CB29" i="4"/>
  <c r="CB25" i="4"/>
  <c r="CP21" i="4"/>
  <c r="BO7" i="4"/>
  <c r="CL55" i="4"/>
  <c r="CM55" i="4" s="1"/>
  <c r="CL25" i="4"/>
  <c r="CM25" i="4" s="1"/>
  <c r="AM57" i="4"/>
  <c r="CF57" i="4" s="1"/>
  <c r="CP62" i="4"/>
  <c r="CB45" i="4"/>
  <c r="CL32" i="4"/>
  <c r="CM32" i="4" s="1"/>
  <c r="CL31" i="4"/>
  <c r="CM31" i="4" s="1"/>
  <c r="BS15" i="4"/>
  <c r="BT15" i="4" s="1"/>
  <c r="CO55" i="4"/>
  <c r="BS55" i="4"/>
  <c r="BT55" i="4" s="1"/>
  <c r="CP33" i="4"/>
  <c r="CP24" i="4"/>
  <c r="AM21" i="4"/>
  <c r="CF21" i="4" s="1"/>
  <c r="CP43" i="4"/>
  <c r="BS43" i="4"/>
  <c r="BT43" i="4" s="1"/>
  <c r="CB13" i="4"/>
  <c r="CL7" i="4"/>
  <c r="CM7" i="4" s="1"/>
  <c r="CB39" i="4"/>
  <c r="CR59" i="4"/>
  <c r="BO6" i="4"/>
  <c r="CL46" i="4"/>
  <c r="CM46" i="4" s="1"/>
  <c r="BN46" i="4"/>
  <c r="BW46" i="4" s="1"/>
  <c r="BY46" i="4" s="1"/>
  <c r="CL45" i="4"/>
  <c r="CM45" i="4" s="1"/>
  <c r="CO45" i="4"/>
  <c r="CL52" i="4"/>
  <c r="CM52" i="4" s="1"/>
  <c r="BS52" i="4"/>
  <c r="BT52" i="4" s="1"/>
  <c r="CQ39" i="4"/>
  <c r="CL37" i="4"/>
  <c r="CM37" i="4" s="1"/>
  <c r="BS37" i="4"/>
  <c r="BT37" i="4" s="1"/>
  <c r="BN44" i="4"/>
  <c r="BW44" i="4" s="1"/>
  <c r="BY44" i="4" s="1"/>
  <c r="CB37" i="4"/>
  <c r="CQ13" i="4"/>
  <c r="CB46" i="4"/>
  <c r="BS21" i="4"/>
  <c r="BT21" i="4" s="1"/>
  <c r="CO21" i="4"/>
  <c r="CL58" i="4"/>
  <c r="CM58" i="4" s="1"/>
  <c r="BN58" i="4"/>
  <c r="CO58" i="4"/>
  <c r="BS56" i="4"/>
  <c r="BT56" i="4" s="1"/>
  <c r="BS35" i="4"/>
  <c r="BT35" i="4" s="1"/>
  <c r="CL35" i="4"/>
  <c r="CM35" i="4" s="1"/>
  <c r="CL30" i="4"/>
  <c r="CM30" i="4" s="1"/>
  <c r="CO30" i="4"/>
  <c r="CO46" i="4"/>
  <c r="BN20" i="4"/>
  <c r="BW20" i="4" s="1"/>
  <c r="BY20" i="4" s="1"/>
  <c r="CL13" i="4"/>
  <c r="CM13" i="4" s="1"/>
  <c r="BO13" i="4"/>
  <c r="BS13" i="4"/>
  <c r="BT13" i="4" s="1"/>
  <c r="CO13" i="4"/>
  <c r="BS48" i="4"/>
  <c r="BT48" i="4" s="1"/>
  <c r="BN45" i="4"/>
  <c r="BW45" i="4" s="1"/>
  <c r="BY45" i="4" s="1"/>
  <c r="CL44" i="4"/>
  <c r="CM44" i="4" s="1"/>
  <c r="CO37" i="4"/>
  <c r="BN33" i="4"/>
  <c r="BW33" i="4" s="1"/>
  <c r="BY33" i="4" s="1"/>
  <c r="BS18" i="4"/>
  <c r="BT18" i="4" s="1"/>
  <c r="CO18" i="4"/>
  <c r="CL10" i="4"/>
  <c r="CM10" i="4" s="1"/>
  <c r="CO10" i="4"/>
  <c r="BS10" i="4"/>
  <c r="BT10" i="4" s="1"/>
  <c r="BS6" i="4"/>
  <c r="BT6" i="4" s="1"/>
  <c r="CO6" i="4"/>
  <c r="CO56" i="4"/>
  <c r="BS24" i="4"/>
  <c r="BT24" i="4" s="1"/>
  <c r="CL24" i="4"/>
  <c r="CM24" i="4" s="1"/>
  <c r="CL19" i="4"/>
  <c r="CM19" i="4" s="1"/>
  <c r="BN19" i="4"/>
  <c r="BW19" i="4" s="1"/>
  <c r="BY19" i="4" s="1"/>
  <c r="BN17" i="4"/>
  <c r="BW17" i="4" s="1"/>
  <c r="BY17" i="4" s="1"/>
  <c r="CL61" i="4"/>
  <c r="CM61" i="4" s="1"/>
  <c r="BN61" i="4"/>
  <c r="BW61" i="4" s="1"/>
  <c r="BY61" i="4" s="1"/>
  <c r="CQ46" i="4"/>
  <c r="BS45" i="4"/>
  <c r="BT45" i="4" s="1"/>
  <c r="CO44" i="4"/>
  <c r="CS44" i="4" s="1"/>
  <c r="BN42" i="4"/>
  <c r="BW42" i="4" s="1"/>
  <c r="BY42" i="4" s="1"/>
  <c r="CL22" i="4"/>
  <c r="CM22" i="4" s="1"/>
  <c r="BN22" i="4"/>
  <c r="BS22" i="4"/>
  <c r="BT22" i="4" s="1"/>
  <c r="BS54" i="4"/>
  <c r="BT54" i="4" s="1"/>
  <c r="CL54" i="4"/>
  <c r="CM54" i="4" s="1"/>
  <c r="CL49" i="4"/>
  <c r="CM49" i="4" s="1"/>
  <c r="CO49" i="4"/>
  <c r="CS49" i="4" s="1"/>
  <c r="BN41" i="4"/>
  <c r="CL41" i="4"/>
  <c r="CM41" i="4" s="1"/>
  <c r="CB33" i="4"/>
  <c r="CL28" i="4"/>
  <c r="CM28" i="4" s="1"/>
  <c r="BS28" i="4"/>
  <c r="BT28" i="4" s="1"/>
  <c r="CO28" i="4"/>
  <c r="CB61" i="4"/>
  <c r="CO52" i="4"/>
  <c r="CS52" i="4" s="1"/>
  <c r="CQ42" i="4"/>
  <c r="CB42" i="4"/>
  <c r="BS39" i="4"/>
  <c r="BT39" i="4" s="1"/>
  <c r="CL39" i="4"/>
  <c r="CM39" i="4" s="1"/>
  <c r="CB31" i="4"/>
  <c r="CQ61" i="4"/>
  <c r="CB58" i="4"/>
  <c r="BN56" i="4"/>
  <c r="BW56" i="4" s="1"/>
  <c r="BY56" i="4" s="1"/>
  <c r="BN52" i="4"/>
  <c r="BW52" i="4" s="1"/>
  <c r="BY52" i="4" s="1"/>
  <c r="BS46" i="4"/>
  <c r="BT46" i="4" s="1"/>
  <c r="CO42" i="4"/>
  <c r="BN37" i="4"/>
  <c r="BW37" i="4" s="1"/>
  <c r="BY37" i="4" s="1"/>
  <c r="CB22" i="4"/>
  <c r="CO17" i="4"/>
  <c r="CS17" i="4" s="1"/>
  <c r="CB34" i="4"/>
  <c r="CL34" i="4"/>
  <c r="CM34" i="4" s="1"/>
  <c r="BN34" i="4"/>
  <c r="CQ34" i="4"/>
  <c r="CO9" i="4"/>
  <c r="CO34" i="4"/>
  <c r="BO27" i="4"/>
  <c r="CO15" i="4"/>
  <c r="AM60" i="4"/>
  <c r="AM48" i="4"/>
  <c r="CF48" i="4" s="1"/>
  <c r="AM36" i="4"/>
  <c r="CF36" i="4" s="1"/>
  <c r="AM55" i="4"/>
  <c r="AM43" i="4"/>
  <c r="AM19" i="4"/>
  <c r="CF19" i="4" s="1"/>
  <c r="AM7" i="4"/>
  <c r="CF7" i="4" s="1"/>
  <c r="AM62" i="4"/>
  <c r="CF62" i="4" s="1"/>
  <c r="AM50" i="4"/>
  <c r="CF50" i="4" s="1"/>
  <c r="AM38" i="4"/>
  <c r="CF38" i="4" s="1"/>
  <c r="AD31" i="4"/>
  <c r="AM26" i="4"/>
  <c r="AM14" i="4"/>
  <c r="CF14" i="4" s="1"/>
  <c r="AM24" i="4"/>
  <c r="CF24" i="4" s="1"/>
  <c r="AM12" i="4"/>
  <c r="CF12" i="4" s="1"/>
  <c r="L5" i="117"/>
  <c r="BY50" i="4" l="1"/>
  <c r="CS31" i="4"/>
  <c r="BO50" i="4"/>
  <c r="BW28" i="4"/>
  <c r="BY28" i="4" s="1"/>
  <c r="BO28" i="4"/>
  <c r="CG28" i="4" s="1"/>
  <c r="BO5" i="4"/>
  <c r="CG5" i="4" s="1"/>
  <c r="BO60" i="4"/>
  <c r="CN60" i="4" s="1"/>
  <c r="BW10" i="4"/>
  <c r="BY10" i="4" s="1"/>
  <c r="BO10" i="4"/>
  <c r="CS54" i="4"/>
  <c r="CS43" i="4"/>
  <c r="CS39" i="4"/>
  <c r="CL29" i="4"/>
  <c r="CM29" i="4" s="1"/>
  <c r="BS63" i="4"/>
  <c r="BT63" i="4" s="1"/>
  <c r="CS14" i="4"/>
  <c r="CL62" i="4"/>
  <c r="CM62" i="4" s="1"/>
  <c r="CL26" i="4"/>
  <c r="CM26" i="4" s="1"/>
  <c r="CL11" i="4"/>
  <c r="CM11" i="4" s="1"/>
  <c r="BO15" i="4"/>
  <c r="BS59" i="4"/>
  <c r="BT59" i="4" s="1"/>
  <c r="CO8" i="4"/>
  <c r="CS8" i="4" s="1"/>
  <c r="BU97" i="4"/>
  <c r="BV97" i="4" s="1"/>
  <c r="CG95" i="4"/>
  <c r="CN95" i="4"/>
  <c r="BP90" i="4"/>
  <c r="BU90" i="4" s="1"/>
  <c r="BV90" i="4" s="1"/>
  <c r="BU87" i="4"/>
  <c r="BV87" i="4" s="1"/>
  <c r="BP88" i="4"/>
  <c r="BQ88" i="4" s="1"/>
  <c r="CG88" i="4"/>
  <c r="CN66" i="4"/>
  <c r="CS60" i="4"/>
  <c r="CN92" i="4"/>
  <c r="CG72" i="4"/>
  <c r="BO43" i="4"/>
  <c r="CG43" i="4" s="1"/>
  <c r="CN72" i="4"/>
  <c r="CG92" i="4"/>
  <c r="S430" i="107"/>
  <c r="CG82" i="4"/>
  <c r="CN90" i="4"/>
  <c r="BQ95" i="4"/>
  <c r="BU95" i="4"/>
  <c r="BV95" i="4" s="1"/>
  <c r="CG96" i="4"/>
  <c r="CN96" i="4"/>
  <c r="BP96" i="4"/>
  <c r="BQ92" i="4"/>
  <c r="BU92" i="4"/>
  <c r="BV92" i="4" s="1"/>
  <c r="BP93" i="4"/>
  <c r="CG93" i="4"/>
  <c r="CN93" i="4"/>
  <c r="CG94" i="4"/>
  <c r="CN94" i="4"/>
  <c r="BP94" i="4"/>
  <c r="CN86" i="4"/>
  <c r="BP86" i="4"/>
  <c r="CG86" i="4"/>
  <c r="BU91" i="4"/>
  <c r="BV91" i="4" s="1"/>
  <c r="BQ91" i="4"/>
  <c r="BP82" i="4"/>
  <c r="BU82" i="4" s="1"/>
  <c r="BV82" i="4" s="1"/>
  <c r="BO77" i="4"/>
  <c r="CN77" i="4" s="1"/>
  <c r="CS5" i="4"/>
  <c r="BO69" i="4"/>
  <c r="CG69" i="4" s="1"/>
  <c r="BO67" i="4"/>
  <c r="CG67" i="4" s="1"/>
  <c r="BO65" i="4"/>
  <c r="CN65" i="4" s="1"/>
  <c r="BO79" i="4"/>
  <c r="BP79" i="4" s="1"/>
  <c r="BO70" i="4"/>
  <c r="CG70" i="4" s="1"/>
  <c r="CG66" i="4"/>
  <c r="BO83" i="4"/>
  <c r="CN83" i="4" s="1"/>
  <c r="BO73" i="4"/>
  <c r="CG73" i="4" s="1"/>
  <c r="BO75" i="4"/>
  <c r="BP75" i="4" s="1"/>
  <c r="BO81" i="4"/>
  <c r="BP81" i="4" s="1"/>
  <c r="BP74" i="4"/>
  <c r="CG74" i="4"/>
  <c r="CN74" i="4"/>
  <c r="BO78" i="4"/>
  <c r="BO71" i="4"/>
  <c r="BO84" i="4"/>
  <c r="BQ72" i="4"/>
  <c r="BU72" i="4"/>
  <c r="BV72" i="4" s="1"/>
  <c r="BO80" i="4"/>
  <c r="BO76" i="4"/>
  <c r="BQ66" i="4"/>
  <c r="BU66" i="4"/>
  <c r="BV66" i="4" s="1"/>
  <c r="BO68" i="4"/>
  <c r="BU64" i="4"/>
  <c r="BV64" i="4" s="1"/>
  <c r="BQ64" i="4"/>
  <c r="BO40" i="4"/>
  <c r="CG40" i="4" s="1"/>
  <c r="BN63" i="4"/>
  <c r="CL63" i="4"/>
  <c r="CM63" i="4" s="1"/>
  <c r="CS28" i="4"/>
  <c r="CS7" i="4"/>
  <c r="BS29" i="4"/>
  <c r="BT29" i="4" s="1"/>
  <c r="BW47" i="4"/>
  <c r="BY47" i="4" s="1"/>
  <c r="CO63" i="4"/>
  <c r="CS63" i="4" s="1"/>
  <c r="CS18" i="4"/>
  <c r="BO31" i="4"/>
  <c r="CG31" i="4" s="1"/>
  <c r="CS61" i="4"/>
  <c r="CS46" i="4"/>
  <c r="CS27" i="4"/>
  <c r="BO19" i="4"/>
  <c r="CN19" i="4" s="1"/>
  <c r="CS30" i="4"/>
  <c r="CS48" i="4"/>
  <c r="CS56" i="4"/>
  <c r="BO48" i="4"/>
  <c r="CG48" i="4" s="1"/>
  <c r="AR399" i="107"/>
  <c r="AS399" i="107" s="1"/>
  <c r="AR398" i="107"/>
  <c r="AS398" i="107" s="1"/>
  <c r="AN399" i="107"/>
  <c r="AR400" i="107"/>
  <c r="AS400" i="107" s="1"/>
  <c r="AN386" i="107"/>
  <c r="AN401" i="107"/>
  <c r="AR401" i="107"/>
  <c r="AS401" i="107" s="1"/>
  <c r="AN397" i="107"/>
  <c r="AR397" i="107"/>
  <c r="AS397" i="107" s="1"/>
  <c r="AN396" i="107"/>
  <c r="AR396" i="107"/>
  <c r="AS396" i="107" s="1"/>
  <c r="CS33" i="4"/>
  <c r="BN62" i="4"/>
  <c r="BW62" i="4" s="1"/>
  <c r="BY62" i="4" s="1"/>
  <c r="CS50" i="4"/>
  <c r="BO49" i="4"/>
  <c r="CG49" i="4" s="1"/>
  <c r="CS25" i="4"/>
  <c r="BO44" i="4"/>
  <c r="BP44" i="4" s="1"/>
  <c r="CS41" i="4"/>
  <c r="CO11" i="4"/>
  <c r="CS11" i="4" s="1"/>
  <c r="BS11" i="4"/>
  <c r="BT11" i="4" s="1"/>
  <c r="BO39" i="4"/>
  <c r="CG39" i="4" s="1"/>
  <c r="BO57" i="4"/>
  <c r="BP57" i="4" s="1"/>
  <c r="CS36" i="4"/>
  <c r="CS57" i="4"/>
  <c r="BO16" i="4"/>
  <c r="BP16" i="4" s="1"/>
  <c r="BQ16" i="4" s="1"/>
  <c r="BO14" i="4"/>
  <c r="BP14" i="4" s="1"/>
  <c r="BS8" i="4"/>
  <c r="BT8" i="4" s="1"/>
  <c r="CL8" i="4"/>
  <c r="CM8" i="4" s="1"/>
  <c r="BN8" i="4"/>
  <c r="BW8" i="4" s="1"/>
  <c r="BY8" i="4" s="1"/>
  <c r="BS53" i="4"/>
  <c r="BT53" i="4" s="1"/>
  <c r="CO53" i="4"/>
  <c r="CS53" i="4" s="1"/>
  <c r="BO51" i="4"/>
  <c r="BP51" i="4" s="1"/>
  <c r="BO54" i="4"/>
  <c r="BO56" i="4"/>
  <c r="BP56" i="4" s="1"/>
  <c r="BN29" i="4"/>
  <c r="BW29" i="4" s="1"/>
  <c r="BY29" i="4" s="1"/>
  <c r="BO42" i="4"/>
  <c r="BP42" i="4" s="1"/>
  <c r="BN11" i="4"/>
  <c r="BN53" i="4"/>
  <c r="BW53" i="4" s="1"/>
  <c r="BY53" i="4" s="1"/>
  <c r="BO9" i="4"/>
  <c r="BP9" i="4" s="1"/>
  <c r="CS47" i="4"/>
  <c r="BO32" i="4"/>
  <c r="CN32" i="4" s="1"/>
  <c r="CE29" i="4"/>
  <c r="C29" i="4"/>
  <c r="CO62" i="4"/>
  <c r="CS62" i="4" s="1"/>
  <c r="BN23" i="4"/>
  <c r="BW23" i="4" s="1"/>
  <c r="BY23" i="4" s="1"/>
  <c r="BS62" i="4"/>
  <c r="BT62" i="4" s="1"/>
  <c r="CL59" i="4"/>
  <c r="CM59" i="4" s="1"/>
  <c r="CO59" i="4"/>
  <c r="CS59" i="4" s="1"/>
  <c r="BN59" i="4"/>
  <c r="BO25" i="4"/>
  <c r="CN25" i="4" s="1"/>
  <c r="CS40" i="4"/>
  <c r="CO23" i="4"/>
  <c r="CS23" i="4" s="1"/>
  <c r="BO35" i="4"/>
  <c r="BO38" i="4"/>
  <c r="CO26" i="4"/>
  <c r="CS26" i="4" s="1"/>
  <c r="BN26" i="4"/>
  <c r="BW26" i="4" s="1"/>
  <c r="BY26" i="4" s="1"/>
  <c r="BS23" i="4"/>
  <c r="BT23" i="4" s="1"/>
  <c r="CO29" i="4"/>
  <c r="CS29" i="4" s="1"/>
  <c r="BS26" i="4"/>
  <c r="BT26" i="4" s="1"/>
  <c r="BO36" i="4"/>
  <c r="CN36" i="4" s="1"/>
  <c r="BO30" i="4"/>
  <c r="CS38" i="4"/>
  <c r="BP12" i="4"/>
  <c r="BU12" i="4" s="1"/>
  <c r="BV12" i="4" s="1"/>
  <c r="CS42" i="4"/>
  <c r="CN12" i="4"/>
  <c r="CS10" i="4"/>
  <c r="CS55" i="4"/>
  <c r="CS16" i="4"/>
  <c r="BO46" i="4"/>
  <c r="BP46" i="4" s="1"/>
  <c r="CS24" i="4"/>
  <c r="CS20" i="4"/>
  <c r="CS45" i="4"/>
  <c r="BO24" i="4"/>
  <c r="CG24" i="4" s="1"/>
  <c r="BP7" i="4"/>
  <c r="CG7" i="4"/>
  <c r="CN7" i="4"/>
  <c r="CF43" i="4"/>
  <c r="CF60" i="4"/>
  <c r="CF26" i="4"/>
  <c r="CS6" i="4"/>
  <c r="CN21" i="4"/>
  <c r="BP21" i="4"/>
  <c r="CF40" i="4"/>
  <c r="CS58" i="4"/>
  <c r="BO37" i="4"/>
  <c r="CG37" i="4" s="1"/>
  <c r="CS15" i="4"/>
  <c r="CS34" i="4"/>
  <c r="BO17" i="4"/>
  <c r="CG17" i="4" s="1"/>
  <c r="CS37" i="4"/>
  <c r="CS21" i="4"/>
  <c r="CF31" i="4"/>
  <c r="BP55" i="4"/>
  <c r="CF55" i="4"/>
  <c r="CS9" i="4"/>
  <c r="BO20" i="4"/>
  <c r="CN20" i="4" s="1"/>
  <c r="BW18" i="4"/>
  <c r="BY18" i="4" s="1"/>
  <c r="BO18" i="4"/>
  <c r="CS12" i="4"/>
  <c r="CN55" i="4"/>
  <c r="BO22" i="4"/>
  <c r="BW22" i="4"/>
  <c r="BY22" i="4" s="1"/>
  <c r="CS13" i="4"/>
  <c r="BW58" i="4"/>
  <c r="BY58" i="4" s="1"/>
  <c r="BO58" i="4"/>
  <c r="BW34" i="4"/>
  <c r="BY34" i="4" s="1"/>
  <c r="BO34" i="4"/>
  <c r="CN13" i="4"/>
  <c r="BP13" i="4"/>
  <c r="CG13" i="4"/>
  <c r="CN47" i="4"/>
  <c r="BP47" i="4"/>
  <c r="CG47" i="4"/>
  <c r="BW41" i="4"/>
  <c r="BY41" i="4" s="1"/>
  <c r="BO41" i="4"/>
  <c r="BP27" i="4"/>
  <c r="CG27" i="4"/>
  <c r="CN27" i="4"/>
  <c r="CG6" i="4"/>
  <c r="BP6" i="4"/>
  <c r="CN6" i="4"/>
  <c r="BO45" i="4"/>
  <c r="BO61" i="4"/>
  <c r="BO33" i="4"/>
  <c r="BO52" i="4"/>
  <c r="T390" i="107"/>
  <c r="T389" i="107"/>
  <c r="R3" i="107"/>
  <c r="C37" i="97" a="1"/>
  <c r="C23" i="97" a="1"/>
  <c r="B46" i="97" a="1"/>
  <c r="B23" i="97" a="1"/>
  <c r="BP50" i="4" l="1"/>
  <c r="BU50" i="4" s="1"/>
  <c r="BV50" i="4" s="1"/>
  <c r="CN50" i="4"/>
  <c r="CG50" i="4"/>
  <c r="CN28" i="4"/>
  <c r="BP28" i="4"/>
  <c r="CN5" i="4"/>
  <c r="BP5" i="4"/>
  <c r="BQ5" i="4" s="1"/>
  <c r="BP10" i="4"/>
  <c r="BP60" i="4"/>
  <c r="BQ60" i="4" s="1"/>
  <c r="CG60" i="4"/>
  <c r="CN10" i="4"/>
  <c r="CG10" i="4"/>
  <c r="BW63" i="4"/>
  <c r="BY63" i="4" s="1"/>
  <c r="BO63" i="4"/>
  <c r="CG15" i="4"/>
  <c r="BP15" i="4"/>
  <c r="CN15" i="4"/>
  <c r="BQ90" i="4"/>
  <c r="AC250" i="4"/>
  <c r="BU88" i="4"/>
  <c r="BV88" i="4" s="1"/>
  <c r="CN43" i="4"/>
  <c r="BP67" i="4"/>
  <c r="BQ67" i="4" s="1"/>
  <c r="CN79" i="4"/>
  <c r="BP43" i="4"/>
  <c r="BQ43" i="4" s="1"/>
  <c r="BP65" i="4"/>
  <c r="BQ65" i="4" s="1"/>
  <c r="CN69" i="4"/>
  <c r="BP77" i="4"/>
  <c r="BU77" i="4" s="1"/>
  <c r="BV77" i="4" s="1"/>
  <c r="BQ82" i="4"/>
  <c r="CN67" i="4"/>
  <c r="BP69" i="4"/>
  <c r="BQ69" i="4" s="1"/>
  <c r="CG77" i="4"/>
  <c r="CG79" i="4"/>
  <c r="CG65" i="4"/>
  <c r="BQ93" i="4"/>
  <c r="BU93" i="4"/>
  <c r="BV93" i="4" s="1"/>
  <c r="BQ86" i="4"/>
  <c r="BU86" i="4"/>
  <c r="BV86" i="4" s="1"/>
  <c r="BQ96" i="4"/>
  <c r="BU96" i="4"/>
  <c r="BV96" i="4" s="1"/>
  <c r="BU94" i="4"/>
  <c r="BV94" i="4" s="1"/>
  <c r="BQ94" i="4"/>
  <c r="CG83" i="4"/>
  <c r="CG16" i="4"/>
  <c r="CN49" i="4"/>
  <c r="CN40" i="4"/>
  <c r="BP31" i="4"/>
  <c r="BQ31" i="4" s="1"/>
  <c r="BP40" i="4"/>
  <c r="BU40" i="4" s="1"/>
  <c r="BV40" i="4" s="1"/>
  <c r="CN70" i="4"/>
  <c r="BP83" i="4"/>
  <c r="BQ83" i="4" s="1"/>
  <c r="BO62" i="4"/>
  <c r="BP62" i="4" s="1"/>
  <c r="CG75" i="4"/>
  <c r="CN57" i="4"/>
  <c r="CN16" i="4"/>
  <c r="CG81" i="4"/>
  <c r="BP73" i="4"/>
  <c r="BQ73" i="4" s="1"/>
  <c r="BP70" i="4"/>
  <c r="BU70" i="4" s="1"/>
  <c r="BV70" i="4" s="1"/>
  <c r="CN75" i="4"/>
  <c r="CN81" i="4"/>
  <c r="CN73" i="4"/>
  <c r="CG57" i="4"/>
  <c r="BP48" i="4"/>
  <c r="BQ48" i="4" s="1"/>
  <c r="CN31" i="4"/>
  <c r="BQ74" i="4"/>
  <c r="BU74" i="4"/>
  <c r="BV74" i="4" s="1"/>
  <c r="CN84" i="4"/>
  <c r="BP84" i="4"/>
  <c r="CG84" i="4"/>
  <c r="CN71" i="4"/>
  <c r="BP71" i="4"/>
  <c r="CG71" i="4"/>
  <c r="BQ79" i="4"/>
  <c r="BU79" i="4"/>
  <c r="BV79" i="4" s="1"/>
  <c r="BQ81" i="4"/>
  <c r="BU81" i="4"/>
  <c r="BV81" i="4" s="1"/>
  <c r="BP68" i="4"/>
  <c r="CG68" i="4"/>
  <c r="CN68" i="4"/>
  <c r="CN76" i="4"/>
  <c r="CG76" i="4"/>
  <c r="BP76" i="4"/>
  <c r="BP80" i="4"/>
  <c r="CG80" i="4"/>
  <c r="CN80" i="4"/>
  <c r="CN78" i="4"/>
  <c r="BP78" i="4"/>
  <c r="CG78" i="4"/>
  <c r="BQ75" i="4"/>
  <c r="BU75" i="4"/>
  <c r="BV75" i="4" s="1"/>
  <c r="CN48" i="4"/>
  <c r="CG44" i="4"/>
  <c r="BP19" i="4"/>
  <c r="BQ19" i="4" s="1"/>
  <c r="CG19" i="4"/>
  <c r="CN56" i="4"/>
  <c r="CG46" i="4"/>
  <c r="CN44" i="4"/>
  <c r="BO8" i="4"/>
  <c r="CN8" i="4" s="1"/>
  <c r="CN39" i="4"/>
  <c r="BP39" i="4"/>
  <c r="BQ39" i="4" s="1"/>
  <c r="CN14" i="4"/>
  <c r="BP49" i="4"/>
  <c r="BQ49" i="4" s="1"/>
  <c r="CG14" i="4"/>
  <c r="CN51" i="4"/>
  <c r="CG32" i="4"/>
  <c r="BQ12" i="4"/>
  <c r="CG56" i="4"/>
  <c r="BO23" i="4"/>
  <c r="CN23" i="4" s="1"/>
  <c r="BP32" i="4"/>
  <c r="BQ32" i="4" s="1"/>
  <c r="CG42" i="4"/>
  <c r="CN54" i="4"/>
  <c r="BP54" i="4"/>
  <c r="CN42" i="4"/>
  <c r="CG51" i="4"/>
  <c r="BO29" i="4"/>
  <c r="CG29" i="4" s="1"/>
  <c r="CG54" i="4"/>
  <c r="BP36" i="4"/>
  <c r="BQ36" i="4" s="1"/>
  <c r="CN24" i="4"/>
  <c r="CG25" i="4"/>
  <c r="BP25" i="4"/>
  <c r="CG9" i="4"/>
  <c r="CN9" i="4"/>
  <c r="CN17" i="4"/>
  <c r="BO26" i="4"/>
  <c r="CG35" i="4"/>
  <c r="BP35" i="4"/>
  <c r="CN35" i="4"/>
  <c r="BW59" i="4"/>
  <c r="BY59" i="4" s="1"/>
  <c r="BO59" i="4"/>
  <c r="BP17" i="4"/>
  <c r="BU17" i="4" s="1"/>
  <c r="BV17" i="4" s="1"/>
  <c r="CG36" i="4"/>
  <c r="BO53" i="4"/>
  <c r="BW11" i="4"/>
  <c r="BY11" i="4" s="1"/>
  <c r="BO11" i="4"/>
  <c r="BU16" i="4"/>
  <c r="BV16" i="4" s="1"/>
  <c r="CG38" i="4"/>
  <c r="CN38" i="4"/>
  <c r="BP38" i="4"/>
  <c r="CG20" i="4"/>
  <c r="BP24" i="4"/>
  <c r="BQ24" i="4" s="1"/>
  <c r="BP20" i="4"/>
  <c r="BU20" i="4" s="1"/>
  <c r="BV20" i="4" s="1"/>
  <c r="CN46" i="4"/>
  <c r="CG30" i="4"/>
  <c r="CN30" i="4"/>
  <c r="BP30" i="4"/>
  <c r="BQ9" i="4"/>
  <c r="BU9" i="4"/>
  <c r="BV9" i="4" s="1"/>
  <c r="BU55" i="4"/>
  <c r="BV55" i="4" s="1"/>
  <c r="BQ55" i="4"/>
  <c r="CN37" i="4"/>
  <c r="BP37" i="4"/>
  <c r="BU37" i="4" s="1"/>
  <c r="BV37" i="4" s="1"/>
  <c r="BQ7" i="4"/>
  <c r="BU7" i="4"/>
  <c r="BV7" i="4" s="1"/>
  <c r="BQ14" i="4"/>
  <c r="BU14" i="4"/>
  <c r="BV14" i="4" s="1"/>
  <c r="BQ21" i="4"/>
  <c r="BU21" i="4"/>
  <c r="BV21" i="4" s="1"/>
  <c r="BQ57" i="4"/>
  <c r="BU57" i="4"/>
  <c r="BV57" i="4" s="1"/>
  <c r="BP18" i="4"/>
  <c r="CN18" i="4"/>
  <c r="CG18" i="4"/>
  <c r="BU47" i="4"/>
  <c r="BV47" i="4" s="1"/>
  <c r="BQ47" i="4"/>
  <c r="BP52" i="4"/>
  <c r="CG52" i="4"/>
  <c r="CN52" i="4"/>
  <c r="BP33" i="4"/>
  <c r="CG33" i="4"/>
  <c r="CN33" i="4"/>
  <c r="CN41" i="4"/>
  <c r="CG41" i="4"/>
  <c r="BP41" i="4"/>
  <c r="BU13" i="4"/>
  <c r="BV13" i="4" s="1"/>
  <c r="BQ13" i="4"/>
  <c r="CG61" i="4"/>
  <c r="BP61" i="4"/>
  <c r="CN61" i="4"/>
  <c r="BQ46" i="4"/>
  <c r="BU46" i="4"/>
  <c r="BV46" i="4" s="1"/>
  <c r="BQ51" i="4"/>
  <c r="BU51" i="4"/>
  <c r="BV51" i="4" s="1"/>
  <c r="CN58" i="4"/>
  <c r="CG58" i="4"/>
  <c r="BP58" i="4"/>
  <c r="BQ56" i="4"/>
  <c r="BU56" i="4"/>
  <c r="BV56" i="4" s="1"/>
  <c r="BQ42" i="4"/>
  <c r="BU42" i="4"/>
  <c r="BV42" i="4" s="1"/>
  <c r="BQ6" i="4"/>
  <c r="BU6" i="4"/>
  <c r="BV6" i="4" s="1"/>
  <c r="CN45" i="4"/>
  <c r="CG45" i="4"/>
  <c r="BP45" i="4"/>
  <c r="CG34" i="4"/>
  <c r="BP34" i="4"/>
  <c r="CN34" i="4"/>
  <c r="BQ27" i="4"/>
  <c r="BU27" i="4"/>
  <c r="BV27" i="4" s="1"/>
  <c r="BQ44" i="4"/>
  <c r="BU44" i="4"/>
  <c r="BV44" i="4" s="1"/>
  <c r="BP22" i="4"/>
  <c r="CG22" i="4"/>
  <c r="CN22" i="4"/>
  <c r="C22" i="97"/>
  <c r="O20" i="116" s="1"/>
  <c r="B22" i="97"/>
  <c r="O21" i="116" s="1"/>
  <c r="AM4" i="97"/>
  <c r="BQ50" i="4" l="1"/>
  <c r="BU5" i="4"/>
  <c r="BV5" i="4" s="1"/>
  <c r="BU28" i="4"/>
  <c r="BV28" i="4" s="1"/>
  <c r="BQ28" i="4"/>
  <c r="BQ10" i="4"/>
  <c r="BU10" i="4"/>
  <c r="BV10" i="4" s="1"/>
  <c r="BU60" i="4"/>
  <c r="BV60" i="4" s="1"/>
  <c r="CG63" i="4"/>
  <c r="BP63" i="4"/>
  <c r="CN63" i="4"/>
  <c r="BQ15" i="4"/>
  <c r="BU15" i="4"/>
  <c r="BV15" i="4" s="1"/>
  <c r="BU31" i="4"/>
  <c r="BV31" i="4" s="1"/>
  <c r="E8" i="5"/>
  <c r="E9" i="5" s="1"/>
  <c r="BU43" i="4"/>
  <c r="BV43" i="4" s="1"/>
  <c r="BU67" i="4"/>
  <c r="BV67" i="4" s="1"/>
  <c r="BU65" i="4"/>
  <c r="BV65" i="4" s="1"/>
  <c r="BQ77" i="4"/>
  <c r="BU69" i="4"/>
  <c r="BV69" i="4" s="1"/>
  <c r="BQ40" i="4"/>
  <c r="BU73" i="4"/>
  <c r="BV73" i="4" s="1"/>
  <c r="BQ70" i="4"/>
  <c r="BU83" i="4"/>
  <c r="BV83" i="4" s="1"/>
  <c r="CG62" i="4"/>
  <c r="CN62" i="4"/>
  <c r="BP23" i="4"/>
  <c r="BU23" i="4" s="1"/>
  <c r="BV23" i="4" s="1"/>
  <c r="CG23" i="4"/>
  <c r="BU48" i="4"/>
  <c r="BV48" i="4" s="1"/>
  <c r="BU19" i="4"/>
  <c r="BV19" i="4" s="1"/>
  <c r="BU76" i="4"/>
  <c r="BV76" i="4" s="1"/>
  <c r="BQ76" i="4"/>
  <c r="BQ71" i="4"/>
  <c r="BU71" i="4"/>
  <c r="BV71" i="4" s="1"/>
  <c r="BQ68" i="4"/>
  <c r="BU68" i="4"/>
  <c r="BV68" i="4" s="1"/>
  <c r="BQ84" i="4"/>
  <c r="BU84" i="4"/>
  <c r="BV84" i="4" s="1"/>
  <c r="BQ80" i="4"/>
  <c r="BU80" i="4"/>
  <c r="BV80" i="4" s="1"/>
  <c r="BQ78" i="4"/>
  <c r="BU78" i="4"/>
  <c r="BV78" i="4" s="1"/>
  <c r="CG8" i="4"/>
  <c r="BU39" i="4"/>
  <c r="BV39" i="4" s="1"/>
  <c r="BP8" i="4"/>
  <c r="BQ8" i="4" s="1"/>
  <c r="BU49" i="4"/>
  <c r="BV49" i="4" s="1"/>
  <c r="AM2" i="97"/>
  <c r="BQ20" i="4"/>
  <c r="BU24" i="4"/>
  <c r="BV24" i="4" s="1"/>
  <c r="BU32" i="4"/>
  <c r="BV32" i="4" s="1"/>
  <c r="BQ17" i="4"/>
  <c r="BU36" i="4"/>
  <c r="BV36" i="4" s="1"/>
  <c r="CN29" i="4"/>
  <c r="BQ54" i="4"/>
  <c r="BU54" i="4"/>
  <c r="BV54" i="4" s="1"/>
  <c r="BP29" i="4"/>
  <c r="CG26" i="4"/>
  <c r="BP26" i="4"/>
  <c r="CN26" i="4"/>
  <c r="BQ35" i="4"/>
  <c r="BU35" i="4"/>
  <c r="BV35" i="4" s="1"/>
  <c r="CG11" i="4"/>
  <c r="CN11" i="4"/>
  <c r="BP11" i="4"/>
  <c r="CG59" i="4"/>
  <c r="BP59" i="4"/>
  <c r="CN59" i="4"/>
  <c r="BQ38" i="4"/>
  <c r="BU38" i="4"/>
  <c r="BV38" i="4" s="1"/>
  <c r="CN53" i="4"/>
  <c r="BP53" i="4"/>
  <c r="CG53" i="4"/>
  <c r="BQ37" i="4"/>
  <c r="BQ25" i="4"/>
  <c r="BU25" i="4"/>
  <c r="BV25" i="4" s="1"/>
  <c r="BQ30" i="4"/>
  <c r="BU30" i="4"/>
  <c r="BV30" i="4" s="1"/>
  <c r="BQ18" i="4"/>
  <c r="BU18" i="4"/>
  <c r="BV18" i="4" s="1"/>
  <c r="BU62" i="4"/>
  <c r="BV62" i="4" s="1"/>
  <c r="BQ62" i="4"/>
  <c r="BQ22" i="4"/>
  <c r="BU22" i="4"/>
  <c r="BV22" i="4" s="1"/>
  <c r="BU58" i="4"/>
  <c r="BV58" i="4" s="1"/>
  <c r="BQ58" i="4"/>
  <c r="BQ45" i="4"/>
  <c r="BU45" i="4"/>
  <c r="BV45" i="4" s="1"/>
  <c r="BU34" i="4"/>
  <c r="BV34" i="4" s="1"/>
  <c r="BQ34" i="4"/>
  <c r="BQ33" i="4"/>
  <c r="BU33" i="4"/>
  <c r="BV33" i="4" s="1"/>
  <c r="BU52" i="4"/>
  <c r="BV52" i="4" s="1"/>
  <c r="BQ52" i="4"/>
  <c r="BQ61" i="4"/>
  <c r="BU61" i="4"/>
  <c r="BV61" i="4" s="1"/>
  <c r="BU41" i="4"/>
  <c r="BV41" i="4" s="1"/>
  <c r="BQ41" i="4"/>
  <c r="H4" i="97" a="1"/>
  <c r="I8" i="117"/>
  <c r="K26" i="118"/>
  <c r="I4" i="97" l="1"/>
  <c r="BQ63" i="4"/>
  <c r="BU63" i="4"/>
  <c r="BV63" i="4" s="1"/>
  <c r="BQ23" i="4"/>
  <c r="BU8" i="4"/>
  <c r="BV8" i="4" s="1"/>
  <c r="BQ29" i="4"/>
  <c r="BU29" i="4"/>
  <c r="BV29" i="4" s="1"/>
  <c r="BU26" i="4"/>
  <c r="BV26" i="4" s="1"/>
  <c r="BQ26" i="4"/>
  <c r="BQ59" i="4"/>
  <c r="BU59" i="4"/>
  <c r="BV59" i="4" s="1"/>
  <c r="BU11" i="4"/>
  <c r="BV11" i="4" s="1"/>
  <c r="BQ11" i="4"/>
  <c r="BU53" i="4"/>
  <c r="BV53" i="4" s="1"/>
  <c r="BQ53" i="4"/>
  <c r="I7" i="97"/>
  <c r="I8" i="97"/>
  <c r="I6" i="97"/>
  <c r="I15" i="97"/>
  <c r="I11" i="97"/>
  <c r="I10" i="97"/>
  <c r="I9" i="97"/>
  <c r="I5" i="97"/>
  <c r="AR220" i="107"/>
  <c r="AR221" i="107"/>
  <c r="AR222" i="107"/>
  <c r="AR223" i="107"/>
  <c r="AR224" i="107"/>
  <c r="AR225" i="107"/>
  <c r="AR226" i="107"/>
  <c r="AR227" i="107"/>
  <c r="AR228" i="107"/>
  <c r="AR229" i="107"/>
  <c r="AR230" i="107"/>
  <c r="AR231" i="107"/>
  <c r="AR232" i="107"/>
  <c r="AR233" i="107"/>
  <c r="AR234" i="107"/>
  <c r="AR235" i="107"/>
  <c r="AR236" i="107"/>
  <c r="AR237" i="107"/>
  <c r="AR238" i="107"/>
  <c r="AR239" i="107"/>
  <c r="AR240" i="107"/>
  <c r="AR241" i="107"/>
  <c r="AR242" i="107"/>
  <c r="AR243" i="107"/>
  <c r="AR244" i="107"/>
  <c r="AR245" i="107"/>
  <c r="AR246" i="107"/>
  <c r="AR247" i="107"/>
  <c r="AR248" i="107"/>
  <c r="AR249" i="107"/>
  <c r="AR250" i="107"/>
  <c r="AR251" i="107"/>
  <c r="AR252" i="107"/>
  <c r="AR253" i="107"/>
  <c r="AR254" i="107"/>
  <c r="AR255" i="107"/>
  <c r="AR256" i="107"/>
  <c r="AR257" i="107"/>
  <c r="AR258" i="107"/>
  <c r="AR259" i="107"/>
  <c r="AR260" i="107"/>
  <c r="AR261" i="107"/>
  <c r="AR262" i="107"/>
  <c r="AR263" i="107"/>
  <c r="AR264" i="107"/>
  <c r="AR265" i="107"/>
  <c r="AR266" i="107"/>
  <c r="AR267" i="107"/>
  <c r="AR268" i="107"/>
  <c r="AR269" i="107"/>
  <c r="AR270" i="107"/>
  <c r="AR271" i="107"/>
  <c r="AR272" i="107"/>
  <c r="AR273" i="107"/>
  <c r="AR274" i="107"/>
  <c r="AR275" i="107"/>
  <c r="AR276" i="107"/>
  <c r="AR277" i="107"/>
  <c r="AR278" i="107"/>
  <c r="AR279" i="107"/>
  <c r="AR280" i="107"/>
  <c r="AR281" i="107"/>
  <c r="AR282" i="107"/>
  <c r="AR283" i="107"/>
  <c r="AR284" i="107"/>
  <c r="AR285" i="107"/>
  <c r="AR286" i="107"/>
  <c r="AR287" i="107"/>
  <c r="AR288" i="107"/>
  <c r="AR289" i="107"/>
  <c r="AR290" i="107"/>
  <c r="AR291" i="107"/>
  <c r="AR292" i="107"/>
  <c r="AR293" i="107"/>
  <c r="AR294" i="107"/>
  <c r="AR295" i="107"/>
  <c r="AR296" i="107"/>
  <c r="AR297" i="107"/>
  <c r="AR298" i="107"/>
  <c r="AR299" i="107"/>
  <c r="AR300" i="107"/>
  <c r="AR301" i="107"/>
  <c r="AR302" i="107"/>
  <c r="AR303" i="107"/>
  <c r="AR304" i="107"/>
  <c r="AR305" i="107"/>
  <c r="AR306" i="107"/>
  <c r="AR307" i="107"/>
  <c r="AR308" i="107"/>
  <c r="AR309" i="107"/>
  <c r="AR310" i="107"/>
  <c r="AR311" i="107"/>
  <c r="AR312" i="107"/>
  <c r="AR313" i="107"/>
  <c r="AR314" i="107"/>
  <c r="AR315" i="107"/>
  <c r="AR316" i="107"/>
  <c r="AR317" i="107"/>
  <c r="AR318" i="107"/>
  <c r="AR319" i="107"/>
  <c r="AR320" i="107"/>
  <c r="AR321" i="107"/>
  <c r="AR322" i="107"/>
  <c r="AR323" i="107"/>
  <c r="AR324" i="107"/>
  <c r="AR325" i="107"/>
  <c r="AR326" i="107"/>
  <c r="AR327" i="107"/>
  <c r="AR328" i="107"/>
  <c r="AR329" i="107"/>
  <c r="AR330" i="107"/>
  <c r="AR331" i="107"/>
  <c r="AR332" i="107"/>
  <c r="AR333" i="107"/>
  <c r="AR334" i="107"/>
  <c r="AR335" i="107"/>
  <c r="AR336" i="107"/>
  <c r="AR337" i="107"/>
  <c r="AR338" i="107"/>
  <c r="AR339" i="107"/>
  <c r="AR340" i="107"/>
  <c r="AR341" i="107"/>
  <c r="AR342" i="107"/>
  <c r="AR343" i="107"/>
  <c r="AR344" i="107"/>
  <c r="AR345" i="107"/>
  <c r="AR346" i="107"/>
  <c r="AR347" i="107"/>
  <c r="AR348" i="107"/>
  <c r="AR349" i="107"/>
  <c r="AR350" i="107"/>
  <c r="AR351" i="107"/>
  <c r="AR352" i="107"/>
  <c r="AR353" i="107"/>
  <c r="AR354" i="107"/>
  <c r="AR355" i="107"/>
  <c r="AR356" i="107"/>
  <c r="AR357" i="107"/>
  <c r="AR358" i="107"/>
  <c r="AR359" i="107"/>
  <c r="AR360" i="107"/>
  <c r="AR361" i="107"/>
  <c r="AR362" i="107"/>
  <c r="AR363" i="107"/>
  <c r="AR364" i="107"/>
  <c r="AR365" i="107"/>
  <c r="AR366" i="107"/>
  <c r="AR367" i="107"/>
  <c r="AR368" i="107"/>
  <c r="AR369" i="107"/>
  <c r="AR370" i="107"/>
  <c r="AR371" i="107"/>
  <c r="AR372" i="107"/>
  <c r="AR373" i="107"/>
  <c r="AR374" i="107"/>
  <c r="AR375" i="107"/>
  <c r="AR376" i="107"/>
  <c r="AR377" i="107"/>
  <c r="AR378" i="107"/>
  <c r="AR380" i="107"/>
  <c r="AO6" i="107"/>
  <c r="AO7" i="107"/>
  <c r="AO8" i="107"/>
  <c r="AO9" i="107"/>
  <c r="AO10" i="107"/>
  <c r="AO11" i="107"/>
  <c r="AO12" i="107"/>
  <c r="AO13" i="107"/>
  <c r="AO14" i="107"/>
  <c r="AO15" i="107"/>
  <c r="AO16" i="107"/>
  <c r="AO17" i="107"/>
  <c r="AO18" i="107"/>
  <c r="AO19" i="107"/>
  <c r="AO20" i="107"/>
  <c r="AO21" i="107"/>
  <c r="AO22" i="107"/>
  <c r="AO23" i="107"/>
  <c r="AO24" i="107"/>
  <c r="AO25" i="107"/>
  <c r="AO26" i="107"/>
  <c r="AO27" i="107"/>
  <c r="AO28" i="107"/>
  <c r="AO29" i="107"/>
  <c r="AO30" i="107"/>
  <c r="AO31" i="107"/>
  <c r="AO32" i="107"/>
  <c r="AO33" i="107"/>
  <c r="AO34" i="107"/>
  <c r="AO35" i="107"/>
  <c r="AO36" i="107"/>
  <c r="AO37" i="107"/>
  <c r="AO38" i="107"/>
  <c r="AO39" i="107"/>
  <c r="AO40" i="107"/>
  <c r="AO41" i="107"/>
  <c r="AO42" i="107"/>
  <c r="AO43" i="107"/>
  <c r="AO44" i="107"/>
  <c r="AO45" i="107"/>
  <c r="AO46" i="107"/>
  <c r="AO47" i="107"/>
  <c r="AO48" i="107"/>
  <c r="AO49" i="107"/>
  <c r="AO50" i="107"/>
  <c r="AO51" i="107"/>
  <c r="AO52" i="107"/>
  <c r="AO53" i="107"/>
  <c r="AO54" i="107"/>
  <c r="AO55" i="107"/>
  <c r="AO56" i="107"/>
  <c r="AO57" i="107"/>
  <c r="AO58" i="107"/>
  <c r="AO59" i="107"/>
  <c r="AO60" i="107"/>
  <c r="AO61" i="107"/>
  <c r="AO62" i="107"/>
  <c r="AO63" i="107"/>
  <c r="AO64" i="107"/>
  <c r="AO65" i="107"/>
  <c r="AO66" i="107"/>
  <c r="AO67" i="107"/>
  <c r="AO68" i="107"/>
  <c r="AO69" i="107"/>
  <c r="AO70" i="107"/>
  <c r="AO71" i="107"/>
  <c r="AO72" i="107"/>
  <c r="AO73" i="107"/>
  <c r="AO74" i="107"/>
  <c r="AO75" i="107"/>
  <c r="AO76" i="107"/>
  <c r="AO77" i="107"/>
  <c r="AO78" i="107"/>
  <c r="AO79" i="107"/>
  <c r="AO80" i="107"/>
  <c r="AO81" i="107"/>
  <c r="AO82" i="107"/>
  <c r="AO83" i="107"/>
  <c r="AO84" i="107"/>
  <c r="AO85" i="107"/>
  <c r="AO86" i="107"/>
  <c r="AO87" i="107"/>
  <c r="AO88" i="107"/>
  <c r="AO89" i="107"/>
  <c r="AO90" i="107"/>
  <c r="AO91" i="107"/>
  <c r="AO92" i="107"/>
  <c r="AO93" i="107"/>
  <c r="AO94" i="107"/>
  <c r="AO95" i="107"/>
  <c r="AO96" i="107"/>
  <c r="AO97" i="107"/>
  <c r="AO98" i="107"/>
  <c r="AO99" i="107"/>
  <c r="AO100" i="107"/>
  <c r="AO101" i="107"/>
  <c r="AO102" i="107"/>
  <c r="AO103" i="107"/>
  <c r="AO104" i="107"/>
  <c r="AO105" i="107"/>
  <c r="AO106" i="107"/>
  <c r="AO107" i="107"/>
  <c r="AO108" i="107"/>
  <c r="AO109" i="107"/>
  <c r="AO110" i="107"/>
  <c r="AO111" i="107"/>
  <c r="AO112" i="107"/>
  <c r="AO113" i="107"/>
  <c r="AO114" i="107"/>
  <c r="AO115" i="107"/>
  <c r="AO116" i="107"/>
  <c r="AO117" i="107"/>
  <c r="AO118" i="107"/>
  <c r="AO119" i="107"/>
  <c r="AO120" i="107"/>
  <c r="AO121" i="107"/>
  <c r="AO122" i="107"/>
  <c r="AO123" i="107"/>
  <c r="AO124" i="107"/>
  <c r="AO125" i="107"/>
  <c r="AO126" i="107"/>
  <c r="AO127" i="107"/>
  <c r="AO128" i="107"/>
  <c r="AO129" i="107"/>
  <c r="AO130" i="107"/>
  <c r="AO131" i="107"/>
  <c r="AO132" i="107"/>
  <c r="AO133" i="107"/>
  <c r="AO134" i="107"/>
  <c r="AO135" i="107"/>
  <c r="AO136" i="107"/>
  <c r="AO137" i="107"/>
  <c r="AO138" i="107"/>
  <c r="AO139" i="107"/>
  <c r="AO140" i="107"/>
  <c r="AO141" i="107"/>
  <c r="AO142" i="107"/>
  <c r="AO143" i="107"/>
  <c r="AO144" i="107"/>
  <c r="AO145" i="107"/>
  <c r="AO146" i="107"/>
  <c r="AO147" i="107"/>
  <c r="AO148" i="107"/>
  <c r="AO149" i="107"/>
  <c r="AO150" i="107"/>
  <c r="AO151" i="107"/>
  <c r="AO152" i="107"/>
  <c r="AO153" i="107"/>
  <c r="AO154" i="107"/>
  <c r="AO155" i="107"/>
  <c r="AO156" i="107"/>
  <c r="AO157" i="107"/>
  <c r="AO158" i="107"/>
  <c r="AO159" i="107"/>
  <c r="AO160" i="107"/>
  <c r="AO161" i="107"/>
  <c r="AO162" i="107"/>
  <c r="AO163" i="107"/>
  <c r="AO164" i="107"/>
  <c r="AO165" i="107"/>
  <c r="AO166" i="107"/>
  <c r="AO167" i="107"/>
  <c r="AO168" i="107"/>
  <c r="AO169" i="107"/>
  <c r="AO170" i="107"/>
  <c r="AO171" i="107"/>
  <c r="AO172" i="107"/>
  <c r="AO173" i="107"/>
  <c r="AO174" i="107"/>
  <c r="AO175" i="107"/>
  <c r="AO176" i="107"/>
  <c r="AO177" i="107"/>
  <c r="AO178" i="107"/>
  <c r="AO179" i="107"/>
  <c r="AO180" i="107"/>
  <c r="AO181" i="107"/>
  <c r="AO182" i="107"/>
  <c r="AO183" i="107"/>
  <c r="AO184" i="107"/>
  <c r="AO185" i="107"/>
  <c r="AO186" i="107"/>
  <c r="AO187" i="107"/>
  <c r="AO188" i="107"/>
  <c r="AO189" i="107"/>
  <c r="AO190" i="107"/>
  <c r="AO191" i="107"/>
  <c r="AO192" i="107"/>
  <c r="AO193" i="107"/>
  <c r="AO194" i="107"/>
  <c r="AO195" i="107"/>
  <c r="AO196" i="107"/>
  <c r="AO197" i="107"/>
  <c r="AO198" i="107"/>
  <c r="AO199" i="107"/>
  <c r="AO200" i="107"/>
  <c r="AO201" i="107"/>
  <c r="AO202" i="107"/>
  <c r="AO203" i="107"/>
  <c r="AO204" i="107"/>
  <c r="AO205" i="107"/>
  <c r="AO206" i="107"/>
  <c r="AO207" i="107"/>
  <c r="AO208" i="107"/>
  <c r="AO209" i="107"/>
  <c r="AO210" i="107"/>
  <c r="AO211" i="107"/>
  <c r="AO212" i="107"/>
  <c r="AO213" i="107"/>
  <c r="AO214" i="107"/>
  <c r="AO215" i="107"/>
  <c r="AO216" i="107"/>
  <c r="AO217" i="107"/>
  <c r="AO220" i="107"/>
  <c r="AO221" i="107"/>
  <c r="AO222" i="107"/>
  <c r="AO223" i="107"/>
  <c r="AO224" i="107"/>
  <c r="AO225" i="107"/>
  <c r="AO226" i="107"/>
  <c r="AO227" i="107"/>
  <c r="AO228" i="107"/>
  <c r="AO229" i="107"/>
  <c r="AO230" i="107"/>
  <c r="AO231" i="107"/>
  <c r="AO232" i="107"/>
  <c r="AO233" i="107"/>
  <c r="AO234" i="107"/>
  <c r="AO235" i="107"/>
  <c r="AO236" i="107"/>
  <c r="AO237" i="107"/>
  <c r="AO238" i="107"/>
  <c r="AO239" i="107"/>
  <c r="AO240" i="107"/>
  <c r="AO241" i="107"/>
  <c r="AO242" i="107"/>
  <c r="AO243" i="107"/>
  <c r="AO244" i="107"/>
  <c r="AO245" i="107"/>
  <c r="AO246" i="107"/>
  <c r="AO247" i="107"/>
  <c r="AO248" i="107"/>
  <c r="AO249" i="107"/>
  <c r="AO250" i="107"/>
  <c r="AO251" i="107"/>
  <c r="AO252" i="107"/>
  <c r="AO253" i="107"/>
  <c r="AO254" i="107"/>
  <c r="AO255" i="107"/>
  <c r="AO256" i="107"/>
  <c r="AO257" i="107"/>
  <c r="AO258" i="107"/>
  <c r="AO259" i="107"/>
  <c r="AO260" i="107"/>
  <c r="AO261" i="107"/>
  <c r="AO262" i="107"/>
  <c r="AO263" i="107"/>
  <c r="AO264" i="107"/>
  <c r="AO265" i="107"/>
  <c r="AO266" i="107"/>
  <c r="AO267" i="107"/>
  <c r="AO268" i="107"/>
  <c r="AO269" i="107"/>
  <c r="AO270" i="107"/>
  <c r="AO271" i="107"/>
  <c r="AO272" i="107"/>
  <c r="AO273" i="107"/>
  <c r="AO274" i="107"/>
  <c r="AO275" i="107"/>
  <c r="AO276" i="107"/>
  <c r="AO277" i="107"/>
  <c r="AO278" i="107"/>
  <c r="AO279" i="107"/>
  <c r="AO280" i="107"/>
  <c r="AO281" i="107"/>
  <c r="AO282" i="107"/>
  <c r="AO283" i="107"/>
  <c r="AO284" i="107"/>
  <c r="AO285" i="107"/>
  <c r="AO286" i="107"/>
  <c r="AO287" i="107"/>
  <c r="AO288" i="107"/>
  <c r="AO289" i="107"/>
  <c r="AO290" i="107"/>
  <c r="AO291" i="107"/>
  <c r="AO292" i="107"/>
  <c r="AO293" i="107"/>
  <c r="AO294" i="107"/>
  <c r="AO295" i="107"/>
  <c r="AO296" i="107"/>
  <c r="AO297" i="107"/>
  <c r="AO298" i="107"/>
  <c r="AO299" i="107"/>
  <c r="AO300" i="107"/>
  <c r="AO301" i="107"/>
  <c r="AO302" i="107"/>
  <c r="AO303" i="107"/>
  <c r="AO304" i="107"/>
  <c r="AO305" i="107"/>
  <c r="AO306" i="107"/>
  <c r="AO307" i="107"/>
  <c r="AO308" i="107"/>
  <c r="AO309" i="107"/>
  <c r="AO310" i="107"/>
  <c r="AO311" i="107"/>
  <c r="AO312" i="107"/>
  <c r="AO313" i="107"/>
  <c r="AO314" i="107"/>
  <c r="AO315" i="107"/>
  <c r="AO316" i="107"/>
  <c r="AO317" i="107"/>
  <c r="AO318" i="107"/>
  <c r="AO319" i="107"/>
  <c r="AO320" i="107"/>
  <c r="AO321" i="107"/>
  <c r="AO322" i="107"/>
  <c r="AO323" i="107"/>
  <c r="AO324" i="107"/>
  <c r="AO325" i="107"/>
  <c r="AO326" i="107"/>
  <c r="AO327" i="107"/>
  <c r="AO328" i="107"/>
  <c r="AO329" i="107"/>
  <c r="AO330" i="107"/>
  <c r="AO331" i="107"/>
  <c r="AO332" i="107"/>
  <c r="AO333" i="107"/>
  <c r="AO334" i="107"/>
  <c r="AO335" i="107"/>
  <c r="AO336" i="107"/>
  <c r="AO337" i="107"/>
  <c r="AO338" i="107"/>
  <c r="AO339" i="107"/>
  <c r="AO340" i="107"/>
  <c r="AO341" i="107"/>
  <c r="AO342" i="107"/>
  <c r="AO343" i="107"/>
  <c r="AO344" i="107"/>
  <c r="AO345" i="107"/>
  <c r="AO346" i="107"/>
  <c r="AO347" i="107"/>
  <c r="AO348" i="107"/>
  <c r="AO349" i="107"/>
  <c r="AO350" i="107"/>
  <c r="AO351" i="107"/>
  <c r="AO352" i="107"/>
  <c r="AO353" i="107"/>
  <c r="AO354" i="107"/>
  <c r="AO355" i="107"/>
  <c r="AO356" i="107"/>
  <c r="AO357" i="107"/>
  <c r="AO358" i="107"/>
  <c r="AO359" i="107"/>
  <c r="AO360" i="107"/>
  <c r="AO361" i="107"/>
  <c r="AO362" i="107"/>
  <c r="AO363" i="107"/>
  <c r="AO364" i="107"/>
  <c r="AO365" i="107"/>
  <c r="AO366" i="107"/>
  <c r="AO367" i="107"/>
  <c r="AO368" i="107"/>
  <c r="AO369" i="107"/>
  <c r="AO370" i="107"/>
  <c r="AO371" i="107"/>
  <c r="AO372" i="107"/>
  <c r="AO373" i="107"/>
  <c r="AO374" i="107"/>
  <c r="AO375" i="107"/>
  <c r="AO376" i="107"/>
  <c r="AO377" i="107"/>
  <c r="AO378" i="107"/>
  <c r="AO379" i="107"/>
  <c r="AO380" i="107"/>
  <c r="AO381" i="107"/>
  <c r="AO382" i="107"/>
  <c r="AO383" i="107"/>
  <c r="AO384" i="107"/>
  <c r="AO385" i="107"/>
  <c r="AO389" i="107"/>
  <c r="AO390" i="107"/>
  <c r="AO391" i="107"/>
  <c r="AO392" i="107"/>
  <c r="AO393" i="107"/>
  <c r="AO394" i="107"/>
  <c r="AO395" i="107"/>
  <c r="AO5" i="107"/>
  <c r="AP5" i="107"/>
  <c r="AL5" i="107"/>
  <c r="T436" i="107" l="1"/>
  <c r="T437" i="107"/>
  <c r="T438" i="107"/>
  <c r="T439" i="107"/>
  <c r="T440" i="107"/>
  <c r="T441" i="107"/>
  <c r="T442" i="107"/>
  <c r="T443" i="107"/>
  <c r="T444" i="107"/>
  <c r="T445" i="107"/>
  <c r="T446" i="107"/>
  <c r="T447" i="107"/>
  <c r="T449" i="107"/>
  <c r="T435" i="107"/>
  <c r="D436" i="107"/>
  <c r="D437" i="107"/>
  <c r="D438" i="107"/>
  <c r="D439" i="107"/>
  <c r="D440" i="107"/>
  <c r="D441" i="107"/>
  <c r="D442" i="107"/>
  <c r="D443" i="107"/>
  <c r="D444" i="107"/>
  <c r="D445" i="107"/>
  <c r="D446" i="107"/>
  <c r="D447" i="107"/>
  <c r="D449" i="107"/>
  <c r="D435" i="107"/>
  <c r="D529" i="107" l="1"/>
  <c r="D530" i="107"/>
  <c r="D531" i="107"/>
  <c r="D532" i="107"/>
  <c r="D533" i="107"/>
  <c r="D534" i="107"/>
  <c r="D535" i="107"/>
  <c r="D536" i="107"/>
  <c r="D537" i="107"/>
  <c r="D538" i="107"/>
  <c r="D539" i="107"/>
  <c r="D540" i="107"/>
  <c r="D541" i="107"/>
  <c r="D542" i="107"/>
  <c r="D543" i="107"/>
  <c r="D544" i="107"/>
  <c r="D545" i="107"/>
  <c r="D546" i="107"/>
  <c r="D547" i="107"/>
  <c r="D548" i="107"/>
  <c r="D549" i="107"/>
  <c r="D550" i="107"/>
  <c r="D551" i="107"/>
  <c r="D552" i="107"/>
  <c r="D553" i="107"/>
  <c r="D554" i="107"/>
  <c r="D555" i="107"/>
  <c r="D556" i="107"/>
  <c r="D557" i="107"/>
  <c r="D558" i="107"/>
  <c r="D559" i="107"/>
  <c r="D560" i="107"/>
  <c r="D561" i="107"/>
  <c r="D562" i="107"/>
  <c r="D563" i="107"/>
  <c r="D564" i="107"/>
  <c r="D565" i="107"/>
  <c r="D566" i="107"/>
  <c r="D567" i="107"/>
  <c r="D568" i="107"/>
  <c r="D569" i="107"/>
  <c r="D570" i="107"/>
  <c r="D571" i="107"/>
  <c r="D572" i="107"/>
  <c r="D573" i="107"/>
  <c r="D574" i="107"/>
  <c r="D575" i="107"/>
  <c r="D576" i="107"/>
  <c r="D577" i="107"/>
  <c r="D578" i="107"/>
  <c r="D579" i="107"/>
  <c r="D580" i="107"/>
  <c r="D581" i="107"/>
  <c r="D582" i="107"/>
  <c r="D583" i="107"/>
  <c r="D584" i="107"/>
  <c r="D585" i="107"/>
  <c r="D586" i="107"/>
  <c r="D587" i="107"/>
  <c r="D588" i="107"/>
  <c r="D589" i="107"/>
  <c r="D590" i="107"/>
  <c r="D591" i="107"/>
  <c r="D592" i="107"/>
  <c r="D593" i="107"/>
  <c r="D594" i="107"/>
  <c r="D595" i="107"/>
  <c r="D596" i="107"/>
  <c r="D597" i="107"/>
  <c r="D598" i="107"/>
  <c r="D599" i="107"/>
  <c r="D600" i="107"/>
  <c r="D601" i="107"/>
  <c r="D602" i="107"/>
  <c r="D603" i="107"/>
  <c r="D604" i="107"/>
  <c r="D605" i="107"/>
  <c r="D606" i="107"/>
  <c r="D607" i="107"/>
  <c r="D608" i="107"/>
  <c r="D609" i="107"/>
  <c r="D610" i="107"/>
  <c r="D611" i="107"/>
  <c r="D612" i="107"/>
  <c r="D613" i="107"/>
  <c r="D614" i="107"/>
  <c r="D615" i="107"/>
  <c r="D616" i="107"/>
  <c r="D617" i="107"/>
  <c r="D618" i="107"/>
  <c r="D619" i="107"/>
  <c r="D620" i="107"/>
  <c r="D621" i="107"/>
  <c r="D622" i="107"/>
  <c r="D623" i="107"/>
  <c r="D624" i="107"/>
  <c r="D625" i="107"/>
  <c r="D626" i="107"/>
  <c r="D627" i="107"/>
  <c r="D628" i="107"/>
  <c r="D629" i="107"/>
  <c r="D630" i="107"/>
  <c r="D631" i="107"/>
  <c r="D632" i="107"/>
  <c r="D633" i="107"/>
  <c r="D634" i="107"/>
  <c r="D635" i="107"/>
  <c r="D636" i="107"/>
  <c r="D637" i="107"/>
  <c r="D638" i="107"/>
  <c r="D639" i="107"/>
  <c r="D640" i="107"/>
  <c r="D641" i="107"/>
  <c r="D642" i="107"/>
  <c r="D643" i="107"/>
  <c r="D644" i="107"/>
  <c r="D645" i="107"/>
  <c r="D646" i="107"/>
  <c r="D647" i="107"/>
  <c r="D648" i="107"/>
  <c r="D650" i="107"/>
  <c r="D651" i="107"/>
  <c r="D652" i="107"/>
  <c r="D653" i="107"/>
  <c r="D654" i="107"/>
  <c r="D655" i="107"/>
  <c r="D656" i="107"/>
  <c r="D657" i="107"/>
  <c r="D658" i="107"/>
  <c r="D659" i="107"/>
  <c r="D660" i="107"/>
  <c r="D661" i="107"/>
  <c r="D662" i="107"/>
  <c r="D663" i="107"/>
  <c r="D664" i="107"/>
  <c r="D665" i="107"/>
  <c r="D666" i="107"/>
  <c r="D667" i="107"/>
  <c r="D668" i="107"/>
  <c r="D669" i="107"/>
  <c r="D670" i="107"/>
  <c r="D671" i="107"/>
  <c r="D672" i="107"/>
  <c r="D673" i="107"/>
  <c r="D674" i="107"/>
  <c r="D675" i="107"/>
  <c r="D676" i="107"/>
  <c r="D677" i="107"/>
  <c r="D678" i="107"/>
  <c r="D679" i="107"/>
  <c r="D680" i="107"/>
  <c r="D681" i="107"/>
  <c r="D682" i="107"/>
  <c r="D683" i="107"/>
  <c r="D684" i="107"/>
  <c r="D685" i="107"/>
  <c r="D686" i="107"/>
  <c r="D687" i="107"/>
  <c r="D688" i="107"/>
  <c r="D689" i="107"/>
  <c r="D690" i="107"/>
  <c r="D691" i="107"/>
  <c r="D692" i="107"/>
  <c r="D693" i="107"/>
  <c r="D694" i="107"/>
  <c r="D695" i="107"/>
  <c r="D696" i="107"/>
  <c r="D697" i="107"/>
  <c r="D698" i="107"/>
  <c r="D699" i="107"/>
  <c r="D700" i="107"/>
  <c r="D701" i="107"/>
  <c r="D702" i="107"/>
  <c r="D703" i="107"/>
  <c r="D704" i="107"/>
  <c r="D705" i="107"/>
  <c r="D706" i="107"/>
  <c r="D707" i="107"/>
  <c r="D708" i="107"/>
  <c r="D709" i="107"/>
  <c r="D710" i="107"/>
  <c r="D711" i="107"/>
  <c r="D712" i="107"/>
  <c r="D713" i="107"/>
  <c r="D714" i="107"/>
  <c r="D715" i="107"/>
  <c r="D716" i="107"/>
  <c r="D717" i="107"/>
  <c r="D718" i="107"/>
  <c r="D719" i="107"/>
  <c r="D720" i="107"/>
  <c r="D721" i="107"/>
  <c r="D722" i="107"/>
  <c r="D528" i="107"/>
  <c r="B528" i="107"/>
  <c r="B529" i="107" s="1"/>
  <c r="B530" i="107" s="1"/>
  <c r="B531" i="107" s="1"/>
  <c r="B532" i="107" s="1"/>
  <c r="B533" i="107" s="1"/>
  <c r="B534" i="107" s="1"/>
  <c r="B535" i="107" s="1"/>
  <c r="B536" i="107" s="1"/>
  <c r="B537" i="107" s="1"/>
  <c r="B538" i="107" s="1"/>
  <c r="B539" i="107" s="1"/>
  <c r="B540" i="107" s="1"/>
  <c r="B541" i="107" s="1"/>
  <c r="B542" i="107" s="1"/>
  <c r="B543" i="107" s="1"/>
  <c r="B544" i="107" s="1"/>
  <c r="B545" i="107" s="1"/>
  <c r="B546" i="107" s="1"/>
  <c r="B547" i="107" s="1"/>
  <c r="B548" i="107" s="1"/>
  <c r="B549" i="107" s="1"/>
  <c r="B550" i="107" s="1"/>
  <c r="B551" i="107" s="1"/>
  <c r="B552" i="107" s="1"/>
  <c r="B553" i="107" s="1"/>
  <c r="B554" i="107" s="1"/>
  <c r="B555" i="107" s="1"/>
  <c r="B556" i="107" s="1"/>
  <c r="B557" i="107" s="1"/>
  <c r="B558" i="107" s="1"/>
  <c r="B559" i="107" s="1"/>
  <c r="B560" i="107" s="1"/>
  <c r="B561" i="107" s="1"/>
  <c r="B562" i="107" s="1"/>
  <c r="B563" i="107" s="1"/>
  <c r="B564" i="107" s="1"/>
  <c r="B565" i="107" s="1"/>
  <c r="B566" i="107" s="1"/>
  <c r="B567" i="107" s="1"/>
  <c r="B568" i="107" s="1"/>
  <c r="B569" i="107" s="1"/>
  <c r="B570" i="107" s="1"/>
  <c r="B571" i="107" s="1"/>
  <c r="B572" i="107" s="1"/>
  <c r="B573" i="107" s="1"/>
  <c r="B574" i="107" s="1"/>
  <c r="B575" i="107" s="1"/>
  <c r="B576" i="107" s="1"/>
  <c r="B577" i="107" s="1"/>
  <c r="B578" i="107" s="1"/>
  <c r="B579" i="107" s="1"/>
  <c r="B580" i="107" s="1"/>
  <c r="B581" i="107" s="1"/>
  <c r="B582" i="107" s="1"/>
  <c r="B583" i="107" s="1"/>
  <c r="B584" i="107" s="1"/>
  <c r="B585" i="107" s="1"/>
  <c r="B586" i="107" s="1"/>
  <c r="B587" i="107" s="1"/>
  <c r="B588" i="107" s="1"/>
  <c r="B589" i="107" s="1"/>
  <c r="B590" i="107" s="1"/>
  <c r="B591" i="107" s="1"/>
  <c r="B592" i="107" s="1"/>
  <c r="B593" i="107" s="1"/>
  <c r="B594" i="107" s="1"/>
  <c r="B595" i="107" s="1"/>
  <c r="B596" i="107" s="1"/>
  <c r="B597" i="107" s="1"/>
  <c r="B598" i="107" s="1"/>
  <c r="B599" i="107" s="1"/>
  <c r="B600" i="107" s="1"/>
  <c r="B601" i="107" s="1"/>
  <c r="B602" i="107" s="1"/>
  <c r="B603" i="107" s="1"/>
  <c r="B604" i="107" s="1"/>
  <c r="B605" i="107" s="1"/>
  <c r="B606" i="107" s="1"/>
  <c r="B607" i="107" s="1"/>
  <c r="B608" i="107" s="1"/>
  <c r="B609" i="107" s="1"/>
  <c r="B610" i="107" s="1"/>
  <c r="B611" i="107" s="1"/>
  <c r="B612" i="107" s="1"/>
  <c r="B613" i="107" s="1"/>
  <c r="B614" i="107" s="1"/>
  <c r="B615" i="107" s="1"/>
  <c r="B616" i="107" s="1"/>
  <c r="B617" i="107" s="1"/>
  <c r="B618" i="107" s="1"/>
  <c r="B619" i="107" s="1"/>
  <c r="B620" i="107" s="1"/>
  <c r="B621" i="107" s="1"/>
  <c r="B622" i="107" s="1"/>
  <c r="B623" i="107" s="1"/>
  <c r="B624" i="107" s="1"/>
  <c r="B625" i="107" s="1"/>
  <c r="B626" i="107" s="1"/>
  <c r="B627" i="107" s="1"/>
  <c r="B628" i="107" s="1"/>
  <c r="B629" i="107" s="1"/>
  <c r="B630" i="107" s="1"/>
  <c r="B631" i="107" s="1"/>
  <c r="B632" i="107" s="1"/>
  <c r="B633" i="107" s="1"/>
  <c r="B634" i="107" s="1"/>
  <c r="B635" i="107" s="1"/>
  <c r="B636" i="107" s="1"/>
  <c r="B637" i="107" s="1"/>
  <c r="B638" i="107" s="1"/>
  <c r="B639" i="107" s="1"/>
  <c r="B640" i="107" s="1"/>
  <c r="B641" i="107" s="1"/>
  <c r="B642" i="107" s="1"/>
  <c r="B643" i="107" s="1"/>
  <c r="B644" i="107" s="1"/>
  <c r="B645" i="107" s="1"/>
  <c r="B646" i="107" s="1"/>
  <c r="B647" i="107" s="1"/>
  <c r="B648" i="107" s="1"/>
  <c r="B649" i="107" s="1"/>
  <c r="B650" i="107" s="1"/>
  <c r="B651" i="107" s="1"/>
  <c r="B652" i="107" s="1"/>
  <c r="B653" i="107" s="1"/>
  <c r="B654" i="107" s="1"/>
  <c r="B655" i="107" s="1"/>
  <c r="B656" i="107" s="1"/>
  <c r="B657" i="107" s="1"/>
  <c r="B658" i="107" s="1"/>
  <c r="B659" i="107" s="1"/>
  <c r="B660" i="107" s="1"/>
  <c r="B661" i="107" s="1"/>
  <c r="B662" i="107" s="1"/>
  <c r="B663" i="107" s="1"/>
  <c r="B664" i="107" s="1"/>
  <c r="B665" i="107" s="1"/>
  <c r="B666" i="107" s="1"/>
  <c r="B667" i="107" s="1"/>
  <c r="B668" i="107" s="1"/>
  <c r="B669" i="107" s="1"/>
  <c r="B670" i="107" s="1"/>
  <c r="B671" i="107" s="1"/>
  <c r="B672" i="107" s="1"/>
  <c r="B673" i="107" s="1"/>
  <c r="B674" i="107" s="1"/>
  <c r="B675" i="107" s="1"/>
  <c r="B676" i="107" s="1"/>
  <c r="B677" i="107" s="1"/>
  <c r="B678" i="107" s="1"/>
  <c r="B679" i="107" s="1"/>
  <c r="B680" i="107" s="1"/>
  <c r="B681" i="107" s="1"/>
  <c r="B682" i="107" s="1"/>
  <c r="B683" i="107" s="1"/>
  <c r="B684" i="107" s="1"/>
  <c r="B685" i="107" s="1"/>
  <c r="B686" i="107" s="1"/>
  <c r="B687" i="107" s="1"/>
  <c r="B688" i="107" s="1"/>
  <c r="B689" i="107" s="1"/>
  <c r="B690" i="107" s="1"/>
  <c r="B691" i="107" s="1"/>
  <c r="B692" i="107" s="1"/>
  <c r="B693" i="107" s="1"/>
  <c r="B694" i="107" s="1"/>
  <c r="B695" i="107" s="1"/>
  <c r="B696" i="107" s="1"/>
  <c r="B697" i="107" s="1"/>
  <c r="B698" i="107" s="1"/>
  <c r="B699" i="107" s="1"/>
  <c r="B700" i="107" s="1"/>
  <c r="B701" i="107" s="1"/>
  <c r="B702" i="107" s="1"/>
  <c r="B703" i="107" s="1"/>
  <c r="B704" i="107" s="1"/>
  <c r="B705" i="107" s="1"/>
  <c r="B706" i="107" s="1"/>
  <c r="B707" i="107" s="1"/>
  <c r="B708" i="107" s="1"/>
  <c r="B709" i="107" s="1"/>
  <c r="B710" i="107" s="1"/>
  <c r="B711" i="107" s="1"/>
  <c r="B712" i="107" s="1"/>
  <c r="B713" i="107" s="1"/>
  <c r="B714" i="107" s="1"/>
  <c r="B715" i="107" s="1"/>
  <c r="B716" i="107" s="1"/>
  <c r="B717" i="107" s="1"/>
  <c r="B718" i="107" s="1"/>
  <c r="B719" i="107" s="1"/>
  <c r="B720" i="107" s="1"/>
  <c r="B721" i="107" s="1"/>
  <c r="B722" i="107" s="1"/>
  <c r="B723" i="107" s="1"/>
  <c r="B724" i="107" s="1"/>
  <c r="B725" i="107" s="1"/>
  <c r="B726" i="107" s="1"/>
  <c r="B727" i="107" s="1"/>
  <c r="B728" i="107" s="1"/>
  <c r="B729" i="107" s="1"/>
  <c r="B730" i="107" s="1"/>
  <c r="B731" i="107" s="1"/>
  <c r="B732" i="107" s="1"/>
  <c r="B733" i="107" s="1"/>
  <c r="B734" i="107" s="1"/>
  <c r="B735" i="107" s="1"/>
  <c r="B736" i="107" s="1"/>
  <c r="B737" i="107" s="1"/>
  <c r="B738" i="107" s="1"/>
  <c r="B739" i="107" s="1"/>
  <c r="B740" i="107" s="1"/>
  <c r="B741" i="107" s="1"/>
  <c r="B742" i="107" s="1"/>
  <c r="B743" i="107" s="1"/>
  <c r="B744" i="107" s="1"/>
  <c r="B745" i="107" s="1"/>
  <c r="B746" i="107" s="1"/>
  <c r="B747" i="107" s="1"/>
  <c r="B748" i="107" s="1"/>
  <c r="B749" i="107" s="1"/>
  <c r="B750" i="107" s="1"/>
  <c r="D527" i="107"/>
  <c r="T528" i="107"/>
  <c r="T529" i="107"/>
  <c r="T530" i="107"/>
  <c r="T531" i="107"/>
  <c r="T532" i="107"/>
  <c r="T533" i="107"/>
  <c r="T534" i="107"/>
  <c r="T535" i="107"/>
  <c r="T536" i="107"/>
  <c r="T537" i="107"/>
  <c r="T538" i="107"/>
  <c r="T539" i="107"/>
  <c r="T540" i="107"/>
  <c r="T541" i="107"/>
  <c r="T542" i="107"/>
  <c r="T543" i="107"/>
  <c r="T544" i="107"/>
  <c r="T545" i="107"/>
  <c r="T546" i="107"/>
  <c r="T547" i="107"/>
  <c r="T548" i="107"/>
  <c r="T549" i="107"/>
  <c r="T550" i="107"/>
  <c r="T551" i="107"/>
  <c r="T552" i="107"/>
  <c r="T553" i="107"/>
  <c r="T554" i="107"/>
  <c r="T555" i="107"/>
  <c r="T556" i="107"/>
  <c r="T557" i="107"/>
  <c r="T558" i="107"/>
  <c r="T559" i="107"/>
  <c r="T560" i="107"/>
  <c r="T561" i="107"/>
  <c r="T562" i="107"/>
  <c r="T563" i="107"/>
  <c r="T564" i="107"/>
  <c r="T565" i="107"/>
  <c r="T566" i="107"/>
  <c r="T567" i="107"/>
  <c r="T568" i="107"/>
  <c r="T569" i="107"/>
  <c r="T570" i="107"/>
  <c r="T571" i="107"/>
  <c r="T572" i="107"/>
  <c r="T573" i="107"/>
  <c r="T574" i="107"/>
  <c r="T575" i="107"/>
  <c r="T576" i="107"/>
  <c r="T577" i="107"/>
  <c r="T578" i="107"/>
  <c r="T579" i="107"/>
  <c r="T580" i="107"/>
  <c r="T581" i="107"/>
  <c r="T582" i="107"/>
  <c r="T583" i="107"/>
  <c r="T584" i="107"/>
  <c r="T585" i="107"/>
  <c r="T586" i="107"/>
  <c r="T587" i="107"/>
  <c r="T588" i="107"/>
  <c r="T589" i="107"/>
  <c r="T590" i="107"/>
  <c r="T591" i="107"/>
  <c r="T592" i="107"/>
  <c r="T593" i="107"/>
  <c r="T594" i="107"/>
  <c r="T595" i="107"/>
  <c r="T596" i="107"/>
  <c r="T597" i="107"/>
  <c r="T598" i="107"/>
  <c r="T599" i="107"/>
  <c r="T600" i="107"/>
  <c r="T601" i="107"/>
  <c r="T602" i="107"/>
  <c r="T603" i="107"/>
  <c r="T604" i="107"/>
  <c r="T605" i="107"/>
  <c r="T606" i="107"/>
  <c r="T607" i="107"/>
  <c r="T608" i="107"/>
  <c r="T609" i="107"/>
  <c r="T610" i="107"/>
  <c r="T611" i="107"/>
  <c r="T612" i="107"/>
  <c r="T613" i="107"/>
  <c r="T614" i="107"/>
  <c r="T615" i="107"/>
  <c r="T616" i="107"/>
  <c r="T617" i="107"/>
  <c r="T618" i="107"/>
  <c r="T619" i="107"/>
  <c r="T620" i="107"/>
  <c r="T621" i="107"/>
  <c r="T622" i="107"/>
  <c r="T623" i="107"/>
  <c r="T624" i="107"/>
  <c r="T625" i="107"/>
  <c r="T626" i="107"/>
  <c r="T627" i="107"/>
  <c r="T628" i="107"/>
  <c r="T629" i="107"/>
  <c r="T630" i="107"/>
  <c r="T631" i="107"/>
  <c r="T632" i="107"/>
  <c r="T633" i="107"/>
  <c r="T634" i="107"/>
  <c r="T635" i="107"/>
  <c r="T636" i="107"/>
  <c r="T637" i="107"/>
  <c r="T638" i="107"/>
  <c r="T639" i="107"/>
  <c r="T640" i="107"/>
  <c r="T641" i="107"/>
  <c r="T642" i="107"/>
  <c r="T643" i="107"/>
  <c r="T644" i="107"/>
  <c r="T645" i="107"/>
  <c r="T646" i="107"/>
  <c r="T647" i="107"/>
  <c r="T648" i="107"/>
  <c r="T649" i="107"/>
  <c r="T650" i="107"/>
  <c r="T651" i="107"/>
  <c r="T652" i="107"/>
  <c r="T653" i="107"/>
  <c r="T654" i="107"/>
  <c r="T655" i="107"/>
  <c r="T656" i="107"/>
  <c r="T657" i="107"/>
  <c r="T658" i="107"/>
  <c r="T659" i="107"/>
  <c r="T660" i="107"/>
  <c r="T661" i="107"/>
  <c r="T662" i="107"/>
  <c r="T663" i="107"/>
  <c r="T664" i="107"/>
  <c r="T665" i="107"/>
  <c r="T666" i="107"/>
  <c r="T667" i="107"/>
  <c r="T668" i="107"/>
  <c r="T669" i="107"/>
  <c r="T670" i="107"/>
  <c r="T671" i="107"/>
  <c r="T672" i="107"/>
  <c r="T673" i="107"/>
  <c r="T674" i="107"/>
  <c r="T675" i="107"/>
  <c r="T676" i="107"/>
  <c r="T677" i="107"/>
  <c r="T678" i="107"/>
  <c r="T679" i="107"/>
  <c r="T680" i="107"/>
  <c r="T681" i="107"/>
  <c r="T682" i="107"/>
  <c r="T683" i="107"/>
  <c r="T684" i="107"/>
  <c r="T685" i="107"/>
  <c r="T686" i="107"/>
  <c r="T687" i="107"/>
  <c r="T688" i="107"/>
  <c r="T689" i="107"/>
  <c r="T690" i="107"/>
  <c r="T691" i="107"/>
  <c r="T692" i="107"/>
  <c r="T693" i="107"/>
  <c r="T694" i="107"/>
  <c r="T695" i="107"/>
  <c r="T696" i="107"/>
  <c r="T697" i="107"/>
  <c r="T698" i="107"/>
  <c r="T699" i="107"/>
  <c r="T700" i="107"/>
  <c r="T701" i="107"/>
  <c r="T702" i="107"/>
  <c r="T703" i="107"/>
  <c r="T704" i="107"/>
  <c r="T705" i="107"/>
  <c r="T706" i="107"/>
  <c r="T707" i="107"/>
  <c r="T708" i="107"/>
  <c r="T709" i="107"/>
  <c r="T710" i="107"/>
  <c r="T711" i="107"/>
  <c r="T712" i="107"/>
  <c r="T713" i="107"/>
  <c r="T714" i="107"/>
  <c r="T715" i="107"/>
  <c r="T716" i="107"/>
  <c r="T717" i="107"/>
  <c r="T718" i="107"/>
  <c r="T719" i="107"/>
  <c r="T720" i="107"/>
  <c r="T721" i="107"/>
  <c r="T722" i="107"/>
  <c r="T527" i="107"/>
  <c r="T754" i="107" l="1"/>
  <c r="T525" i="107"/>
  <c r="F8" i="117" l="1"/>
  <c r="H8" i="117"/>
  <c r="G8" i="117"/>
  <c r="T2" i="117"/>
  <c r="L8" i="117" l="1"/>
  <c r="AB126" i="104" l="1"/>
  <c r="AB127" i="104"/>
  <c r="AB128" i="104"/>
  <c r="AB129" i="104"/>
  <c r="AB130" i="104"/>
  <c r="AB131" i="104"/>
  <c r="AB132" i="104"/>
  <c r="AB133" i="104"/>
  <c r="AB134" i="104"/>
  <c r="AB135" i="104"/>
  <c r="AB136" i="104"/>
  <c r="AB137" i="104"/>
  <c r="AB138" i="104"/>
  <c r="AB139" i="104"/>
  <c r="AB140" i="104"/>
  <c r="AB141" i="104"/>
  <c r="AB142" i="104"/>
  <c r="AB143" i="104"/>
  <c r="AB144" i="104"/>
  <c r="AB145" i="104"/>
  <c r="AB146" i="104"/>
  <c r="AB147" i="104"/>
  <c r="AB148" i="104"/>
  <c r="AB149" i="104"/>
  <c r="AB150" i="104"/>
  <c r="AB151" i="104"/>
  <c r="AB152" i="104"/>
  <c r="AB153" i="104"/>
  <c r="AB154" i="104"/>
  <c r="AB155" i="104"/>
  <c r="AB156" i="104"/>
  <c r="AB157" i="104"/>
  <c r="AB158" i="104"/>
  <c r="AB159" i="104"/>
  <c r="AB160" i="104"/>
  <c r="AB161" i="104"/>
  <c r="AB162" i="104"/>
  <c r="AB163" i="104"/>
  <c r="AB164" i="104"/>
  <c r="AB165" i="104"/>
  <c r="AB166" i="104"/>
  <c r="AB167" i="104"/>
  <c r="AB168" i="104"/>
  <c r="AB169" i="104"/>
  <c r="AB170" i="104"/>
  <c r="AB171" i="104"/>
  <c r="AB172" i="104"/>
  <c r="AB173" i="104"/>
  <c r="AB174" i="104"/>
  <c r="AB175" i="104"/>
  <c r="AB176" i="104"/>
  <c r="AB177" i="104"/>
  <c r="AB178" i="104"/>
  <c r="AB179" i="104"/>
  <c r="AB180" i="104"/>
  <c r="AB181" i="104"/>
  <c r="AB182" i="104"/>
  <c r="AB183" i="104"/>
  <c r="AB184" i="104"/>
  <c r="AB185" i="104"/>
  <c r="AB186" i="104"/>
  <c r="AB187" i="104"/>
  <c r="AB188" i="104"/>
  <c r="AB189" i="104"/>
  <c r="AB190" i="104"/>
  <c r="AB191" i="104"/>
  <c r="AB192" i="104"/>
  <c r="AB193" i="104"/>
  <c r="AB194" i="104"/>
  <c r="AB195" i="104"/>
  <c r="AB196" i="104"/>
  <c r="AB197" i="104"/>
  <c r="AB198" i="104"/>
  <c r="AB199" i="104"/>
  <c r="AB5" i="104"/>
  <c r="AB6" i="104"/>
  <c r="AB7" i="104"/>
  <c r="AB8" i="104"/>
  <c r="AB9" i="104"/>
  <c r="AB10" i="104"/>
  <c r="AB11" i="104"/>
  <c r="AB12" i="104"/>
  <c r="AB13" i="104"/>
  <c r="AB14" i="104"/>
  <c r="AB15" i="104"/>
  <c r="AB16" i="104"/>
  <c r="AB17" i="104"/>
  <c r="AB18" i="104"/>
  <c r="AB19" i="104"/>
  <c r="AB20" i="104"/>
  <c r="AB21" i="104"/>
  <c r="AB22" i="104"/>
  <c r="AB23" i="104"/>
  <c r="AB24" i="104"/>
  <c r="AB25" i="104"/>
  <c r="AB26" i="104"/>
  <c r="AB27" i="104"/>
  <c r="AB28" i="104"/>
  <c r="AB29" i="104"/>
  <c r="AB30" i="104"/>
  <c r="AB31" i="104"/>
  <c r="AB32" i="104"/>
  <c r="AB33" i="104"/>
  <c r="AB34" i="104"/>
  <c r="AB35" i="104"/>
  <c r="AB36" i="104"/>
  <c r="AB37" i="104"/>
  <c r="AB38" i="104"/>
  <c r="AB39" i="104"/>
  <c r="AB40" i="104"/>
  <c r="AB41" i="104"/>
  <c r="AB42" i="104"/>
  <c r="AB43" i="104"/>
  <c r="AB44" i="104"/>
  <c r="AB45" i="104"/>
  <c r="AB46" i="104"/>
  <c r="AB47" i="104"/>
  <c r="AB48" i="104"/>
  <c r="AB49" i="104"/>
  <c r="AB50" i="104"/>
  <c r="AB51" i="104"/>
  <c r="AB52" i="104"/>
  <c r="AB53" i="104"/>
  <c r="AB54" i="104"/>
  <c r="AB55" i="104"/>
  <c r="AB56" i="104"/>
  <c r="AB57" i="104"/>
  <c r="AB58" i="104"/>
  <c r="AB59" i="104"/>
  <c r="AB60" i="104"/>
  <c r="AB61" i="104"/>
  <c r="AB62" i="104"/>
  <c r="AB63" i="104"/>
  <c r="AB64" i="104"/>
  <c r="AB65" i="104"/>
  <c r="AB66" i="104"/>
  <c r="AB67" i="104"/>
  <c r="AB68" i="104"/>
  <c r="AB69" i="104"/>
  <c r="AB70" i="104"/>
  <c r="AB71" i="104"/>
  <c r="AB72" i="104"/>
  <c r="AB73" i="104"/>
  <c r="AB74" i="104"/>
  <c r="AB75" i="104"/>
  <c r="AB76" i="104"/>
  <c r="AB77" i="104"/>
  <c r="AB78" i="104"/>
  <c r="AB79" i="104"/>
  <c r="AB80" i="104"/>
  <c r="AB81" i="104"/>
  <c r="AB82" i="104"/>
  <c r="AB83" i="104"/>
  <c r="AB84" i="104"/>
  <c r="AB85" i="104"/>
  <c r="AB86" i="104"/>
  <c r="AB87" i="104"/>
  <c r="AB88" i="104"/>
  <c r="AB89" i="104"/>
  <c r="AB90" i="104"/>
  <c r="AB91" i="104"/>
  <c r="AB92" i="104"/>
  <c r="AB93" i="104"/>
  <c r="AB94" i="104"/>
  <c r="AB95" i="104"/>
  <c r="AB96" i="104"/>
  <c r="AB97" i="104"/>
  <c r="AB98" i="104"/>
  <c r="AB99" i="104"/>
  <c r="AB100" i="104"/>
  <c r="AB101" i="104"/>
  <c r="AB102" i="104"/>
  <c r="AB103" i="104"/>
  <c r="AB104" i="104"/>
  <c r="AB105" i="104"/>
  <c r="AB106" i="104"/>
  <c r="AB107" i="104"/>
  <c r="AB108" i="104"/>
  <c r="AB109" i="104"/>
  <c r="AB110" i="104"/>
  <c r="AB111" i="104"/>
  <c r="AB112" i="104"/>
  <c r="AB113" i="104"/>
  <c r="AB114" i="104"/>
  <c r="AB115" i="104"/>
  <c r="AB116" i="104"/>
  <c r="AB117" i="104"/>
  <c r="AB118" i="104"/>
  <c r="AB119" i="104"/>
  <c r="AB120" i="104"/>
  <c r="AB121" i="104"/>
  <c r="AB122" i="104"/>
  <c r="AB123" i="104"/>
  <c r="AB124" i="104"/>
  <c r="AB125" i="104"/>
  <c r="AB4" i="104"/>
  <c r="D5" i="104"/>
  <c r="D6" i="104"/>
  <c r="D7" i="104"/>
  <c r="D8" i="104"/>
  <c r="D9" i="104"/>
  <c r="D10" i="104"/>
  <c r="D11" i="104"/>
  <c r="D12" i="104"/>
  <c r="D13" i="104"/>
  <c r="D14" i="104"/>
  <c r="D15" i="104"/>
  <c r="D16" i="104"/>
  <c r="D17" i="104"/>
  <c r="D18" i="104"/>
  <c r="D19" i="104"/>
  <c r="D20" i="104"/>
  <c r="D21" i="104"/>
  <c r="D22" i="104"/>
  <c r="D23" i="104"/>
  <c r="D24" i="104"/>
  <c r="D25" i="104"/>
  <c r="D26" i="104"/>
  <c r="D27" i="104"/>
  <c r="D28" i="104"/>
  <c r="D29" i="104"/>
  <c r="D30" i="104"/>
  <c r="D31" i="104"/>
  <c r="D32" i="104"/>
  <c r="D33" i="104"/>
  <c r="D34" i="104"/>
  <c r="D35" i="104"/>
  <c r="D36" i="104"/>
  <c r="D37" i="104"/>
  <c r="D38" i="104"/>
  <c r="D39" i="104"/>
  <c r="D40" i="104"/>
  <c r="D41" i="104"/>
  <c r="D42" i="104"/>
  <c r="D43" i="104"/>
  <c r="D44" i="104"/>
  <c r="D45" i="104"/>
  <c r="D46" i="104"/>
  <c r="D47" i="104"/>
  <c r="D48" i="104"/>
  <c r="D49" i="104"/>
  <c r="D50" i="104"/>
  <c r="D51" i="104"/>
  <c r="D52" i="104"/>
  <c r="D53" i="104"/>
  <c r="D54" i="104"/>
  <c r="D55" i="104"/>
  <c r="D56" i="104"/>
  <c r="D57" i="104"/>
  <c r="D58" i="104"/>
  <c r="D59" i="104"/>
  <c r="D60" i="104"/>
  <c r="D61" i="104"/>
  <c r="D62" i="104"/>
  <c r="D63" i="104"/>
  <c r="D64" i="104"/>
  <c r="D65" i="104"/>
  <c r="D66" i="104"/>
  <c r="D67" i="104"/>
  <c r="D68" i="104"/>
  <c r="D69" i="104"/>
  <c r="D70" i="104"/>
  <c r="D71" i="104"/>
  <c r="D72" i="104"/>
  <c r="D73" i="104"/>
  <c r="D74" i="104"/>
  <c r="D75" i="104"/>
  <c r="D76" i="104"/>
  <c r="D77" i="104"/>
  <c r="D78" i="104"/>
  <c r="D79" i="104"/>
  <c r="D80" i="104"/>
  <c r="D81" i="104"/>
  <c r="D82" i="104"/>
  <c r="D83" i="104"/>
  <c r="D84" i="104"/>
  <c r="D85" i="104"/>
  <c r="D86" i="104"/>
  <c r="D87" i="104"/>
  <c r="D88" i="104"/>
  <c r="D89" i="104"/>
  <c r="D90" i="104"/>
  <c r="D91" i="104"/>
  <c r="D92" i="104"/>
  <c r="D93" i="104"/>
  <c r="D94" i="104"/>
  <c r="D95" i="104"/>
  <c r="D96" i="104"/>
  <c r="D97" i="104"/>
  <c r="D98" i="104"/>
  <c r="D99" i="104"/>
  <c r="D100" i="104"/>
  <c r="D101" i="104"/>
  <c r="D102" i="104"/>
  <c r="D103" i="104"/>
  <c r="D104" i="104"/>
  <c r="D105" i="104"/>
  <c r="D106" i="104"/>
  <c r="D107" i="104"/>
  <c r="D108" i="104"/>
  <c r="D109" i="104"/>
  <c r="D110" i="104"/>
  <c r="D111" i="104"/>
  <c r="D112" i="104"/>
  <c r="D113" i="104"/>
  <c r="D114" i="104"/>
  <c r="D115" i="104"/>
  <c r="D116" i="104"/>
  <c r="D117" i="104"/>
  <c r="D118" i="104"/>
  <c r="D119" i="104"/>
  <c r="D120" i="104"/>
  <c r="D121" i="104"/>
  <c r="D122" i="104"/>
  <c r="D123" i="104"/>
  <c r="D124" i="104"/>
  <c r="D125" i="104"/>
  <c r="D126" i="104"/>
  <c r="D127" i="104"/>
  <c r="D128" i="104"/>
  <c r="D129" i="104"/>
  <c r="D130" i="104"/>
  <c r="D131" i="104"/>
  <c r="D132" i="104"/>
  <c r="D133" i="104"/>
  <c r="D134" i="104"/>
  <c r="D135" i="104"/>
  <c r="D136" i="104"/>
  <c r="D137" i="104"/>
  <c r="D138" i="104"/>
  <c r="D139" i="104"/>
  <c r="D140" i="104"/>
  <c r="D141" i="104"/>
  <c r="D142" i="104"/>
  <c r="D143" i="104"/>
  <c r="D144" i="104"/>
  <c r="D145" i="104"/>
  <c r="D146" i="104"/>
  <c r="D147" i="104"/>
  <c r="D148" i="104"/>
  <c r="D149" i="104"/>
  <c r="D150" i="104"/>
  <c r="D151" i="104"/>
  <c r="D152" i="104"/>
  <c r="D153" i="104"/>
  <c r="D154" i="104"/>
  <c r="D155" i="104"/>
  <c r="D156" i="104"/>
  <c r="D157" i="104"/>
  <c r="D158" i="104"/>
  <c r="D159" i="104"/>
  <c r="D160" i="104"/>
  <c r="D161" i="104"/>
  <c r="D162" i="104"/>
  <c r="D163" i="104"/>
  <c r="D164" i="104"/>
  <c r="D165" i="104"/>
  <c r="D166" i="104"/>
  <c r="D167" i="104"/>
  <c r="D168" i="104"/>
  <c r="D169" i="104"/>
  <c r="D170" i="104"/>
  <c r="D171" i="104"/>
  <c r="D172" i="104"/>
  <c r="D173" i="104"/>
  <c r="D174" i="104"/>
  <c r="D175" i="104"/>
  <c r="D176" i="104"/>
  <c r="D177" i="104"/>
  <c r="D178" i="104"/>
  <c r="D179" i="104"/>
  <c r="D180" i="104"/>
  <c r="D181" i="104"/>
  <c r="D182" i="104"/>
  <c r="D183" i="104"/>
  <c r="D184" i="104"/>
  <c r="D185" i="104"/>
  <c r="D186" i="104"/>
  <c r="D187" i="104"/>
  <c r="D188" i="104"/>
  <c r="D189" i="104"/>
  <c r="D190" i="104"/>
  <c r="D191" i="104"/>
  <c r="D192" i="104"/>
  <c r="D193" i="104"/>
  <c r="D194" i="104"/>
  <c r="D195" i="104"/>
  <c r="D196" i="104"/>
  <c r="D197" i="104"/>
  <c r="D198" i="104"/>
  <c r="D199" i="104"/>
  <c r="D200" i="104"/>
  <c r="D201" i="104"/>
  <c r="D202" i="104"/>
  <c r="D203" i="104"/>
  <c r="D204" i="104"/>
  <c r="D205" i="104"/>
  <c r="D206" i="104"/>
  <c r="D207" i="104"/>
  <c r="D208" i="104"/>
  <c r="D209" i="104"/>
  <c r="D210" i="104"/>
  <c r="D211" i="104"/>
  <c r="D212" i="104"/>
  <c r="D213" i="104"/>
  <c r="D214" i="104"/>
  <c r="D215" i="104"/>
  <c r="D216" i="104"/>
  <c r="D217" i="104"/>
  <c r="D218" i="104"/>
  <c r="D219" i="104"/>
  <c r="D220" i="104"/>
  <c r="D221" i="104"/>
  <c r="D222" i="104"/>
  <c r="D223" i="104"/>
  <c r="D224" i="104"/>
  <c r="D225" i="104"/>
  <c r="D226" i="104"/>
  <c r="D227" i="104"/>
  <c r="D228" i="104"/>
  <c r="D229" i="104"/>
  <c r="D230" i="104"/>
  <c r="D231" i="104"/>
  <c r="D232" i="104"/>
  <c r="D233" i="104"/>
  <c r="D234" i="104"/>
  <c r="D235" i="104"/>
  <c r="D236" i="104"/>
  <c r="D237" i="104"/>
  <c r="D238" i="104"/>
  <c r="D239" i="104"/>
  <c r="D240" i="104"/>
  <c r="D241" i="104"/>
  <c r="D242" i="104"/>
  <c r="D243" i="104"/>
  <c r="D244" i="104"/>
  <c r="D245" i="104"/>
  <c r="D246" i="104"/>
  <c r="D247" i="104"/>
  <c r="D248" i="104"/>
  <c r="D249" i="104"/>
  <c r="D250" i="104"/>
  <c r="D251" i="104"/>
  <c r="D252" i="104"/>
  <c r="D253" i="104"/>
  <c r="D254" i="104"/>
  <c r="D255" i="104"/>
  <c r="D256" i="104"/>
  <c r="D257" i="104"/>
  <c r="D258" i="104"/>
  <c r="D259" i="104"/>
  <c r="D260" i="104"/>
  <c r="D261" i="104"/>
  <c r="D262" i="104"/>
  <c r="D263" i="104"/>
  <c r="D264" i="104"/>
  <c r="D265" i="104"/>
  <c r="D266" i="104"/>
  <c r="D267" i="104"/>
  <c r="D268" i="104"/>
  <c r="D269" i="104"/>
  <c r="D270" i="104"/>
  <c r="D271" i="104"/>
  <c r="D272" i="104"/>
  <c r="D273" i="104"/>
  <c r="D274" i="104"/>
  <c r="D275" i="104"/>
  <c r="D276" i="104"/>
  <c r="D277" i="104"/>
  <c r="D278" i="104"/>
  <c r="D279" i="104"/>
  <c r="D280" i="104"/>
  <c r="D281" i="104"/>
  <c r="D282" i="104"/>
  <c r="D283" i="104"/>
  <c r="D284" i="104"/>
  <c r="D285" i="104"/>
  <c r="D286" i="104"/>
  <c r="D287" i="104"/>
  <c r="D288" i="104"/>
  <c r="D289" i="104"/>
  <c r="D290" i="104"/>
  <c r="D291" i="104"/>
  <c r="D292" i="104"/>
  <c r="D293" i="104"/>
  <c r="D294" i="104"/>
  <c r="D295" i="104"/>
  <c r="D296" i="104"/>
  <c r="D297" i="104"/>
  <c r="D298" i="104"/>
  <c r="D299" i="104"/>
  <c r="D300" i="104"/>
  <c r="D301" i="104"/>
  <c r="D302" i="104"/>
  <c r="D303" i="104"/>
  <c r="D304" i="104"/>
  <c r="D305" i="104"/>
  <c r="D306" i="104"/>
  <c r="D307" i="104"/>
  <c r="D308" i="104"/>
  <c r="D309" i="104"/>
  <c r="D310" i="104"/>
  <c r="D311" i="104"/>
  <c r="D312" i="104"/>
  <c r="D313" i="104"/>
  <c r="D314" i="104"/>
  <c r="D315" i="104"/>
  <c r="D316" i="104"/>
  <c r="D317" i="104"/>
  <c r="D318" i="104"/>
  <c r="D319" i="104"/>
  <c r="D320" i="104"/>
  <c r="D321" i="104"/>
  <c r="D322" i="104"/>
  <c r="D323" i="104"/>
  <c r="D324" i="104"/>
  <c r="D325" i="104"/>
  <c r="D326" i="104"/>
  <c r="D327" i="104"/>
  <c r="D328" i="104"/>
  <c r="D329" i="104"/>
  <c r="D330" i="104"/>
  <c r="D331" i="104"/>
  <c r="D332" i="104"/>
  <c r="D333" i="104"/>
  <c r="D334" i="104"/>
  <c r="D335" i="104"/>
  <c r="D336" i="104"/>
  <c r="D337" i="104"/>
  <c r="D338" i="104"/>
  <c r="D339" i="104"/>
  <c r="D340" i="104"/>
  <c r="D341" i="104"/>
  <c r="D342" i="104"/>
  <c r="D343" i="104"/>
  <c r="D344" i="104"/>
  <c r="D345" i="104"/>
  <c r="D346" i="104"/>
  <c r="D347" i="104"/>
  <c r="D348" i="104"/>
  <c r="D349" i="104"/>
  <c r="D350" i="104"/>
  <c r="D351" i="104"/>
  <c r="D352" i="104"/>
  <c r="D353" i="104"/>
  <c r="D354" i="104"/>
  <c r="D355" i="104"/>
  <c r="D356" i="104"/>
  <c r="D357" i="104"/>
  <c r="D358" i="104"/>
  <c r="D359" i="104"/>
  <c r="D360" i="104"/>
  <c r="D361" i="104"/>
  <c r="D362" i="104"/>
  <c r="D363" i="104"/>
  <c r="D364" i="104"/>
  <c r="D365" i="104"/>
  <c r="D366" i="104"/>
  <c r="D367" i="104"/>
  <c r="D368" i="104"/>
  <c r="D369" i="104"/>
  <c r="D370" i="104"/>
  <c r="D371" i="104"/>
  <c r="D372" i="104"/>
  <c r="D373" i="104"/>
  <c r="D374" i="104"/>
  <c r="D375" i="104"/>
  <c r="D376" i="104"/>
  <c r="D377" i="104"/>
  <c r="D378" i="104"/>
  <c r="D379" i="104"/>
  <c r="D380" i="104"/>
  <c r="D381" i="104"/>
  <c r="D382" i="104"/>
  <c r="D383" i="104"/>
  <c r="D384" i="104"/>
  <c r="D385" i="104"/>
  <c r="D386" i="104"/>
  <c r="D387" i="104"/>
  <c r="D388" i="104"/>
  <c r="D389" i="104"/>
  <c r="D390" i="104"/>
  <c r="D391" i="104"/>
  <c r="D392" i="104"/>
  <c r="D393" i="104"/>
  <c r="D394" i="104"/>
  <c r="D395" i="104"/>
  <c r="D396" i="104"/>
  <c r="D397" i="104"/>
  <c r="D398" i="104"/>
  <c r="D399" i="104"/>
  <c r="D400" i="104"/>
  <c r="D401" i="104"/>
  <c r="D402" i="104"/>
  <c r="D403" i="104"/>
  <c r="D404" i="104"/>
  <c r="D405" i="104"/>
  <c r="D406" i="104"/>
  <c r="D407" i="104"/>
  <c r="D408" i="104"/>
  <c r="D4" i="104"/>
  <c r="Z30" i="118"/>
  <c r="Y30" i="118"/>
  <c r="X30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C30" i="118"/>
  <c r="V26" i="118"/>
  <c r="U26" i="118"/>
  <c r="T26" i="118"/>
  <c r="S26" i="118"/>
  <c r="R26" i="118"/>
  <c r="Q26" i="118"/>
  <c r="P26" i="118"/>
  <c r="O26" i="118"/>
  <c r="N26" i="118"/>
  <c r="M26" i="118"/>
  <c r="L26" i="118"/>
  <c r="J26" i="118"/>
  <c r="I26" i="118"/>
  <c r="H26" i="118"/>
  <c r="G26" i="118"/>
  <c r="F26" i="118"/>
  <c r="E26" i="118"/>
  <c r="D26" i="118"/>
  <c r="C26" i="118"/>
  <c r="AE23" i="118"/>
  <c r="AF22" i="118"/>
  <c r="AE22" i="118"/>
  <c r="AF21" i="118" a="1"/>
  <c r="AE21" i="118" a="1"/>
  <c r="AF20" i="118" a="1"/>
  <c r="AE20" i="118" a="1"/>
  <c r="AF10" i="118"/>
  <c r="AE10" i="118"/>
  <c r="AF3" i="118"/>
  <c r="AE3" i="118"/>
  <c r="AE26" i="118" l="1"/>
  <c r="P4" i="117"/>
  <c r="AP199" i="104"/>
  <c r="AR199" i="104" s="1"/>
  <c r="T395" i="107"/>
  <c r="T394" i="107"/>
  <c r="T393" i="107"/>
  <c r="T392" i="107"/>
  <c r="AK391" i="107"/>
  <c r="AP391" i="107"/>
  <c r="W391" i="107"/>
  <c r="T391" i="107"/>
  <c r="D391" i="107"/>
  <c r="AG391" i="107"/>
  <c r="AM391" i="107" l="1"/>
  <c r="AQ391" i="107"/>
  <c r="AI391" i="107"/>
  <c r="AN391" i="107" l="1"/>
  <c r="AR391" i="107"/>
  <c r="AS391" i="107" s="1"/>
  <c r="AG217" i="107" l="1"/>
  <c r="AK217" i="107"/>
  <c r="AL217" i="107"/>
  <c r="AP217" i="107"/>
  <c r="V219" i="104"/>
  <c r="X219" i="104" s="1"/>
  <c r="AK385" i="107"/>
  <c r="AL385" i="107"/>
  <c r="AP385" i="107"/>
  <c r="AG385" i="107"/>
  <c r="AI385" i="107" s="1"/>
  <c r="W385" i="107"/>
  <c r="AG514" i="107"/>
  <c r="AI514" i="107" s="1"/>
  <c r="AK514" i="107"/>
  <c r="AG515" i="107"/>
  <c r="AI515" i="107" s="1"/>
  <c r="AK515" i="107"/>
  <c r="T515" i="107"/>
  <c r="T514" i="107"/>
  <c r="D514" i="107"/>
  <c r="D515" i="107"/>
  <c r="AP184" i="104"/>
  <c r="AR184" i="104" s="1"/>
  <c r="AP185" i="104"/>
  <c r="AR185" i="104" s="1"/>
  <c r="AP186" i="104"/>
  <c r="AR186" i="104" s="1"/>
  <c r="AP187" i="104"/>
  <c r="AR187" i="104" s="1"/>
  <c r="AP188" i="104"/>
  <c r="AR188" i="104" s="1"/>
  <c r="AP189" i="104"/>
  <c r="AR189" i="104" s="1"/>
  <c r="AP190" i="104"/>
  <c r="AR190" i="104" s="1"/>
  <c r="AP191" i="104"/>
  <c r="AR191" i="104" s="1"/>
  <c r="AP192" i="104"/>
  <c r="AR192" i="104" s="1"/>
  <c r="AP193" i="104"/>
  <c r="AR193" i="104" s="1"/>
  <c r="AP194" i="104"/>
  <c r="AR194" i="104" s="1"/>
  <c r="AP195" i="104"/>
  <c r="AR195" i="104" s="1"/>
  <c r="AP196" i="104"/>
  <c r="AR196" i="104" s="1"/>
  <c r="AP197" i="104"/>
  <c r="AR197" i="104" s="1"/>
  <c r="AP198" i="104"/>
  <c r="AR198" i="104" s="1"/>
  <c r="V218" i="104"/>
  <c r="X218" i="104" s="1"/>
  <c r="V216" i="104"/>
  <c r="X216" i="104" s="1"/>
  <c r="V217" i="104"/>
  <c r="X217" i="104" s="1"/>
  <c r="J407" i="104"/>
  <c r="L407" i="104" s="1"/>
  <c r="J408" i="104"/>
  <c r="L408" i="104" s="1"/>
  <c r="AG395" i="107"/>
  <c r="Y216" i="104" l="1"/>
  <c r="AM217" i="107"/>
  <c r="Y217" i="104"/>
  <c r="AM385" i="107"/>
  <c r="AI217" i="107"/>
  <c r="Y219" i="104" s="1"/>
  <c r="Y218" i="104"/>
  <c r="AN385" i="107" l="1"/>
  <c r="AN217" i="107"/>
  <c r="E8" i="117"/>
  <c r="B3" i="117" a="1"/>
  <c r="C6" i="117" s="1"/>
  <c r="O244" i="4"/>
  <c r="C5" i="117" l="1"/>
  <c r="C7" i="117"/>
  <c r="C4" i="117"/>
  <c r="AP169" i="104"/>
  <c r="AP170" i="104"/>
  <c r="AP171" i="104"/>
  <c r="AR171" i="104" s="1"/>
  <c r="AP172" i="104"/>
  <c r="AR172" i="104" s="1"/>
  <c r="AP173" i="104"/>
  <c r="AR173" i="104" s="1"/>
  <c r="AP174" i="104"/>
  <c r="AR174" i="104" s="1"/>
  <c r="AP175" i="104"/>
  <c r="AR175" i="104" s="1"/>
  <c r="AP176" i="104"/>
  <c r="AR176" i="104" s="1"/>
  <c r="AP177" i="104"/>
  <c r="AR177" i="104" s="1"/>
  <c r="AP178" i="104"/>
  <c r="AR178" i="104" s="1"/>
  <c r="AP179" i="104"/>
  <c r="AR179" i="104" s="1"/>
  <c r="AP180" i="104"/>
  <c r="AR180" i="104" s="1"/>
  <c r="AP181" i="104"/>
  <c r="AR181" i="104" s="1"/>
  <c r="AP182" i="104"/>
  <c r="AR182" i="104" s="1"/>
  <c r="AP183" i="104"/>
  <c r="AR183" i="104" s="1"/>
  <c r="T387" i="107"/>
  <c r="AQ387" i="107" s="1"/>
  <c r="AR387" i="107" s="1"/>
  <c r="AS387" i="107" s="1"/>
  <c r="T388" i="107"/>
  <c r="AQ388" i="107" s="1"/>
  <c r="AR388" i="107" s="1"/>
  <c r="AS388" i="107" s="1"/>
  <c r="T386" i="107"/>
  <c r="AQ386" i="107" s="1"/>
  <c r="AR386" i="107" s="1"/>
  <c r="AS386" i="107" s="1"/>
  <c r="T385" i="107"/>
  <c r="D385" i="107"/>
  <c r="D386" i="107"/>
  <c r="D387" i="107"/>
  <c r="D388" i="107"/>
  <c r="J403" i="104"/>
  <c r="L403" i="104" s="1"/>
  <c r="J404" i="104"/>
  <c r="L404" i="104" s="1"/>
  <c r="J405" i="104"/>
  <c r="L405" i="104" s="1"/>
  <c r="J406" i="104"/>
  <c r="L406" i="104" s="1"/>
  <c r="V215" i="104"/>
  <c r="X215" i="104" s="1"/>
  <c r="V214" i="104"/>
  <c r="X214" i="104" s="1"/>
  <c r="AP395" i="107"/>
  <c r="AL395" i="107"/>
  <c r="AK395" i="107"/>
  <c r="AI395" i="107"/>
  <c r="W395" i="107"/>
  <c r="D395" i="107"/>
  <c r="AK506" i="107"/>
  <c r="AK507" i="107"/>
  <c r="AK508" i="107"/>
  <c r="AK509" i="107"/>
  <c r="AK510" i="107"/>
  <c r="AK511" i="107"/>
  <c r="AK512" i="107"/>
  <c r="AK513" i="107"/>
  <c r="AG506" i="107"/>
  <c r="AI506" i="107" s="1"/>
  <c r="AG507" i="107"/>
  <c r="AI507" i="107" s="1"/>
  <c r="AG508" i="107"/>
  <c r="AI508" i="107" s="1"/>
  <c r="AG509" i="107"/>
  <c r="AI509" i="107" s="1"/>
  <c r="AG510" i="107"/>
  <c r="AI510" i="107" s="1"/>
  <c r="AG511" i="107"/>
  <c r="AI511" i="107" s="1"/>
  <c r="AG512" i="107"/>
  <c r="AI512" i="107" s="1"/>
  <c r="AG513" i="107"/>
  <c r="AI513" i="107" s="1"/>
  <c r="AA2" i="80"/>
  <c r="Z2" i="80"/>
  <c r="P27" i="5"/>
  <c r="P26" i="5"/>
  <c r="P25" i="5"/>
  <c r="AL165" i="107"/>
  <c r="AL153" i="107"/>
  <c r="AL42" i="107"/>
  <c r="AL394" i="107"/>
  <c r="AL393" i="107"/>
  <c r="AL392" i="107"/>
  <c r="AL384" i="107"/>
  <c r="AL383" i="107"/>
  <c r="AL213" i="107"/>
  <c r="AP213" i="107"/>
  <c r="AL214" i="107"/>
  <c r="AP214" i="107"/>
  <c r="AL215" i="107"/>
  <c r="AP215" i="107"/>
  <c r="AL216" i="107"/>
  <c r="AP216" i="107"/>
  <c r="D393" i="107"/>
  <c r="AK392" i="107"/>
  <c r="AP392" i="107"/>
  <c r="AK393" i="107"/>
  <c r="AP393" i="107"/>
  <c r="AK394" i="107"/>
  <c r="AP394" i="107"/>
  <c r="C8" i="117" l="1"/>
  <c r="AQ385" i="107"/>
  <c r="AR385" i="107" s="1"/>
  <c r="Y215" i="104"/>
  <c r="AM395" i="107"/>
  <c r="AQ395" i="107"/>
  <c r="Y214" i="104"/>
  <c r="AQ393" i="107"/>
  <c r="AQ394" i="107"/>
  <c r="AN395" i="107" l="1"/>
  <c r="AR395" i="107"/>
  <c r="AS395" i="107" s="1"/>
  <c r="AS385" i="107"/>
  <c r="AR169" i="104" l="1"/>
  <c r="AR170" i="104"/>
  <c r="AQ2" i="104"/>
  <c r="AP158" i="104"/>
  <c r="AR158" i="104" s="1"/>
  <c r="AP159" i="104"/>
  <c r="AR159" i="104" s="1"/>
  <c r="AP160" i="104"/>
  <c r="AR160" i="104" s="1"/>
  <c r="AP161" i="104"/>
  <c r="AR161" i="104" s="1"/>
  <c r="AP162" i="104"/>
  <c r="AR162" i="104" s="1"/>
  <c r="AP163" i="104"/>
  <c r="AR163" i="104" s="1"/>
  <c r="AP164" i="104"/>
  <c r="AR164" i="104" s="1"/>
  <c r="AP165" i="104"/>
  <c r="AR165" i="104" s="1"/>
  <c r="AP166" i="104"/>
  <c r="AR166" i="104" s="1"/>
  <c r="AP167" i="104"/>
  <c r="AR167" i="104" s="1"/>
  <c r="AP168" i="104"/>
  <c r="AR168" i="104" s="1"/>
  <c r="T513" i="107"/>
  <c r="D513" i="107"/>
  <c r="V208" i="104"/>
  <c r="X208" i="104" s="1"/>
  <c r="V209" i="104"/>
  <c r="X209" i="104" s="1"/>
  <c r="V210" i="104"/>
  <c r="X210" i="104" s="1"/>
  <c r="V211" i="104"/>
  <c r="X211" i="104" s="1"/>
  <c r="V212" i="104"/>
  <c r="X212" i="104" s="1"/>
  <c r="V213" i="104"/>
  <c r="X213" i="104" s="1"/>
  <c r="V207" i="104"/>
  <c r="X207" i="104" s="1"/>
  <c r="V206" i="104"/>
  <c r="X206" i="104" s="1"/>
  <c r="AK383" i="107"/>
  <c r="AP383" i="107"/>
  <c r="AK384" i="107"/>
  <c r="AP384" i="107"/>
  <c r="AG383" i="107"/>
  <c r="AI383" i="107" s="1"/>
  <c r="W383" i="107"/>
  <c r="W384" i="107"/>
  <c r="T383" i="107"/>
  <c r="D383" i="107"/>
  <c r="AG213" i="107"/>
  <c r="AG214" i="107"/>
  <c r="AM214" i="107" s="1"/>
  <c r="AG215" i="107"/>
  <c r="AG216" i="107"/>
  <c r="AM216" i="107" s="1"/>
  <c r="D394" i="107"/>
  <c r="AG384" i="107"/>
  <c r="AI384" i="107" s="1"/>
  <c r="AG392" i="107"/>
  <c r="AG393" i="107"/>
  <c r="AG394" i="107"/>
  <c r="W394" i="107"/>
  <c r="W392" i="107"/>
  <c r="W393" i="107"/>
  <c r="J402" i="104"/>
  <c r="L402" i="104" s="1"/>
  <c r="AN214" i="107" l="1"/>
  <c r="AN216" i="107"/>
  <c r="Y206" i="104"/>
  <c r="AM215" i="107"/>
  <c r="AM213" i="107"/>
  <c r="AM384" i="107"/>
  <c r="AM394" i="107"/>
  <c r="AI394" i="107"/>
  <c r="AM393" i="107"/>
  <c r="AI393" i="107"/>
  <c r="Y210" i="104" s="1"/>
  <c r="AM392" i="107"/>
  <c r="AI392" i="107"/>
  <c r="Y208" i="104" s="1"/>
  <c r="Y207" i="104"/>
  <c r="AQ383" i="107"/>
  <c r="AM383" i="107"/>
  <c r="AN394" i="107" l="1"/>
  <c r="AR394" i="107"/>
  <c r="AS394" i="107" s="1"/>
  <c r="AN383" i="107"/>
  <c r="AR383" i="107"/>
  <c r="AS383" i="107" s="1"/>
  <c r="AN384" i="107"/>
  <c r="AN215" i="107"/>
  <c r="AN392" i="107"/>
  <c r="AN213" i="107"/>
  <c r="AN393" i="107"/>
  <c r="AR393" i="107"/>
  <c r="AS393" i="107" s="1"/>
  <c r="W212" i="107" l="1"/>
  <c r="AP148" i="104" l="1"/>
  <c r="AR148" i="104" s="1"/>
  <c r="P15" i="117" s="1"/>
  <c r="AP149" i="104"/>
  <c r="AR149" i="104" s="1"/>
  <c r="AP150" i="104"/>
  <c r="AR150" i="104" s="1"/>
  <c r="AP151" i="104"/>
  <c r="AR151" i="104" s="1"/>
  <c r="AP152" i="104"/>
  <c r="AR152" i="104" s="1"/>
  <c r="AP153" i="104"/>
  <c r="AR153" i="104" s="1"/>
  <c r="AP154" i="104"/>
  <c r="AR154" i="104" s="1"/>
  <c r="AP155" i="104"/>
  <c r="AR155" i="104" s="1"/>
  <c r="AP156" i="104"/>
  <c r="AR156" i="104" s="1"/>
  <c r="AP157" i="104"/>
  <c r="AR157" i="104" s="1"/>
  <c r="D34" i="80"/>
  <c r="AL212" i="107" l="1"/>
  <c r="AP212" i="107"/>
  <c r="AG212" i="107"/>
  <c r="V205" i="104"/>
  <c r="AM212" i="107" l="1"/>
  <c r="X205" i="104"/>
  <c r="D392" i="107"/>
  <c r="J401" i="104"/>
  <c r="L401" i="104" s="1"/>
  <c r="AN212" i="107" l="1"/>
  <c r="AQ392" i="107"/>
  <c r="AR392" i="107" s="1"/>
  <c r="AS392" i="107" l="1"/>
  <c r="E3" i="116"/>
  <c r="F3" i="116"/>
  <c r="G3" i="116"/>
  <c r="H3" i="116"/>
  <c r="I3" i="116"/>
  <c r="J3" i="116"/>
  <c r="K3" i="116"/>
  <c r="L3" i="116"/>
  <c r="M3" i="116"/>
  <c r="N3" i="116"/>
  <c r="AP390" i="107"/>
  <c r="AL206" i="107"/>
  <c r="AP206" i="107"/>
  <c r="AL207" i="107"/>
  <c r="AP207" i="107"/>
  <c r="AL208" i="107"/>
  <c r="AP208" i="107"/>
  <c r="AL209" i="107"/>
  <c r="AP209" i="107"/>
  <c r="AL210" i="107"/>
  <c r="AP210" i="107"/>
  <c r="AL211" i="107"/>
  <c r="AP211" i="107"/>
  <c r="V188" i="104"/>
  <c r="X188" i="104" s="1"/>
  <c r="BV255" i="4"/>
  <c r="BM255" i="4"/>
  <c r="BL255" i="4"/>
  <c r="BG255" i="4"/>
  <c r="BC255" i="4"/>
  <c r="BA255" i="4"/>
  <c r="AW255" i="4"/>
  <c r="AK255" i="4"/>
  <c r="AL255" i="4"/>
  <c r="AJ255" i="4"/>
  <c r="AE255" i="4"/>
  <c r="AA255" i="4"/>
  <c r="Z255" i="4"/>
  <c r="Y255" i="4"/>
  <c r="R255" i="4"/>
  <c r="O255" i="4"/>
  <c r="T510" i="107"/>
  <c r="T511" i="107"/>
  <c r="T512" i="107"/>
  <c r="D510" i="107"/>
  <c r="D511" i="107"/>
  <c r="D512" i="107"/>
  <c r="V204" i="104"/>
  <c r="X204" i="104" s="1"/>
  <c r="AG206" i="107"/>
  <c r="AG207" i="107"/>
  <c r="AG208" i="107"/>
  <c r="AG209" i="107"/>
  <c r="AG210" i="107"/>
  <c r="AG211" i="107"/>
  <c r="AG390" i="107"/>
  <c r="AP143" i="104"/>
  <c r="AR143" i="104" s="1"/>
  <c r="AP144" i="104"/>
  <c r="AR144" i="104" s="1"/>
  <c r="AP145" i="104"/>
  <c r="AR145" i="104" s="1"/>
  <c r="AP146" i="104"/>
  <c r="AR146" i="104" s="1"/>
  <c r="AP147" i="104"/>
  <c r="AR147" i="104" s="1"/>
  <c r="C34" i="80"/>
  <c r="O268" i="4" s="1"/>
  <c r="V191" i="104"/>
  <c r="X191" i="104" s="1"/>
  <c r="V192" i="104"/>
  <c r="X192" i="104" s="1"/>
  <c r="V193" i="104"/>
  <c r="X193" i="104" s="1"/>
  <c r="V194" i="104"/>
  <c r="X194" i="104" s="1"/>
  <c r="V195" i="104"/>
  <c r="X195" i="104" s="1"/>
  <c r="V196" i="104"/>
  <c r="X196" i="104" s="1"/>
  <c r="V197" i="104"/>
  <c r="X197" i="104" s="1"/>
  <c r="V198" i="104"/>
  <c r="X198" i="104" s="1"/>
  <c r="V199" i="104"/>
  <c r="X199" i="104" s="1"/>
  <c r="V200" i="104"/>
  <c r="X200" i="104" s="1"/>
  <c r="V201" i="104"/>
  <c r="X201" i="104" s="1"/>
  <c r="V202" i="104"/>
  <c r="X202" i="104" s="1"/>
  <c r="V203" i="104"/>
  <c r="X203" i="104" s="1"/>
  <c r="J398" i="104"/>
  <c r="L398" i="104" s="1"/>
  <c r="J399" i="104"/>
  <c r="L399" i="104" s="1"/>
  <c r="J400" i="104"/>
  <c r="L400" i="104" s="1"/>
  <c r="AP142" i="104"/>
  <c r="AR142" i="104" s="1"/>
  <c r="AL199" i="107"/>
  <c r="AP199" i="107"/>
  <c r="AL200" i="107"/>
  <c r="AP200" i="107"/>
  <c r="AL201" i="107"/>
  <c r="AP201" i="107"/>
  <c r="AL202" i="107"/>
  <c r="AP202" i="107"/>
  <c r="AL203" i="107"/>
  <c r="AP203" i="107"/>
  <c r="AL204" i="107"/>
  <c r="AP204" i="107"/>
  <c r="AL205" i="107"/>
  <c r="AP205" i="107"/>
  <c r="AG199" i="107"/>
  <c r="AG200" i="107"/>
  <c r="AG201" i="107"/>
  <c r="AG202" i="107"/>
  <c r="AG203" i="107"/>
  <c r="AG204" i="107"/>
  <c r="AG205" i="107"/>
  <c r="C30" i="80"/>
  <c r="O3" i="116" l="1"/>
  <c r="AM207" i="107"/>
  <c r="O14" i="116"/>
  <c r="O22" i="116"/>
  <c r="AM211" i="107"/>
  <c r="AM199" i="107"/>
  <c r="AM209" i="107"/>
  <c r="AM208" i="107"/>
  <c r="AM210" i="107"/>
  <c r="AM206" i="107"/>
  <c r="AM202" i="107"/>
  <c r="AM205" i="107"/>
  <c r="AM203" i="107"/>
  <c r="AM200" i="107"/>
  <c r="AM201" i="107"/>
  <c r="AM204" i="107"/>
  <c r="AN204" i="107" l="1"/>
  <c r="AN207" i="107"/>
  <c r="AN201" i="107"/>
  <c r="AN200" i="107"/>
  <c r="AN203" i="107"/>
  <c r="AN206" i="107"/>
  <c r="AN205" i="107"/>
  <c r="AN210" i="107"/>
  <c r="AN202" i="107"/>
  <c r="AN208" i="107"/>
  <c r="AN209" i="107"/>
  <c r="AN199" i="107"/>
  <c r="AN211" i="107"/>
  <c r="I626" i="114"/>
  <c r="I627" i="114"/>
  <c r="I628" i="114"/>
  <c r="I629" i="114"/>
  <c r="I630" i="114"/>
  <c r="W26" i="118" s="1"/>
  <c r="I631" i="114"/>
  <c r="I632" i="114"/>
  <c r="I621" i="114"/>
  <c r="T509" i="107" l="1"/>
  <c r="D509" i="107"/>
  <c r="AP141" i="104"/>
  <c r="AR141" i="104" s="1"/>
  <c r="J397" i="104"/>
  <c r="L397" i="104" s="1"/>
  <c r="AP198" i="107"/>
  <c r="AG198" i="107"/>
  <c r="V190" i="104"/>
  <c r="X190" i="104" s="1"/>
  <c r="AP135" i="104"/>
  <c r="AR135" i="104" s="1"/>
  <c r="P14" i="117" s="1"/>
  <c r="AP136" i="104"/>
  <c r="AR136" i="104" s="1"/>
  <c r="AP137" i="104"/>
  <c r="AR137" i="104" s="1"/>
  <c r="AP138" i="104"/>
  <c r="AR138" i="104" s="1"/>
  <c r="AP139" i="104"/>
  <c r="AR139" i="104" s="1"/>
  <c r="AP140" i="104"/>
  <c r="AR140" i="104" s="1"/>
  <c r="H2" i="104"/>
  <c r="V189" i="104"/>
  <c r="X189" i="104" s="1"/>
  <c r="AP197" i="107"/>
  <c r="AG197" i="107"/>
  <c r="AG382" i="107"/>
  <c r="AG381" i="107"/>
  <c r="AG389" i="107"/>
  <c r="AG196" i="107"/>
  <c r="AG6" i="107"/>
  <c r="AG7" i="107"/>
  <c r="AG8" i="107"/>
  <c r="AG9" i="107"/>
  <c r="AG10" i="107"/>
  <c r="AG11" i="107"/>
  <c r="AG12" i="107"/>
  <c r="AG13" i="107"/>
  <c r="AG14" i="107"/>
  <c r="AG15" i="107"/>
  <c r="AG16" i="107"/>
  <c r="AG17" i="107"/>
  <c r="AG18" i="107"/>
  <c r="AG19" i="107"/>
  <c r="AG20" i="107"/>
  <c r="AG21" i="107"/>
  <c r="AG22" i="107"/>
  <c r="AG23" i="107"/>
  <c r="AG24" i="107"/>
  <c r="AG25" i="107"/>
  <c r="AG26" i="107"/>
  <c r="AG27" i="107"/>
  <c r="AG28" i="107"/>
  <c r="AG29" i="107"/>
  <c r="AG30" i="107"/>
  <c r="AG31" i="107"/>
  <c r="AG32" i="107"/>
  <c r="AG33" i="107"/>
  <c r="AG34" i="107"/>
  <c r="AG35" i="107"/>
  <c r="AG36" i="107"/>
  <c r="AG37" i="107"/>
  <c r="AG38" i="107"/>
  <c r="AG39" i="107"/>
  <c r="AG40" i="107"/>
  <c r="AG41" i="107"/>
  <c r="AG42" i="107"/>
  <c r="AG43" i="107"/>
  <c r="AG44" i="107"/>
  <c r="AG45" i="107"/>
  <c r="AG46" i="107"/>
  <c r="AG47" i="107"/>
  <c r="AG48" i="107"/>
  <c r="AG49" i="107"/>
  <c r="AG50" i="107"/>
  <c r="AG51" i="107"/>
  <c r="AG52" i="107"/>
  <c r="AG53" i="107"/>
  <c r="AG54" i="107"/>
  <c r="AG55" i="107"/>
  <c r="AG56" i="107"/>
  <c r="AG57" i="107"/>
  <c r="AG58" i="107"/>
  <c r="AG59" i="107"/>
  <c r="AG60" i="107"/>
  <c r="AG61" i="107"/>
  <c r="AG62" i="107"/>
  <c r="AG63" i="107"/>
  <c r="AG64" i="107"/>
  <c r="AG65" i="107"/>
  <c r="AG66" i="107"/>
  <c r="AG67" i="107"/>
  <c r="AG68" i="107"/>
  <c r="AG69" i="107"/>
  <c r="AG70" i="107"/>
  <c r="AG71" i="107"/>
  <c r="AG72" i="107"/>
  <c r="AG73" i="107"/>
  <c r="AG74" i="107"/>
  <c r="AG75" i="107"/>
  <c r="AG76" i="107"/>
  <c r="AG77" i="107"/>
  <c r="AG78" i="107"/>
  <c r="AG79" i="107"/>
  <c r="AG80" i="107"/>
  <c r="AG81" i="107"/>
  <c r="AG82" i="107"/>
  <c r="AG83" i="107"/>
  <c r="AG84" i="107"/>
  <c r="AG85" i="107"/>
  <c r="AG86" i="107"/>
  <c r="AG87" i="107"/>
  <c r="AG88" i="107"/>
  <c r="AG89" i="107"/>
  <c r="AG90" i="107"/>
  <c r="AG91" i="107"/>
  <c r="AG92" i="107"/>
  <c r="AG93" i="107"/>
  <c r="AG94" i="107"/>
  <c r="AG95" i="107"/>
  <c r="AG96" i="107"/>
  <c r="AG97" i="107"/>
  <c r="AG98" i="107"/>
  <c r="AG99" i="107"/>
  <c r="AG100" i="107"/>
  <c r="AG101" i="107"/>
  <c r="AG102" i="107"/>
  <c r="AG103" i="107"/>
  <c r="AG104" i="107"/>
  <c r="AG105" i="107"/>
  <c r="AG106" i="107"/>
  <c r="AG107" i="107"/>
  <c r="AG108" i="107"/>
  <c r="AG109" i="107"/>
  <c r="AG110" i="107"/>
  <c r="AG111" i="107"/>
  <c r="AG112" i="107"/>
  <c r="AG113" i="107"/>
  <c r="AG114" i="107"/>
  <c r="AG115" i="107"/>
  <c r="AG116" i="107"/>
  <c r="AG117" i="107"/>
  <c r="AG118" i="107"/>
  <c r="AG119" i="107"/>
  <c r="AG120" i="107"/>
  <c r="AG121" i="107"/>
  <c r="AG122" i="107"/>
  <c r="AG123" i="107"/>
  <c r="AG124" i="107"/>
  <c r="AG125" i="107"/>
  <c r="AG126" i="107"/>
  <c r="AG127" i="107"/>
  <c r="AG128" i="107"/>
  <c r="AG129" i="107"/>
  <c r="AG130" i="107"/>
  <c r="AG131" i="107"/>
  <c r="AG132" i="107"/>
  <c r="AG133" i="107"/>
  <c r="AG134" i="107"/>
  <c r="AG135" i="107"/>
  <c r="AG136" i="107"/>
  <c r="AG137" i="107"/>
  <c r="AG138" i="107"/>
  <c r="AG139" i="107"/>
  <c r="AG140" i="107"/>
  <c r="AG141" i="107"/>
  <c r="AG142" i="107"/>
  <c r="AG143" i="107"/>
  <c r="AG144" i="107"/>
  <c r="AG145" i="107"/>
  <c r="AG146" i="107"/>
  <c r="AG147" i="107"/>
  <c r="AG148" i="107"/>
  <c r="AG149" i="107"/>
  <c r="AG150" i="107"/>
  <c r="AG151" i="107"/>
  <c r="AG152" i="107"/>
  <c r="AG153" i="107"/>
  <c r="AG154" i="107"/>
  <c r="AG155" i="107"/>
  <c r="AG156" i="107"/>
  <c r="AG157" i="107"/>
  <c r="AG158" i="107"/>
  <c r="AG159" i="107"/>
  <c r="AG160" i="107"/>
  <c r="AG161" i="107"/>
  <c r="AG162" i="107"/>
  <c r="AG163" i="107"/>
  <c r="AG164" i="107"/>
  <c r="AG165" i="107"/>
  <c r="AG166" i="107"/>
  <c r="AG167" i="107"/>
  <c r="AG168" i="107"/>
  <c r="AG169" i="107"/>
  <c r="AG170" i="107"/>
  <c r="AG171" i="107"/>
  <c r="AG172" i="107"/>
  <c r="AG173" i="107"/>
  <c r="AG174" i="107"/>
  <c r="AG175" i="107"/>
  <c r="AG176" i="107"/>
  <c r="AG177" i="107"/>
  <c r="AG178" i="107"/>
  <c r="AG179" i="107"/>
  <c r="AG180" i="107"/>
  <c r="AG181" i="107"/>
  <c r="AG182" i="107"/>
  <c r="AG183" i="107"/>
  <c r="AG184" i="107"/>
  <c r="AG185" i="107"/>
  <c r="AG186" i="107"/>
  <c r="AG187" i="107"/>
  <c r="AG188" i="107"/>
  <c r="AG189" i="107"/>
  <c r="AG190" i="107"/>
  <c r="AG191" i="107"/>
  <c r="AG192" i="107"/>
  <c r="AG193" i="107"/>
  <c r="AG194" i="107"/>
  <c r="AG195" i="107"/>
  <c r="AG5" i="107"/>
  <c r="AM5" i="107" l="1"/>
  <c r="AG3" i="107"/>
  <c r="O15" i="117"/>
  <c r="AI5" i="107"/>
  <c r="AG422" i="107"/>
  <c r="W6" i="107" l="1"/>
  <c r="W7" i="107"/>
  <c r="W8" i="107"/>
  <c r="W9" i="107"/>
  <c r="W10" i="107"/>
  <c r="W11" i="107"/>
  <c r="W12" i="107"/>
  <c r="W13" i="107"/>
  <c r="W14" i="107"/>
  <c r="W15" i="107"/>
  <c r="W16" i="107"/>
  <c r="W17" i="107"/>
  <c r="W18" i="107"/>
  <c r="W19" i="107"/>
  <c r="W20" i="107"/>
  <c r="W21" i="107"/>
  <c r="W22" i="107"/>
  <c r="W23" i="107"/>
  <c r="W24" i="107"/>
  <c r="W25" i="107"/>
  <c r="W26" i="107"/>
  <c r="W27" i="107"/>
  <c r="W28" i="107"/>
  <c r="W29" i="107"/>
  <c r="W30" i="107"/>
  <c r="W31" i="107"/>
  <c r="W32" i="107"/>
  <c r="W33" i="107"/>
  <c r="W34" i="107"/>
  <c r="W35" i="107"/>
  <c r="W36" i="107"/>
  <c r="W37" i="107"/>
  <c r="W38" i="107"/>
  <c r="W39" i="107"/>
  <c r="W40" i="107"/>
  <c r="W41" i="107"/>
  <c r="W42" i="107"/>
  <c r="W43" i="107"/>
  <c r="W44" i="107"/>
  <c r="W45" i="107"/>
  <c r="W46" i="107"/>
  <c r="W47" i="107"/>
  <c r="W48" i="107"/>
  <c r="W49" i="107"/>
  <c r="W50" i="107"/>
  <c r="W51" i="107"/>
  <c r="W52" i="107"/>
  <c r="W53" i="107"/>
  <c r="W54" i="107"/>
  <c r="W55" i="107"/>
  <c r="W56" i="107"/>
  <c r="W57" i="107"/>
  <c r="W58" i="107"/>
  <c r="W59" i="107"/>
  <c r="W60" i="107"/>
  <c r="W61" i="107"/>
  <c r="W62" i="107"/>
  <c r="W63" i="107"/>
  <c r="W64" i="107"/>
  <c r="W65" i="107"/>
  <c r="W66" i="107"/>
  <c r="W67" i="107"/>
  <c r="W68" i="107"/>
  <c r="W69" i="107"/>
  <c r="W70" i="107"/>
  <c r="W71" i="107"/>
  <c r="W72" i="107"/>
  <c r="W73" i="107"/>
  <c r="W74" i="107"/>
  <c r="W75" i="107"/>
  <c r="W76" i="107"/>
  <c r="W77" i="107"/>
  <c r="W78" i="107"/>
  <c r="W79" i="107"/>
  <c r="W80" i="107"/>
  <c r="W81" i="107"/>
  <c r="W82" i="107"/>
  <c r="W83" i="107"/>
  <c r="W84" i="107"/>
  <c r="W85" i="107"/>
  <c r="W86" i="107"/>
  <c r="W87" i="107"/>
  <c r="W88" i="107"/>
  <c r="W89" i="107"/>
  <c r="W90" i="107"/>
  <c r="W91" i="107"/>
  <c r="W92" i="107"/>
  <c r="W93" i="107"/>
  <c r="W94" i="107"/>
  <c r="W95" i="107"/>
  <c r="W96" i="107"/>
  <c r="W97" i="107"/>
  <c r="W98" i="107"/>
  <c r="W99" i="107"/>
  <c r="W100" i="107"/>
  <c r="W101" i="107"/>
  <c r="W102" i="107"/>
  <c r="W103" i="107"/>
  <c r="W104" i="107"/>
  <c r="W105" i="107"/>
  <c r="W106" i="107"/>
  <c r="W107" i="107"/>
  <c r="W108" i="107"/>
  <c r="W109" i="107"/>
  <c r="W110" i="107"/>
  <c r="W111" i="107"/>
  <c r="W112" i="107"/>
  <c r="W113" i="107"/>
  <c r="W114" i="107"/>
  <c r="W115" i="107"/>
  <c r="W116" i="107"/>
  <c r="W117" i="107"/>
  <c r="W118" i="107"/>
  <c r="W119" i="107"/>
  <c r="W120" i="107"/>
  <c r="W121" i="107"/>
  <c r="W122" i="107"/>
  <c r="W123" i="107"/>
  <c r="W124" i="107"/>
  <c r="W125" i="107"/>
  <c r="W126" i="107"/>
  <c r="W127" i="107"/>
  <c r="W128" i="107"/>
  <c r="W129" i="107"/>
  <c r="W130" i="107"/>
  <c r="W131" i="107"/>
  <c r="W132" i="107"/>
  <c r="W133" i="107"/>
  <c r="W134" i="107"/>
  <c r="W135" i="107"/>
  <c r="W136" i="107"/>
  <c r="W137" i="107"/>
  <c r="W138" i="107"/>
  <c r="W139" i="107"/>
  <c r="W140" i="107"/>
  <c r="W141" i="107"/>
  <c r="W142" i="107"/>
  <c r="W143" i="107"/>
  <c r="W144" i="107"/>
  <c r="W145" i="107"/>
  <c r="W146" i="107"/>
  <c r="W147" i="107"/>
  <c r="W148" i="107"/>
  <c r="W149" i="107"/>
  <c r="W150" i="107"/>
  <c r="W151" i="107"/>
  <c r="W152" i="107"/>
  <c r="W153" i="107"/>
  <c r="W154" i="107"/>
  <c r="W155" i="107"/>
  <c r="W156" i="107"/>
  <c r="W157" i="107"/>
  <c r="W158" i="107"/>
  <c r="W159" i="107"/>
  <c r="W160" i="107"/>
  <c r="W161" i="107"/>
  <c r="W162" i="107"/>
  <c r="W163" i="107"/>
  <c r="W164" i="107"/>
  <c r="W165" i="107"/>
  <c r="W166" i="107"/>
  <c r="W167" i="107"/>
  <c r="W168" i="107"/>
  <c r="W169" i="107"/>
  <c r="W170" i="107"/>
  <c r="W171" i="107"/>
  <c r="W172" i="107"/>
  <c r="W173" i="107"/>
  <c r="W174" i="107"/>
  <c r="W175" i="107"/>
  <c r="W176" i="107"/>
  <c r="W177" i="107"/>
  <c r="W178" i="107"/>
  <c r="W179" i="107"/>
  <c r="W180" i="107"/>
  <c r="W181" i="107"/>
  <c r="W182" i="107"/>
  <c r="W183" i="107"/>
  <c r="W184" i="107"/>
  <c r="W185" i="107"/>
  <c r="W186" i="107"/>
  <c r="W187" i="107"/>
  <c r="W188" i="107"/>
  <c r="W189" i="107"/>
  <c r="W190" i="107"/>
  <c r="W191" i="107"/>
  <c r="W192" i="107"/>
  <c r="W193" i="107"/>
  <c r="W194" i="107"/>
  <c r="W195" i="107"/>
  <c r="W196" i="107"/>
  <c r="W197" i="107"/>
  <c r="W198" i="107"/>
  <c r="W199" i="107"/>
  <c r="W200" i="107"/>
  <c r="W201" i="107"/>
  <c r="W202" i="107"/>
  <c r="W203" i="107"/>
  <c r="W204" i="107"/>
  <c r="W205" i="107"/>
  <c r="W206" i="107"/>
  <c r="W207" i="107"/>
  <c r="W208" i="107"/>
  <c r="W209" i="107"/>
  <c r="W210" i="107"/>
  <c r="W211" i="107"/>
  <c r="W213" i="107"/>
  <c r="W214" i="107"/>
  <c r="W218" i="107"/>
  <c r="W215" i="107"/>
  <c r="W219" i="107"/>
  <c r="W220" i="107"/>
  <c r="W216" i="107"/>
  <c r="W217" i="107"/>
  <c r="W221" i="107"/>
  <c r="W222" i="107"/>
  <c r="W223" i="107"/>
  <c r="W224" i="107"/>
  <c r="W225" i="107"/>
  <c r="W226" i="107"/>
  <c r="W227" i="107"/>
  <c r="W228" i="107"/>
  <c r="W229" i="107"/>
  <c r="W230" i="107"/>
  <c r="W231" i="107"/>
  <c r="W232" i="107"/>
  <c r="W233" i="107"/>
  <c r="W234" i="107"/>
  <c r="W235" i="107"/>
  <c r="W236" i="107"/>
  <c r="W237" i="107"/>
  <c r="W238" i="107"/>
  <c r="W239" i="107"/>
  <c r="W240" i="107"/>
  <c r="W241" i="107"/>
  <c r="W242" i="107"/>
  <c r="W243" i="107"/>
  <c r="W244" i="107"/>
  <c r="W245" i="107"/>
  <c r="W246" i="107"/>
  <c r="W247" i="107"/>
  <c r="W248" i="107"/>
  <c r="W249" i="107"/>
  <c r="W250" i="107"/>
  <c r="W251" i="107"/>
  <c r="W252" i="107"/>
  <c r="W253" i="107"/>
  <c r="W254" i="107"/>
  <c r="W255" i="107"/>
  <c r="W256" i="107"/>
  <c r="W257" i="107"/>
  <c r="W258" i="107"/>
  <c r="W259" i="107"/>
  <c r="W260" i="107"/>
  <c r="W261" i="107"/>
  <c r="W262" i="107"/>
  <c r="W263" i="107"/>
  <c r="W264" i="107"/>
  <c r="W265" i="107"/>
  <c r="W266" i="107"/>
  <c r="W267" i="107"/>
  <c r="W268" i="107"/>
  <c r="W269" i="107"/>
  <c r="W270" i="107"/>
  <c r="W271" i="107"/>
  <c r="W272" i="107"/>
  <c r="W273" i="107"/>
  <c r="W274" i="107"/>
  <c r="W275" i="107"/>
  <c r="W276" i="107"/>
  <c r="W277" i="107"/>
  <c r="W278" i="107"/>
  <c r="W279" i="107"/>
  <c r="W280" i="107"/>
  <c r="W281" i="107"/>
  <c r="W282" i="107"/>
  <c r="W283" i="107"/>
  <c r="W284" i="107"/>
  <c r="W285" i="107"/>
  <c r="W286" i="107"/>
  <c r="W287" i="107"/>
  <c r="W288" i="107"/>
  <c r="W289" i="107"/>
  <c r="W290" i="107"/>
  <c r="W291" i="107"/>
  <c r="W292" i="107"/>
  <c r="W293" i="107"/>
  <c r="W294" i="107"/>
  <c r="W295" i="107"/>
  <c r="W296" i="107"/>
  <c r="W297" i="107"/>
  <c r="W298" i="107"/>
  <c r="W299" i="107"/>
  <c r="W300" i="107"/>
  <c r="W301" i="107"/>
  <c r="W302" i="107"/>
  <c r="W303" i="107"/>
  <c r="W304" i="107"/>
  <c r="W305" i="107"/>
  <c r="W306" i="107"/>
  <c r="W307" i="107"/>
  <c r="W308" i="107"/>
  <c r="W309" i="107"/>
  <c r="W310" i="107"/>
  <c r="W311" i="107"/>
  <c r="W312" i="107"/>
  <c r="W313" i="107"/>
  <c r="W314" i="107"/>
  <c r="W315" i="107"/>
  <c r="W316" i="107"/>
  <c r="W317" i="107"/>
  <c r="W318" i="107"/>
  <c r="W319" i="107"/>
  <c r="W320" i="107"/>
  <c r="W321" i="107"/>
  <c r="W322" i="107"/>
  <c r="W323" i="107"/>
  <c r="W324" i="107"/>
  <c r="W325" i="107"/>
  <c r="W326" i="107"/>
  <c r="W327" i="107"/>
  <c r="W328" i="107"/>
  <c r="W329" i="107"/>
  <c r="W330" i="107"/>
  <c r="W331" i="107"/>
  <c r="W332" i="107"/>
  <c r="W333" i="107"/>
  <c r="W334" i="107"/>
  <c r="W335" i="107"/>
  <c r="W336" i="107"/>
  <c r="W337" i="107"/>
  <c r="W338" i="107"/>
  <c r="W339" i="107"/>
  <c r="W340" i="107"/>
  <c r="W341" i="107"/>
  <c r="W342" i="107"/>
  <c r="W343" i="107"/>
  <c r="W344" i="107"/>
  <c r="W345" i="107"/>
  <c r="W346" i="107"/>
  <c r="W347" i="107"/>
  <c r="W348" i="107"/>
  <c r="W349" i="107"/>
  <c r="W350" i="107"/>
  <c r="W351" i="107"/>
  <c r="W352" i="107"/>
  <c r="W353" i="107"/>
  <c r="W354" i="107"/>
  <c r="W355" i="107"/>
  <c r="W356" i="107"/>
  <c r="W357" i="107"/>
  <c r="W358" i="107"/>
  <c r="W359" i="107"/>
  <c r="W360" i="107"/>
  <c r="W361" i="107"/>
  <c r="W362" i="107"/>
  <c r="W363" i="107"/>
  <c r="W364" i="107"/>
  <c r="W365" i="107"/>
  <c r="W366" i="107"/>
  <c r="W367" i="107"/>
  <c r="W368" i="107"/>
  <c r="W369" i="107"/>
  <c r="W370" i="107"/>
  <c r="W371" i="107"/>
  <c r="W372" i="107"/>
  <c r="W373" i="107"/>
  <c r="W374" i="107"/>
  <c r="W375" i="107"/>
  <c r="W376" i="107"/>
  <c r="W377" i="107"/>
  <c r="W378" i="107"/>
  <c r="W379" i="107"/>
  <c r="W380" i="107"/>
  <c r="W389" i="107"/>
  <c r="W390" i="107"/>
  <c r="W381" i="107"/>
  <c r="W382" i="107"/>
  <c r="W5" i="107"/>
  <c r="D6" i="107"/>
  <c r="D7" i="107"/>
  <c r="D8" i="107"/>
  <c r="D9" i="107"/>
  <c r="D10" i="107"/>
  <c r="D11" i="107"/>
  <c r="D12" i="107"/>
  <c r="D13" i="107"/>
  <c r="D14" i="107"/>
  <c r="D15" i="107"/>
  <c r="D16" i="107"/>
  <c r="D17" i="107"/>
  <c r="D18" i="107"/>
  <c r="D19" i="107"/>
  <c r="D20" i="107"/>
  <c r="D21" i="107"/>
  <c r="D22" i="107"/>
  <c r="D23" i="107"/>
  <c r="D24" i="107"/>
  <c r="D25" i="107"/>
  <c r="D26" i="107"/>
  <c r="D27" i="107"/>
  <c r="D28" i="107"/>
  <c r="D29" i="107"/>
  <c r="D30" i="107"/>
  <c r="D31" i="107"/>
  <c r="D32" i="107"/>
  <c r="D33" i="107"/>
  <c r="D34" i="107"/>
  <c r="D35" i="107"/>
  <c r="D36" i="107"/>
  <c r="D37" i="107"/>
  <c r="D38" i="107"/>
  <c r="D39" i="107"/>
  <c r="D40" i="107"/>
  <c r="D41" i="107"/>
  <c r="D42" i="107"/>
  <c r="D43" i="107"/>
  <c r="D44" i="107"/>
  <c r="D45" i="107"/>
  <c r="D46" i="107"/>
  <c r="D47" i="107"/>
  <c r="D48" i="107"/>
  <c r="D49" i="107"/>
  <c r="D50" i="107"/>
  <c r="D51" i="107"/>
  <c r="D52" i="107"/>
  <c r="D53" i="107"/>
  <c r="D54" i="107"/>
  <c r="D55" i="107"/>
  <c r="D56" i="107"/>
  <c r="D57" i="107"/>
  <c r="D58" i="107"/>
  <c r="D59" i="107"/>
  <c r="D60" i="107"/>
  <c r="D61" i="107"/>
  <c r="D62" i="107"/>
  <c r="D63" i="107"/>
  <c r="D64" i="107"/>
  <c r="D65" i="107"/>
  <c r="D66" i="107"/>
  <c r="D67" i="107"/>
  <c r="D68" i="107"/>
  <c r="D69" i="107"/>
  <c r="D70" i="107"/>
  <c r="D71" i="107"/>
  <c r="D72" i="107"/>
  <c r="D73" i="107"/>
  <c r="D74" i="107"/>
  <c r="D75" i="107"/>
  <c r="D76" i="107"/>
  <c r="D77" i="107"/>
  <c r="D78" i="107"/>
  <c r="D79" i="107"/>
  <c r="D80" i="107"/>
  <c r="D81" i="107"/>
  <c r="D82" i="107"/>
  <c r="D83" i="107"/>
  <c r="D84" i="107"/>
  <c r="D85" i="107"/>
  <c r="D86" i="107"/>
  <c r="D87" i="107"/>
  <c r="D88" i="107"/>
  <c r="D89" i="107"/>
  <c r="D90" i="107"/>
  <c r="D91" i="107"/>
  <c r="D92" i="107"/>
  <c r="D93" i="107"/>
  <c r="D94" i="107"/>
  <c r="D95" i="107"/>
  <c r="D96" i="107"/>
  <c r="D97" i="107"/>
  <c r="D98" i="107"/>
  <c r="D99" i="107"/>
  <c r="D100" i="107"/>
  <c r="D101" i="107"/>
  <c r="D102" i="107"/>
  <c r="D103" i="107"/>
  <c r="D104" i="107"/>
  <c r="D105" i="107"/>
  <c r="D106" i="107"/>
  <c r="D107" i="107"/>
  <c r="D108" i="107"/>
  <c r="D109" i="107"/>
  <c r="D110" i="107"/>
  <c r="D111" i="107"/>
  <c r="D112" i="107"/>
  <c r="D113" i="107"/>
  <c r="D114" i="107"/>
  <c r="D115" i="107"/>
  <c r="D116" i="107"/>
  <c r="D117" i="107"/>
  <c r="D118" i="107"/>
  <c r="D119" i="107"/>
  <c r="D120" i="107"/>
  <c r="D121" i="107"/>
  <c r="D122" i="107"/>
  <c r="D123" i="107"/>
  <c r="D124" i="107"/>
  <c r="D125" i="107"/>
  <c r="D126" i="107"/>
  <c r="D127" i="107"/>
  <c r="D128" i="107"/>
  <c r="D129" i="107"/>
  <c r="D130" i="107"/>
  <c r="D131" i="107"/>
  <c r="D132" i="107"/>
  <c r="D133" i="107"/>
  <c r="D134" i="107"/>
  <c r="D135" i="107"/>
  <c r="D136" i="107"/>
  <c r="D137" i="107"/>
  <c r="D138" i="107"/>
  <c r="D139" i="107"/>
  <c r="D140" i="107"/>
  <c r="D141" i="107"/>
  <c r="D142" i="107"/>
  <c r="D143" i="107"/>
  <c r="D144" i="107"/>
  <c r="D145" i="107"/>
  <c r="D146" i="107"/>
  <c r="D147" i="107"/>
  <c r="D148" i="107"/>
  <c r="D149" i="107"/>
  <c r="D150" i="107"/>
  <c r="D151" i="107"/>
  <c r="D152" i="107"/>
  <c r="D153" i="107"/>
  <c r="D154" i="107"/>
  <c r="D155" i="107"/>
  <c r="D156" i="107"/>
  <c r="D157" i="107"/>
  <c r="D158" i="107"/>
  <c r="D159" i="107"/>
  <c r="D160" i="107"/>
  <c r="D161" i="107"/>
  <c r="D162" i="107"/>
  <c r="D163" i="107"/>
  <c r="D164" i="107"/>
  <c r="D165" i="107"/>
  <c r="D166" i="107"/>
  <c r="D167" i="107"/>
  <c r="D168" i="107"/>
  <c r="D169" i="107"/>
  <c r="D170" i="107"/>
  <c r="D171" i="107"/>
  <c r="D172" i="107"/>
  <c r="D173" i="107"/>
  <c r="D174" i="107"/>
  <c r="D175" i="107"/>
  <c r="D176" i="107"/>
  <c r="D177" i="107"/>
  <c r="D178" i="107"/>
  <c r="D179" i="107"/>
  <c r="D180" i="107"/>
  <c r="D181" i="107"/>
  <c r="D182" i="107"/>
  <c r="D183" i="107"/>
  <c r="D184" i="107"/>
  <c r="D185" i="107"/>
  <c r="D186" i="107"/>
  <c r="D187" i="107"/>
  <c r="D188" i="107"/>
  <c r="D189" i="107"/>
  <c r="D190" i="107"/>
  <c r="D191" i="107"/>
  <c r="D192" i="107"/>
  <c r="D193" i="107"/>
  <c r="D194" i="107"/>
  <c r="D195" i="107"/>
  <c r="D196" i="107"/>
  <c r="D197" i="107"/>
  <c r="D198" i="107"/>
  <c r="D199" i="107"/>
  <c r="D200" i="107"/>
  <c r="D201" i="107"/>
  <c r="D202" i="107"/>
  <c r="D203" i="107"/>
  <c r="D204" i="107"/>
  <c r="D205" i="107"/>
  <c r="D206" i="107"/>
  <c r="D207" i="107"/>
  <c r="D208" i="107"/>
  <c r="D209" i="107"/>
  <c r="D210" i="107"/>
  <c r="D211" i="107"/>
  <c r="D212" i="107"/>
  <c r="D213" i="107"/>
  <c r="D214" i="107"/>
  <c r="D218" i="107"/>
  <c r="D215" i="107"/>
  <c r="D219" i="107"/>
  <c r="D220" i="107"/>
  <c r="D216" i="107"/>
  <c r="D217" i="107"/>
  <c r="D221" i="107"/>
  <c r="D222" i="107"/>
  <c r="D223" i="107"/>
  <c r="D224" i="107"/>
  <c r="D225" i="107"/>
  <c r="D226" i="107"/>
  <c r="D227" i="107"/>
  <c r="D228" i="107"/>
  <c r="D229" i="107"/>
  <c r="D230" i="107"/>
  <c r="D231" i="107"/>
  <c r="D232" i="107"/>
  <c r="D233" i="107"/>
  <c r="D234" i="107"/>
  <c r="D235" i="107"/>
  <c r="D236" i="107"/>
  <c r="D237" i="107"/>
  <c r="D238" i="107"/>
  <c r="D239" i="107"/>
  <c r="D240" i="107"/>
  <c r="D241" i="107"/>
  <c r="D242" i="107"/>
  <c r="D243" i="107"/>
  <c r="D244" i="107"/>
  <c r="D245" i="107"/>
  <c r="D246" i="107"/>
  <c r="D247" i="107"/>
  <c r="D248" i="107"/>
  <c r="D249" i="107"/>
  <c r="D250" i="107"/>
  <c r="D251" i="107"/>
  <c r="D252" i="107"/>
  <c r="D253" i="107"/>
  <c r="D254" i="107"/>
  <c r="D255" i="107"/>
  <c r="D256" i="107"/>
  <c r="D257" i="107"/>
  <c r="D258" i="107"/>
  <c r="D259" i="107"/>
  <c r="D260" i="107"/>
  <c r="D261" i="107"/>
  <c r="D262" i="107"/>
  <c r="D263" i="107"/>
  <c r="D264" i="107"/>
  <c r="D265" i="107"/>
  <c r="D266" i="107"/>
  <c r="D267" i="107"/>
  <c r="D268" i="107"/>
  <c r="D269" i="107"/>
  <c r="D270" i="107"/>
  <c r="D271" i="107"/>
  <c r="D272" i="107"/>
  <c r="D273" i="107"/>
  <c r="D274" i="107"/>
  <c r="D275" i="107"/>
  <c r="D276" i="107"/>
  <c r="D277" i="107"/>
  <c r="D278" i="107"/>
  <c r="D279" i="107"/>
  <c r="D280" i="107"/>
  <c r="D281" i="107"/>
  <c r="D282" i="107"/>
  <c r="D283" i="107"/>
  <c r="D284" i="107"/>
  <c r="D285" i="107"/>
  <c r="D286" i="107"/>
  <c r="D287" i="107"/>
  <c r="D288" i="107"/>
  <c r="D289" i="107"/>
  <c r="D290" i="107"/>
  <c r="D291" i="107"/>
  <c r="D292" i="107"/>
  <c r="D293" i="107"/>
  <c r="D294" i="107"/>
  <c r="D295" i="107"/>
  <c r="D296" i="107"/>
  <c r="D297" i="107"/>
  <c r="D298" i="107"/>
  <c r="D299" i="107"/>
  <c r="D300" i="107"/>
  <c r="D301" i="107"/>
  <c r="D302" i="107"/>
  <c r="D303" i="107"/>
  <c r="D304" i="107"/>
  <c r="D305" i="107"/>
  <c r="D306" i="107"/>
  <c r="D307" i="107"/>
  <c r="D308" i="107"/>
  <c r="D309" i="107"/>
  <c r="D310" i="107"/>
  <c r="D311" i="107"/>
  <c r="D312" i="107"/>
  <c r="D313" i="107"/>
  <c r="D314" i="107"/>
  <c r="D315" i="107"/>
  <c r="D316" i="107"/>
  <c r="D317" i="107"/>
  <c r="D318" i="107"/>
  <c r="D319" i="107"/>
  <c r="D320" i="107"/>
  <c r="D321" i="107"/>
  <c r="D322" i="107"/>
  <c r="D323" i="107"/>
  <c r="D324" i="107"/>
  <c r="D325" i="107"/>
  <c r="D326" i="107"/>
  <c r="D327" i="107"/>
  <c r="D328" i="107"/>
  <c r="D329" i="107"/>
  <c r="D330" i="107"/>
  <c r="D331" i="107"/>
  <c r="D332" i="107"/>
  <c r="D333" i="107"/>
  <c r="D334" i="107"/>
  <c r="D335" i="107"/>
  <c r="D336" i="107"/>
  <c r="D337" i="107"/>
  <c r="D338" i="107"/>
  <c r="D339" i="107"/>
  <c r="D340" i="107"/>
  <c r="D341" i="107"/>
  <c r="D342" i="107"/>
  <c r="D343" i="107"/>
  <c r="D344" i="107"/>
  <c r="D345" i="107"/>
  <c r="D346" i="107"/>
  <c r="D347" i="107"/>
  <c r="D348" i="107"/>
  <c r="D349" i="107"/>
  <c r="D350" i="107"/>
  <c r="D351" i="107"/>
  <c r="D352" i="107"/>
  <c r="D353" i="107"/>
  <c r="D354" i="107"/>
  <c r="D355" i="107"/>
  <c r="D356" i="107"/>
  <c r="D357" i="107"/>
  <c r="D358" i="107"/>
  <c r="D359" i="107"/>
  <c r="D360" i="107"/>
  <c r="D361" i="107"/>
  <c r="D362" i="107"/>
  <c r="D363" i="107"/>
  <c r="D364" i="107"/>
  <c r="D365" i="107"/>
  <c r="D366" i="107"/>
  <c r="D367" i="107"/>
  <c r="D368" i="107"/>
  <c r="D369" i="107"/>
  <c r="D370" i="107"/>
  <c r="D371" i="107"/>
  <c r="D372" i="107"/>
  <c r="D373" i="107"/>
  <c r="D374" i="107"/>
  <c r="D375" i="107"/>
  <c r="D376" i="107"/>
  <c r="D377" i="107"/>
  <c r="D378" i="107"/>
  <c r="D379" i="107"/>
  <c r="D380" i="107"/>
  <c r="D389" i="107"/>
  <c r="D390" i="107"/>
  <c r="D381" i="107"/>
  <c r="D382" i="107"/>
  <c r="D384" i="107"/>
  <c r="AC33" i="118" l="1"/>
  <c r="AC20" i="118" a="1"/>
  <c r="AB33" i="118"/>
  <c r="AB32" i="118"/>
  <c r="AC32" i="118"/>
  <c r="AC25" i="118"/>
  <c r="E25" i="116" s="1"/>
  <c r="AC21" i="118" a="1"/>
  <c r="AB21" i="118" a="1"/>
  <c r="AB20" i="118" a="1"/>
  <c r="AA32" i="118"/>
  <c r="Z32" i="118"/>
  <c r="AA21" i="118" a="1"/>
  <c r="AA20" i="118" a="1"/>
  <c r="K6" i="118"/>
  <c r="J32" i="118"/>
  <c r="D32" i="118"/>
  <c r="M32" i="118"/>
  <c r="S32" i="118"/>
  <c r="U32" i="118"/>
  <c r="V32" i="118"/>
  <c r="P32" i="118"/>
  <c r="W32" i="118"/>
  <c r="H32" i="118"/>
  <c r="I32" i="118"/>
  <c r="O32" i="118"/>
  <c r="K32" i="118"/>
  <c r="E32" i="118"/>
  <c r="Q32" i="118"/>
  <c r="Y32" i="118"/>
  <c r="N32" i="118"/>
  <c r="T32" i="118"/>
  <c r="C32" i="118"/>
  <c r="L32" i="118"/>
  <c r="F32" i="118"/>
  <c r="X32" i="118"/>
  <c r="R32" i="118"/>
  <c r="G32" i="118"/>
  <c r="J5" i="118"/>
  <c r="I5" i="118"/>
  <c r="C5" i="118"/>
  <c r="H5" i="118"/>
  <c r="G5" i="118"/>
  <c r="F5" i="118"/>
  <c r="E5" i="118"/>
  <c r="D5" i="118"/>
  <c r="H25" i="118"/>
  <c r="U21" i="118" a="1"/>
  <c r="J21" i="118" a="1"/>
  <c r="R20" i="118" a="1"/>
  <c r="K20" i="118" a="1"/>
  <c r="K19" i="118" a="1"/>
  <c r="C19" i="118" a="1"/>
  <c r="W6" i="118"/>
  <c r="J6" i="118"/>
  <c r="D21" i="118" a="1"/>
  <c r="G19" i="118" a="1"/>
  <c r="O19" i="118" a="1"/>
  <c r="P6" i="118"/>
  <c r="V19" i="118" a="1"/>
  <c r="C7" i="118"/>
  <c r="O6" i="118"/>
  <c r="M21" i="118" a="1"/>
  <c r="M20" i="118" a="1"/>
  <c r="Z7" i="118"/>
  <c r="N6" i="118"/>
  <c r="G25" i="118"/>
  <c r="T21" i="118" a="1"/>
  <c r="I21" i="118" a="1"/>
  <c r="Y20" i="118" a="1"/>
  <c r="C20" i="118" a="1"/>
  <c r="S19" i="118" a="1"/>
  <c r="J7" i="118"/>
  <c r="V6" i="118"/>
  <c r="I6" i="118"/>
  <c r="X20" i="118" a="1"/>
  <c r="J20" i="118" a="1"/>
  <c r="R19" i="118" a="1"/>
  <c r="I7" i="118"/>
  <c r="U6" i="118"/>
  <c r="H6" i="118"/>
  <c r="H7" i="118"/>
  <c r="T6" i="118"/>
  <c r="Q21" i="118" a="1"/>
  <c r="I20" i="118" a="1"/>
  <c r="I19" i="118" a="1"/>
  <c r="H20" i="118" a="1"/>
  <c r="F20" i="118" a="1"/>
  <c r="F25" i="118"/>
  <c r="S21" i="118" a="1"/>
  <c r="H21" i="118" a="1"/>
  <c r="Q20" i="118" a="1"/>
  <c r="Z19" i="118" a="1"/>
  <c r="J19" i="118" a="1"/>
  <c r="G6" i="118"/>
  <c r="F21" i="118" a="1"/>
  <c r="P20" i="118" a="1"/>
  <c r="G7" i="118"/>
  <c r="S6" i="118"/>
  <c r="F6" i="118"/>
  <c r="E21" i="118" a="1"/>
  <c r="P19" i="118" a="1"/>
  <c r="F7" i="118"/>
  <c r="E6" i="118"/>
  <c r="G20" i="118" a="1"/>
  <c r="U19" i="118" a="1"/>
  <c r="Y6" i="118"/>
  <c r="M6" i="118"/>
  <c r="E25" i="118"/>
  <c r="R21" i="118" a="1"/>
  <c r="G21" i="118" a="1"/>
  <c r="Q19" i="118" a="1"/>
  <c r="W20" i="118" a="1"/>
  <c r="Y19" i="118" a="1"/>
  <c r="X19" i="118" a="1"/>
  <c r="H19" i="118" a="1"/>
  <c r="R6" i="118"/>
  <c r="V20" i="118" a="1"/>
  <c r="W19" i="118" a="1"/>
  <c r="Q6" i="118"/>
  <c r="D6" i="118"/>
  <c r="C21" i="118" a="1"/>
  <c r="F19" i="118" a="1"/>
  <c r="U20" i="118" a="1"/>
  <c r="E19" i="118" a="1"/>
  <c r="T20" i="118" a="1"/>
  <c r="E20" i="118" a="1"/>
  <c r="Z6" i="118"/>
  <c r="L21" i="118" a="1"/>
  <c r="L20" i="118" a="1"/>
  <c r="M19" i="118" a="1"/>
  <c r="D25" i="118"/>
  <c r="C25" i="118"/>
  <c r="P21" i="118" a="1"/>
  <c r="D19" i="118" a="1"/>
  <c r="Z21" i="118" a="1"/>
  <c r="Y21" i="118" a="1"/>
  <c r="X21" i="118" a="1"/>
  <c r="W21" i="118" a="1"/>
  <c r="J25" i="118"/>
  <c r="V21" i="118" a="1"/>
  <c r="I25" i="118"/>
  <c r="K21" i="118" a="1"/>
  <c r="Z20" i="118" a="1"/>
  <c r="S20" i="118" a="1"/>
  <c r="D20" i="118" a="1"/>
  <c r="T19" i="118" a="1"/>
  <c r="L19" i="118" a="1"/>
  <c r="X6" i="118"/>
  <c r="L6" i="118"/>
  <c r="O20" i="118" a="1"/>
  <c r="E7" i="118"/>
  <c r="O21" i="118" a="1"/>
  <c r="N20" i="118" a="1"/>
  <c r="D7" i="118"/>
  <c r="C6" i="118"/>
  <c r="N21" i="118" a="1"/>
  <c r="N19" i="118" a="1"/>
  <c r="AC18" i="118" l="1"/>
  <c r="AG21" i="118"/>
  <c r="AG20" i="118"/>
  <c r="AG6" i="118"/>
  <c r="AG7" i="118"/>
  <c r="AC15" i="118"/>
  <c r="AC16" i="118"/>
  <c r="AC24" i="118"/>
  <c r="AC8" i="118"/>
  <c r="AC17" i="118"/>
  <c r="AD6" i="118"/>
  <c r="AD15" i="118" s="1"/>
  <c r="AB8" i="118"/>
  <c r="AB15" i="118"/>
  <c r="AB24" i="118"/>
  <c r="AD32" i="118"/>
  <c r="AA8" i="118"/>
  <c r="AA15" i="118"/>
  <c r="AG15" i="118" s="1"/>
  <c r="AA24" i="118"/>
  <c r="I17" i="118"/>
  <c r="J17" i="118"/>
  <c r="H17" i="118"/>
  <c r="H24" i="118"/>
  <c r="H15" i="118"/>
  <c r="H16" i="118"/>
  <c r="H8" i="118"/>
  <c r="H12" i="118" s="1"/>
  <c r="G24" i="118"/>
  <c r="G16" i="118"/>
  <c r="G15" i="118"/>
  <c r="G8" i="118"/>
  <c r="G12" i="118" s="1"/>
  <c r="D15" i="118"/>
  <c r="D16" i="118"/>
  <c r="D8" i="118"/>
  <c r="D12" i="118" s="1"/>
  <c r="D24" i="118"/>
  <c r="J24" i="118"/>
  <c r="J15" i="118"/>
  <c r="J16" i="118"/>
  <c r="J8" i="118"/>
  <c r="J12" i="118" s="1"/>
  <c r="Q15" i="118"/>
  <c r="Q24" i="118"/>
  <c r="F17" i="118"/>
  <c r="W24" i="118"/>
  <c r="W15" i="118"/>
  <c r="D33" i="118"/>
  <c r="D18" i="118"/>
  <c r="E17" i="118"/>
  <c r="L24" i="118"/>
  <c r="L15" i="118"/>
  <c r="AF6" i="118"/>
  <c r="O24" i="118"/>
  <c r="O15" i="118"/>
  <c r="E33" i="118"/>
  <c r="E18" i="118"/>
  <c r="E15" i="118"/>
  <c r="E8" i="118"/>
  <c r="E12" i="118" s="1"/>
  <c r="E24" i="118"/>
  <c r="E16" i="118"/>
  <c r="X15" i="118"/>
  <c r="X24" i="118"/>
  <c r="C17" i="118"/>
  <c r="AE19" i="118"/>
  <c r="F33" i="118"/>
  <c r="F18" i="118"/>
  <c r="U24" i="118"/>
  <c r="U15" i="118"/>
  <c r="Z24" i="118"/>
  <c r="Z15" i="118"/>
  <c r="Z8" i="118"/>
  <c r="G18" i="118"/>
  <c r="G33" i="118"/>
  <c r="C8" i="118"/>
  <c r="C24" i="118"/>
  <c r="C16" i="118"/>
  <c r="AE6" i="118"/>
  <c r="C15" i="118"/>
  <c r="R24" i="118"/>
  <c r="R15" i="118"/>
  <c r="F24" i="118"/>
  <c r="F16" i="118"/>
  <c r="F8" i="118"/>
  <c r="F12" i="118" s="1"/>
  <c r="F15" i="118"/>
  <c r="T24" i="118"/>
  <c r="T15" i="118"/>
  <c r="I24" i="118"/>
  <c r="I16" i="118"/>
  <c r="I8" i="118"/>
  <c r="I12" i="118" s="1"/>
  <c r="I15" i="118"/>
  <c r="H18" i="118"/>
  <c r="H33" i="118"/>
  <c r="D17" i="118"/>
  <c r="S24" i="118"/>
  <c r="S15" i="118"/>
  <c r="V24" i="118"/>
  <c r="V15" i="118"/>
  <c r="P15" i="118"/>
  <c r="P24" i="118"/>
  <c r="C33" i="118"/>
  <c r="C18" i="118"/>
  <c r="I33" i="118"/>
  <c r="I18" i="118"/>
  <c r="M15" i="118"/>
  <c r="M24" i="118"/>
  <c r="G17" i="118"/>
  <c r="N24" i="118"/>
  <c r="N15" i="118"/>
  <c r="AF19" i="118"/>
  <c r="Y15" i="118"/>
  <c r="Y24" i="118"/>
  <c r="K24" i="118"/>
  <c r="K15" i="118"/>
  <c r="J33" i="118"/>
  <c r="J18" i="118"/>
  <c r="AG24" i="118" l="1"/>
  <c r="AG8" i="118"/>
  <c r="AC9" i="118"/>
  <c r="AB9" i="118"/>
  <c r="C34" i="118"/>
  <c r="D31" i="118" s="1"/>
  <c r="D34" i="118" s="1"/>
  <c r="E31" i="118" s="1"/>
  <c r="E34" i="118" s="1"/>
  <c r="F31" i="118" s="1"/>
  <c r="F34" i="118" s="1"/>
  <c r="G31" i="118" s="1"/>
  <c r="G34" i="118" s="1"/>
  <c r="H31" i="118" s="1"/>
  <c r="H34" i="118" s="1"/>
  <c r="I31" i="118" s="1"/>
  <c r="I34" i="118" s="1"/>
  <c r="J31" i="118" s="1"/>
  <c r="J34" i="118" s="1"/>
  <c r="K31" i="118" s="1"/>
  <c r="AA9" i="118"/>
  <c r="AD24" i="118"/>
  <c r="C12" i="118"/>
  <c r="Z9" i="118"/>
  <c r="E9" i="118"/>
  <c r="E13" i="118"/>
  <c r="AF15" i="118"/>
  <c r="AF24" i="118"/>
  <c r="D9" i="118"/>
  <c r="D13" i="118"/>
  <c r="I9" i="118"/>
  <c r="I13" i="118"/>
  <c r="G13" i="118"/>
  <c r="G9" i="118"/>
  <c r="AE15" i="118"/>
  <c r="AE24" i="118"/>
  <c r="J13" i="118"/>
  <c r="J9" i="118"/>
  <c r="H13" i="118"/>
  <c r="H9" i="118"/>
  <c r="F9" i="118"/>
  <c r="F13" i="118"/>
  <c r="C9" i="118"/>
  <c r="AI380" i="107"/>
  <c r="AK380" i="107"/>
  <c r="AG9" i="118" l="1"/>
  <c r="C13" i="118"/>
  <c r="P4" i="115"/>
  <c r="P5" i="115"/>
  <c r="P6" i="115"/>
  <c r="P7" i="115"/>
  <c r="P8" i="115"/>
  <c r="P9" i="115"/>
  <c r="P10" i="115"/>
  <c r="P11" i="115"/>
  <c r="P12" i="115"/>
  <c r="P13" i="115"/>
  <c r="P14" i="115"/>
  <c r="P15" i="115"/>
  <c r="P16" i="115"/>
  <c r="P17" i="115"/>
  <c r="P18" i="115"/>
  <c r="P19" i="115"/>
  <c r="P20" i="115"/>
  <c r="P21" i="115"/>
  <c r="P22" i="115"/>
  <c r="P23" i="115"/>
  <c r="P24" i="115"/>
  <c r="P25" i="115"/>
  <c r="P26" i="115"/>
  <c r="P27" i="115"/>
  <c r="P28" i="115"/>
  <c r="P29" i="115"/>
  <c r="P30" i="115"/>
  <c r="P31" i="115"/>
  <c r="P32" i="115"/>
  <c r="P33" i="115"/>
  <c r="P34" i="115"/>
  <c r="P35" i="115"/>
  <c r="P36" i="115"/>
  <c r="P37" i="115"/>
  <c r="P38" i="115"/>
  <c r="P39" i="115"/>
  <c r="P40" i="115"/>
  <c r="P41" i="115"/>
  <c r="P42" i="115"/>
  <c r="P43" i="115"/>
  <c r="P44" i="115"/>
  <c r="P45" i="115"/>
  <c r="P46" i="115"/>
  <c r="P47" i="115"/>
  <c r="P48" i="115"/>
  <c r="P49" i="115"/>
  <c r="P50" i="115"/>
  <c r="P51" i="115"/>
  <c r="P52" i="115"/>
  <c r="P53" i="115"/>
  <c r="P54" i="115"/>
  <c r="P55" i="115"/>
  <c r="P56" i="115"/>
  <c r="P57" i="115"/>
  <c r="P58" i="115"/>
  <c r="P59" i="115"/>
  <c r="P60" i="115"/>
  <c r="P61" i="115"/>
  <c r="P62" i="115"/>
  <c r="P63" i="115"/>
  <c r="P64" i="115"/>
  <c r="P65" i="115"/>
  <c r="P66" i="115"/>
  <c r="P67" i="115"/>
  <c r="P68" i="115"/>
  <c r="P69" i="115"/>
  <c r="P70" i="115"/>
  <c r="P71" i="115"/>
  <c r="P72" i="115"/>
  <c r="P73" i="115"/>
  <c r="P74" i="115"/>
  <c r="P75" i="115"/>
  <c r="P76" i="115"/>
  <c r="P77" i="115"/>
  <c r="P78" i="115"/>
  <c r="P79" i="115"/>
  <c r="P80" i="115"/>
  <c r="P81" i="115"/>
  <c r="P82" i="115"/>
  <c r="P83" i="115"/>
  <c r="P84" i="115"/>
  <c r="P85" i="115"/>
  <c r="P86" i="115"/>
  <c r="P87" i="115"/>
  <c r="P88" i="115"/>
  <c r="P89" i="115"/>
  <c r="P90" i="115"/>
  <c r="P91" i="115"/>
  <c r="P92" i="115"/>
  <c r="P93" i="115"/>
  <c r="P94" i="115"/>
  <c r="P95" i="115"/>
  <c r="P96" i="115"/>
  <c r="P97" i="115"/>
  <c r="P98" i="115"/>
  <c r="P99" i="115"/>
  <c r="P100" i="115"/>
  <c r="P101" i="115"/>
  <c r="P102" i="115"/>
  <c r="P103" i="115"/>
  <c r="P104" i="115"/>
  <c r="P105" i="115"/>
  <c r="P106" i="115"/>
  <c r="P107" i="115"/>
  <c r="P108" i="115"/>
  <c r="P109" i="115"/>
  <c r="P110" i="115"/>
  <c r="P111" i="115"/>
  <c r="P112" i="115"/>
  <c r="P113" i="115"/>
  <c r="P114" i="115"/>
  <c r="P115" i="115"/>
  <c r="P116" i="115"/>
  <c r="P117" i="115"/>
  <c r="P118" i="115"/>
  <c r="P119" i="115"/>
  <c r="P120" i="115"/>
  <c r="P121" i="115"/>
  <c r="P122" i="115"/>
  <c r="P123" i="115"/>
  <c r="P124" i="115"/>
  <c r="P125" i="115"/>
  <c r="P126" i="115"/>
  <c r="P127" i="115"/>
  <c r="P128" i="115"/>
  <c r="P129" i="115"/>
  <c r="P130" i="115"/>
  <c r="P131" i="115"/>
  <c r="P132" i="115"/>
  <c r="P133" i="115"/>
  <c r="P134" i="115"/>
  <c r="P135" i="115"/>
  <c r="P136" i="115"/>
  <c r="P137" i="115"/>
  <c r="P138" i="115"/>
  <c r="P139" i="115"/>
  <c r="P140" i="115"/>
  <c r="P141" i="115"/>
  <c r="P142" i="115"/>
  <c r="P143" i="115"/>
  <c r="P144" i="115"/>
  <c r="P145" i="115"/>
  <c r="P146" i="115"/>
  <c r="P147" i="115"/>
  <c r="P148" i="115"/>
  <c r="P149" i="115"/>
  <c r="P150" i="115"/>
  <c r="P151" i="115"/>
  <c r="P152" i="115"/>
  <c r="P153" i="115"/>
  <c r="P154" i="115"/>
  <c r="P155" i="115"/>
  <c r="P156" i="115"/>
  <c r="P157" i="115"/>
  <c r="P158" i="115"/>
  <c r="P159" i="115"/>
  <c r="P160" i="115"/>
  <c r="P161" i="115"/>
  <c r="P162" i="115"/>
  <c r="P163" i="115"/>
  <c r="P164" i="115"/>
  <c r="P165" i="115"/>
  <c r="P166" i="115"/>
  <c r="P167" i="115"/>
  <c r="P168" i="115"/>
  <c r="P169" i="115"/>
  <c r="P170" i="115"/>
  <c r="P171" i="115"/>
  <c r="P172" i="115"/>
  <c r="P173" i="115"/>
  <c r="P174" i="115"/>
  <c r="P175" i="115"/>
  <c r="P176" i="115"/>
  <c r="P177" i="115"/>
  <c r="P178" i="115"/>
  <c r="P179" i="115"/>
  <c r="P180" i="115"/>
  <c r="P181" i="115"/>
  <c r="P182" i="115"/>
  <c r="P183" i="115"/>
  <c r="P184" i="115"/>
  <c r="P185" i="115"/>
  <c r="P186" i="115"/>
  <c r="P187" i="115"/>
  <c r="P188" i="115"/>
  <c r="P189" i="115"/>
  <c r="P190" i="115"/>
  <c r="P191" i="115"/>
  <c r="P192" i="115"/>
  <c r="P193" i="115"/>
  <c r="P194" i="115"/>
  <c r="P195" i="115"/>
  <c r="P196" i="115"/>
  <c r="P197" i="115"/>
  <c r="P198" i="115"/>
  <c r="P199" i="115"/>
  <c r="P200" i="115"/>
  <c r="P201" i="115"/>
  <c r="P202" i="115"/>
  <c r="P203" i="115"/>
  <c r="P204" i="115"/>
  <c r="P205" i="115"/>
  <c r="P206" i="115"/>
  <c r="P207" i="115"/>
  <c r="P208" i="115"/>
  <c r="P209" i="115"/>
  <c r="P210" i="115"/>
  <c r="P211" i="115"/>
  <c r="P212" i="115"/>
  <c r="P213" i="115"/>
  <c r="P214" i="115"/>
  <c r="P215" i="115"/>
  <c r="P216" i="115"/>
  <c r="P217" i="115"/>
  <c r="P218" i="115"/>
  <c r="P219" i="115"/>
  <c r="P220" i="115"/>
  <c r="P221" i="115"/>
  <c r="P222" i="115"/>
  <c r="P223" i="115"/>
  <c r="P224" i="115"/>
  <c r="P225" i="115"/>
  <c r="P226" i="115"/>
  <c r="P227" i="115"/>
  <c r="P228" i="115"/>
  <c r="P229" i="115"/>
  <c r="P230" i="115"/>
  <c r="P231" i="115"/>
  <c r="P232" i="115"/>
  <c r="P233" i="115"/>
  <c r="P234" i="115"/>
  <c r="P235" i="115"/>
  <c r="P236" i="115"/>
  <c r="P237" i="115"/>
  <c r="P238" i="115"/>
  <c r="P239" i="115"/>
  <c r="P240" i="115"/>
  <c r="P241" i="115"/>
  <c r="P242" i="115"/>
  <c r="P243" i="115"/>
  <c r="P244" i="115"/>
  <c r="P245" i="115"/>
  <c r="P246" i="115"/>
  <c r="P247" i="115"/>
  <c r="P248" i="115"/>
  <c r="P249" i="115"/>
  <c r="P250" i="115"/>
  <c r="P251" i="115"/>
  <c r="P252" i="115"/>
  <c r="P253" i="115"/>
  <c r="P254" i="115"/>
  <c r="P255" i="115"/>
  <c r="P256" i="115"/>
  <c r="P257" i="115"/>
  <c r="P258" i="115"/>
  <c r="P259" i="115"/>
  <c r="P260" i="115"/>
  <c r="P261" i="115"/>
  <c r="P262" i="115"/>
  <c r="P263" i="115"/>
  <c r="P264" i="115"/>
  <c r="P265" i="115"/>
  <c r="P266" i="115"/>
  <c r="P267" i="115"/>
  <c r="P268" i="115"/>
  <c r="P269" i="115"/>
  <c r="P270" i="115"/>
  <c r="P271" i="115"/>
  <c r="P272" i="115"/>
  <c r="P273" i="115"/>
  <c r="P274" i="115"/>
  <c r="P275" i="115"/>
  <c r="P276" i="115"/>
  <c r="P277" i="115"/>
  <c r="P278" i="115"/>
  <c r="P279" i="115"/>
  <c r="P280" i="115"/>
  <c r="P281" i="115"/>
  <c r="P282" i="115"/>
  <c r="P283" i="115"/>
  <c r="P284" i="115"/>
  <c r="P285" i="115"/>
  <c r="P286" i="115"/>
  <c r="P287" i="115"/>
  <c r="P288" i="115"/>
  <c r="P289" i="115"/>
  <c r="P290" i="115"/>
  <c r="P291" i="115"/>
  <c r="P292" i="115"/>
  <c r="P293" i="115"/>
  <c r="P294" i="115"/>
  <c r="P295" i="115"/>
  <c r="P296" i="115"/>
  <c r="P297" i="115"/>
  <c r="P298" i="115"/>
  <c r="P299" i="115"/>
  <c r="P300" i="115"/>
  <c r="P301" i="115"/>
  <c r="P302" i="115"/>
  <c r="P303" i="115"/>
  <c r="P304" i="115"/>
  <c r="P305" i="115"/>
  <c r="P306" i="115"/>
  <c r="P307" i="115"/>
  <c r="P308" i="115"/>
  <c r="P309" i="115"/>
  <c r="P310" i="115"/>
  <c r="P311" i="115"/>
  <c r="P312" i="115"/>
  <c r="P313" i="115"/>
  <c r="P314" i="115"/>
  <c r="P315" i="115"/>
  <c r="P316" i="115"/>
  <c r="P317" i="115"/>
  <c r="P318" i="115"/>
  <c r="P319" i="115"/>
  <c r="P320" i="115"/>
  <c r="P321" i="115"/>
  <c r="P322" i="115"/>
  <c r="P323" i="115"/>
  <c r="P324" i="115"/>
  <c r="P325" i="115"/>
  <c r="P326" i="115"/>
  <c r="P327" i="115"/>
  <c r="P328" i="115"/>
  <c r="P329" i="115"/>
  <c r="P330" i="115"/>
  <c r="P331" i="115"/>
  <c r="P332" i="115"/>
  <c r="P333" i="115"/>
  <c r="P334" i="115"/>
  <c r="P335" i="115"/>
  <c r="P336" i="115"/>
  <c r="P337" i="115"/>
  <c r="P338" i="115"/>
  <c r="P339" i="115"/>
  <c r="P340" i="115"/>
  <c r="P341" i="115"/>
  <c r="P342" i="115"/>
  <c r="P343" i="115"/>
  <c r="P344" i="115"/>
  <c r="P345" i="115"/>
  <c r="P346" i="115"/>
  <c r="P347" i="115"/>
  <c r="P348" i="115"/>
  <c r="P349" i="115"/>
  <c r="P350" i="115"/>
  <c r="P351" i="115"/>
  <c r="P352" i="115"/>
  <c r="P353" i="115"/>
  <c r="P354" i="115"/>
  <c r="P355" i="115"/>
  <c r="P356" i="115"/>
  <c r="P357" i="115"/>
  <c r="P358" i="115"/>
  <c r="P359" i="115"/>
  <c r="P360" i="115"/>
  <c r="P361" i="115"/>
  <c r="P362" i="115"/>
  <c r="P363" i="115"/>
  <c r="P364" i="115"/>
  <c r="P365" i="115"/>
  <c r="P366" i="115"/>
  <c r="P367" i="115"/>
  <c r="P368" i="115"/>
  <c r="P369" i="115"/>
  <c r="P370" i="115"/>
  <c r="P371" i="115"/>
  <c r="P372" i="115"/>
  <c r="P373" i="115"/>
  <c r="P374" i="115"/>
  <c r="P375" i="115"/>
  <c r="P376" i="115"/>
  <c r="P377" i="115"/>
  <c r="P378" i="115"/>
  <c r="P379" i="115"/>
  <c r="P380" i="115"/>
  <c r="P381" i="115"/>
  <c r="P382" i="115"/>
  <c r="P383" i="115"/>
  <c r="P3" i="115"/>
  <c r="E4" i="115"/>
  <c r="G4" i="115"/>
  <c r="L4" i="115"/>
  <c r="N4" i="115"/>
  <c r="O4" i="115"/>
  <c r="E5" i="115"/>
  <c r="G5" i="115"/>
  <c r="L5" i="115"/>
  <c r="N5" i="115"/>
  <c r="O5" i="115"/>
  <c r="E6" i="115"/>
  <c r="G6" i="115"/>
  <c r="L6" i="115"/>
  <c r="N6" i="115"/>
  <c r="O6" i="115"/>
  <c r="E7" i="115"/>
  <c r="G7" i="115"/>
  <c r="L7" i="115"/>
  <c r="N7" i="115"/>
  <c r="O7" i="115"/>
  <c r="E8" i="115"/>
  <c r="G8" i="115"/>
  <c r="L8" i="115"/>
  <c r="N8" i="115"/>
  <c r="O8" i="115"/>
  <c r="E9" i="115"/>
  <c r="G9" i="115"/>
  <c r="L9" i="115"/>
  <c r="N9" i="115"/>
  <c r="O9" i="115"/>
  <c r="E10" i="115"/>
  <c r="G10" i="115"/>
  <c r="L10" i="115"/>
  <c r="N10" i="115"/>
  <c r="O10" i="115"/>
  <c r="E11" i="115"/>
  <c r="G11" i="115"/>
  <c r="L11" i="115"/>
  <c r="N11" i="115"/>
  <c r="O11" i="115"/>
  <c r="E12" i="115"/>
  <c r="G12" i="115"/>
  <c r="L12" i="115"/>
  <c r="N12" i="115"/>
  <c r="O12" i="115"/>
  <c r="E13" i="115"/>
  <c r="G13" i="115"/>
  <c r="L13" i="115"/>
  <c r="N13" i="115"/>
  <c r="O13" i="115"/>
  <c r="E14" i="115"/>
  <c r="G14" i="115"/>
  <c r="L14" i="115"/>
  <c r="N14" i="115"/>
  <c r="O14" i="115"/>
  <c r="E15" i="115"/>
  <c r="G15" i="115"/>
  <c r="L15" i="115"/>
  <c r="N15" i="115"/>
  <c r="O15" i="115"/>
  <c r="E16" i="115"/>
  <c r="G16" i="115"/>
  <c r="L16" i="115"/>
  <c r="N16" i="115"/>
  <c r="O16" i="115"/>
  <c r="E17" i="115"/>
  <c r="G17" i="115"/>
  <c r="L17" i="115"/>
  <c r="N17" i="115"/>
  <c r="O17" i="115"/>
  <c r="E18" i="115"/>
  <c r="G18" i="115"/>
  <c r="L18" i="115"/>
  <c r="N18" i="115"/>
  <c r="O18" i="115"/>
  <c r="E19" i="115"/>
  <c r="G19" i="115"/>
  <c r="L19" i="115"/>
  <c r="N19" i="115"/>
  <c r="O19" i="115"/>
  <c r="E20" i="115"/>
  <c r="G20" i="115"/>
  <c r="L20" i="115"/>
  <c r="N20" i="115"/>
  <c r="O20" i="115"/>
  <c r="E21" i="115"/>
  <c r="G21" i="115"/>
  <c r="L21" i="115"/>
  <c r="N21" i="115"/>
  <c r="O21" i="115"/>
  <c r="E22" i="115"/>
  <c r="G22" i="115"/>
  <c r="L22" i="115"/>
  <c r="N22" i="115"/>
  <c r="O22" i="115"/>
  <c r="E23" i="115"/>
  <c r="G23" i="115"/>
  <c r="L23" i="115"/>
  <c r="N23" i="115"/>
  <c r="O23" i="115"/>
  <c r="E24" i="115"/>
  <c r="G24" i="115"/>
  <c r="L24" i="115"/>
  <c r="N24" i="115"/>
  <c r="O24" i="115"/>
  <c r="E25" i="115"/>
  <c r="G25" i="115"/>
  <c r="L25" i="115"/>
  <c r="N25" i="115"/>
  <c r="O25" i="115"/>
  <c r="E26" i="115"/>
  <c r="G26" i="115"/>
  <c r="L26" i="115"/>
  <c r="N26" i="115"/>
  <c r="O26" i="115"/>
  <c r="E27" i="115"/>
  <c r="G27" i="115"/>
  <c r="L27" i="115"/>
  <c r="N27" i="115"/>
  <c r="O27" i="115"/>
  <c r="E28" i="115"/>
  <c r="G28" i="115"/>
  <c r="L28" i="115"/>
  <c r="N28" i="115"/>
  <c r="O28" i="115"/>
  <c r="E29" i="115"/>
  <c r="G29" i="115"/>
  <c r="L29" i="115"/>
  <c r="N29" i="115"/>
  <c r="O29" i="115"/>
  <c r="E30" i="115"/>
  <c r="G30" i="115"/>
  <c r="L30" i="115"/>
  <c r="N30" i="115"/>
  <c r="O30" i="115"/>
  <c r="E31" i="115"/>
  <c r="G31" i="115"/>
  <c r="L31" i="115"/>
  <c r="N31" i="115"/>
  <c r="O31" i="115"/>
  <c r="E32" i="115"/>
  <c r="G32" i="115"/>
  <c r="L32" i="115"/>
  <c r="N32" i="115"/>
  <c r="O32" i="115"/>
  <c r="E33" i="115"/>
  <c r="G33" i="115"/>
  <c r="L33" i="115"/>
  <c r="N33" i="115"/>
  <c r="O33" i="115"/>
  <c r="E34" i="115"/>
  <c r="G34" i="115"/>
  <c r="L34" i="115"/>
  <c r="N34" i="115"/>
  <c r="O34" i="115"/>
  <c r="E35" i="115"/>
  <c r="G35" i="115"/>
  <c r="L35" i="115"/>
  <c r="N35" i="115"/>
  <c r="O35" i="115"/>
  <c r="E36" i="115"/>
  <c r="G36" i="115"/>
  <c r="L36" i="115"/>
  <c r="N36" i="115"/>
  <c r="O36" i="115"/>
  <c r="E37" i="115"/>
  <c r="G37" i="115"/>
  <c r="L37" i="115"/>
  <c r="N37" i="115"/>
  <c r="O37" i="115"/>
  <c r="E38" i="115"/>
  <c r="G38" i="115"/>
  <c r="L38" i="115"/>
  <c r="N38" i="115"/>
  <c r="O38" i="115"/>
  <c r="E39" i="115"/>
  <c r="G39" i="115"/>
  <c r="L39" i="115"/>
  <c r="N39" i="115"/>
  <c r="O39" i="115"/>
  <c r="E40" i="115"/>
  <c r="G40" i="115"/>
  <c r="L40" i="115"/>
  <c r="N40" i="115"/>
  <c r="O40" i="115"/>
  <c r="E41" i="115"/>
  <c r="G41" i="115"/>
  <c r="L41" i="115"/>
  <c r="N41" i="115"/>
  <c r="O41" i="115"/>
  <c r="E42" i="115"/>
  <c r="G42" i="115"/>
  <c r="L42" i="115"/>
  <c r="N42" i="115"/>
  <c r="O42" i="115"/>
  <c r="E43" i="115"/>
  <c r="G43" i="115"/>
  <c r="L43" i="115"/>
  <c r="N43" i="115"/>
  <c r="O43" i="115"/>
  <c r="E44" i="115"/>
  <c r="G44" i="115"/>
  <c r="L44" i="115"/>
  <c r="N44" i="115"/>
  <c r="O44" i="115"/>
  <c r="E45" i="115"/>
  <c r="G45" i="115"/>
  <c r="L45" i="115"/>
  <c r="N45" i="115"/>
  <c r="O45" i="115"/>
  <c r="E46" i="115"/>
  <c r="G46" i="115"/>
  <c r="L46" i="115"/>
  <c r="N46" i="115"/>
  <c r="O46" i="115"/>
  <c r="E47" i="115"/>
  <c r="G47" i="115"/>
  <c r="L47" i="115"/>
  <c r="N47" i="115"/>
  <c r="O47" i="115"/>
  <c r="E48" i="115"/>
  <c r="G48" i="115"/>
  <c r="L48" i="115"/>
  <c r="N48" i="115"/>
  <c r="O48" i="115"/>
  <c r="E49" i="115"/>
  <c r="G49" i="115"/>
  <c r="L49" i="115"/>
  <c r="N49" i="115"/>
  <c r="O49" i="115"/>
  <c r="E50" i="115"/>
  <c r="G50" i="115"/>
  <c r="L50" i="115"/>
  <c r="N50" i="115"/>
  <c r="O50" i="115"/>
  <c r="E51" i="115"/>
  <c r="G51" i="115"/>
  <c r="L51" i="115"/>
  <c r="N51" i="115"/>
  <c r="O51" i="115"/>
  <c r="E52" i="115"/>
  <c r="G52" i="115"/>
  <c r="L52" i="115"/>
  <c r="N52" i="115"/>
  <c r="O52" i="115"/>
  <c r="E53" i="115"/>
  <c r="G53" i="115"/>
  <c r="L53" i="115"/>
  <c r="N53" i="115"/>
  <c r="O53" i="115"/>
  <c r="E54" i="115"/>
  <c r="G54" i="115"/>
  <c r="L54" i="115"/>
  <c r="N54" i="115"/>
  <c r="O54" i="115"/>
  <c r="E55" i="115"/>
  <c r="G55" i="115"/>
  <c r="L55" i="115"/>
  <c r="N55" i="115"/>
  <c r="O55" i="115"/>
  <c r="E56" i="115"/>
  <c r="G56" i="115"/>
  <c r="L56" i="115"/>
  <c r="N56" i="115"/>
  <c r="O56" i="115"/>
  <c r="E57" i="115"/>
  <c r="G57" i="115"/>
  <c r="L57" i="115"/>
  <c r="N57" i="115"/>
  <c r="O57" i="115"/>
  <c r="E58" i="115"/>
  <c r="G58" i="115"/>
  <c r="L58" i="115"/>
  <c r="N58" i="115"/>
  <c r="O58" i="115"/>
  <c r="E59" i="115"/>
  <c r="G59" i="115"/>
  <c r="L59" i="115"/>
  <c r="N59" i="115"/>
  <c r="O59" i="115"/>
  <c r="E60" i="115"/>
  <c r="G60" i="115"/>
  <c r="L60" i="115"/>
  <c r="N60" i="115"/>
  <c r="O60" i="115"/>
  <c r="E61" i="115"/>
  <c r="G61" i="115"/>
  <c r="L61" i="115"/>
  <c r="N61" i="115"/>
  <c r="O61" i="115"/>
  <c r="E62" i="115"/>
  <c r="G62" i="115"/>
  <c r="L62" i="115"/>
  <c r="N62" i="115"/>
  <c r="O62" i="115"/>
  <c r="E63" i="115"/>
  <c r="G63" i="115"/>
  <c r="L63" i="115"/>
  <c r="N63" i="115"/>
  <c r="O63" i="115"/>
  <c r="E64" i="115"/>
  <c r="G64" i="115"/>
  <c r="L64" i="115"/>
  <c r="N64" i="115"/>
  <c r="O64" i="115"/>
  <c r="E65" i="115"/>
  <c r="G65" i="115"/>
  <c r="L65" i="115"/>
  <c r="N65" i="115"/>
  <c r="O65" i="115"/>
  <c r="E66" i="115"/>
  <c r="G66" i="115"/>
  <c r="L66" i="115"/>
  <c r="N66" i="115"/>
  <c r="O66" i="115"/>
  <c r="E67" i="115"/>
  <c r="G67" i="115"/>
  <c r="L67" i="115"/>
  <c r="N67" i="115"/>
  <c r="O67" i="115"/>
  <c r="E68" i="115"/>
  <c r="G68" i="115"/>
  <c r="L68" i="115"/>
  <c r="N68" i="115"/>
  <c r="O68" i="115"/>
  <c r="E69" i="115"/>
  <c r="G69" i="115"/>
  <c r="L69" i="115"/>
  <c r="N69" i="115"/>
  <c r="O69" i="115"/>
  <c r="E70" i="115"/>
  <c r="G70" i="115"/>
  <c r="L70" i="115"/>
  <c r="N70" i="115"/>
  <c r="O70" i="115"/>
  <c r="E71" i="115"/>
  <c r="G71" i="115"/>
  <c r="L71" i="115"/>
  <c r="N71" i="115"/>
  <c r="O71" i="115"/>
  <c r="E72" i="115"/>
  <c r="G72" i="115"/>
  <c r="L72" i="115"/>
  <c r="N72" i="115"/>
  <c r="O72" i="115"/>
  <c r="E73" i="115"/>
  <c r="G73" i="115"/>
  <c r="L73" i="115"/>
  <c r="N73" i="115"/>
  <c r="O73" i="115"/>
  <c r="E74" i="115"/>
  <c r="G74" i="115"/>
  <c r="L74" i="115"/>
  <c r="N74" i="115"/>
  <c r="O74" i="115"/>
  <c r="E75" i="115"/>
  <c r="G75" i="115"/>
  <c r="L75" i="115"/>
  <c r="N75" i="115"/>
  <c r="O75" i="115"/>
  <c r="E76" i="115"/>
  <c r="G76" i="115"/>
  <c r="L76" i="115"/>
  <c r="N76" i="115"/>
  <c r="O76" i="115"/>
  <c r="E77" i="115"/>
  <c r="G77" i="115"/>
  <c r="L77" i="115"/>
  <c r="N77" i="115"/>
  <c r="O77" i="115"/>
  <c r="E78" i="115"/>
  <c r="G78" i="115"/>
  <c r="L78" i="115"/>
  <c r="N78" i="115"/>
  <c r="O78" i="115"/>
  <c r="E79" i="115"/>
  <c r="G79" i="115"/>
  <c r="L79" i="115"/>
  <c r="N79" i="115"/>
  <c r="O79" i="115"/>
  <c r="E80" i="115"/>
  <c r="G80" i="115"/>
  <c r="L80" i="115"/>
  <c r="N80" i="115"/>
  <c r="O80" i="115"/>
  <c r="E81" i="115"/>
  <c r="G81" i="115"/>
  <c r="L81" i="115"/>
  <c r="N81" i="115"/>
  <c r="O81" i="115"/>
  <c r="E82" i="115"/>
  <c r="G82" i="115"/>
  <c r="L82" i="115"/>
  <c r="N82" i="115"/>
  <c r="O82" i="115"/>
  <c r="E83" i="115"/>
  <c r="G83" i="115"/>
  <c r="L83" i="115"/>
  <c r="N83" i="115"/>
  <c r="O83" i="115"/>
  <c r="E84" i="115"/>
  <c r="G84" i="115"/>
  <c r="L84" i="115"/>
  <c r="N84" i="115"/>
  <c r="O84" i="115"/>
  <c r="E85" i="115"/>
  <c r="G85" i="115"/>
  <c r="L85" i="115"/>
  <c r="N85" i="115"/>
  <c r="O85" i="115"/>
  <c r="E86" i="115"/>
  <c r="G86" i="115"/>
  <c r="L86" i="115"/>
  <c r="N86" i="115"/>
  <c r="O86" i="115"/>
  <c r="E87" i="115"/>
  <c r="G87" i="115"/>
  <c r="L87" i="115"/>
  <c r="N87" i="115"/>
  <c r="O87" i="115"/>
  <c r="E88" i="115"/>
  <c r="G88" i="115"/>
  <c r="L88" i="115"/>
  <c r="N88" i="115"/>
  <c r="O88" i="115"/>
  <c r="E89" i="115"/>
  <c r="G89" i="115"/>
  <c r="L89" i="115"/>
  <c r="N89" i="115"/>
  <c r="O89" i="115"/>
  <c r="E90" i="115"/>
  <c r="G90" i="115"/>
  <c r="L90" i="115"/>
  <c r="N90" i="115"/>
  <c r="O90" i="115"/>
  <c r="E91" i="115"/>
  <c r="G91" i="115"/>
  <c r="L91" i="115"/>
  <c r="N91" i="115"/>
  <c r="O91" i="115"/>
  <c r="E92" i="115"/>
  <c r="G92" i="115"/>
  <c r="L92" i="115"/>
  <c r="N92" i="115"/>
  <c r="O92" i="115"/>
  <c r="E93" i="115"/>
  <c r="G93" i="115"/>
  <c r="L93" i="115"/>
  <c r="N93" i="115"/>
  <c r="O93" i="115"/>
  <c r="E94" i="115"/>
  <c r="G94" i="115"/>
  <c r="L94" i="115"/>
  <c r="N94" i="115"/>
  <c r="O94" i="115"/>
  <c r="E95" i="115"/>
  <c r="G95" i="115"/>
  <c r="L95" i="115"/>
  <c r="N95" i="115"/>
  <c r="O95" i="115"/>
  <c r="E96" i="115"/>
  <c r="G96" i="115"/>
  <c r="L96" i="115"/>
  <c r="N96" i="115"/>
  <c r="O96" i="115"/>
  <c r="E97" i="115"/>
  <c r="G97" i="115"/>
  <c r="L97" i="115"/>
  <c r="N97" i="115"/>
  <c r="O97" i="115"/>
  <c r="E98" i="115"/>
  <c r="G98" i="115"/>
  <c r="L98" i="115"/>
  <c r="N98" i="115"/>
  <c r="O98" i="115"/>
  <c r="E99" i="115"/>
  <c r="G99" i="115"/>
  <c r="L99" i="115"/>
  <c r="N99" i="115"/>
  <c r="O99" i="115"/>
  <c r="E100" i="115"/>
  <c r="G100" i="115"/>
  <c r="L100" i="115"/>
  <c r="N100" i="115"/>
  <c r="O100" i="115"/>
  <c r="E101" i="115"/>
  <c r="G101" i="115"/>
  <c r="L101" i="115"/>
  <c r="N101" i="115"/>
  <c r="O101" i="115"/>
  <c r="E102" i="115"/>
  <c r="G102" i="115"/>
  <c r="L102" i="115"/>
  <c r="N102" i="115"/>
  <c r="O102" i="115"/>
  <c r="E103" i="115"/>
  <c r="G103" i="115"/>
  <c r="L103" i="115"/>
  <c r="N103" i="115"/>
  <c r="O103" i="115"/>
  <c r="E104" i="115"/>
  <c r="G104" i="115"/>
  <c r="L104" i="115"/>
  <c r="N104" i="115"/>
  <c r="O104" i="115"/>
  <c r="E105" i="115"/>
  <c r="G105" i="115"/>
  <c r="L105" i="115"/>
  <c r="N105" i="115"/>
  <c r="O105" i="115"/>
  <c r="E106" i="115"/>
  <c r="G106" i="115"/>
  <c r="L106" i="115"/>
  <c r="N106" i="115"/>
  <c r="O106" i="115"/>
  <c r="E107" i="115"/>
  <c r="G107" i="115"/>
  <c r="L107" i="115"/>
  <c r="N107" i="115"/>
  <c r="O107" i="115"/>
  <c r="E108" i="115"/>
  <c r="G108" i="115"/>
  <c r="L108" i="115"/>
  <c r="N108" i="115"/>
  <c r="O108" i="115"/>
  <c r="E109" i="115"/>
  <c r="G109" i="115"/>
  <c r="L109" i="115"/>
  <c r="N109" i="115"/>
  <c r="O109" i="115"/>
  <c r="E110" i="115"/>
  <c r="G110" i="115"/>
  <c r="L110" i="115"/>
  <c r="N110" i="115"/>
  <c r="O110" i="115"/>
  <c r="E111" i="115"/>
  <c r="G111" i="115"/>
  <c r="L111" i="115"/>
  <c r="N111" i="115"/>
  <c r="O111" i="115"/>
  <c r="E112" i="115"/>
  <c r="G112" i="115"/>
  <c r="L112" i="115"/>
  <c r="N112" i="115"/>
  <c r="O112" i="115"/>
  <c r="E113" i="115"/>
  <c r="G113" i="115"/>
  <c r="L113" i="115"/>
  <c r="N113" i="115"/>
  <c r="O113" i="115"/>
  <c r="E114" i="115"/>
  <c r="G114" i="115"/>
  <c r="L114" i="115"/>
  <c r="N114" i="115"/>
  <c r="O114" i="115"/>
  <c r="E115" i="115"/>
  <c r="G115" i="115"/>
  <c r="L115" i="115"/>
  <c r="N115" i="115"/>
  <c r="O115" i="115"/>
  <c r="E116" i="115"/>
  <c r="G116" i="115"/>
  <c r="L116" i="115"/>
  <c r="N116" i="115"/>
  <c r="O116" i="115"/>
  <c r="E117" i="115"/>
  <c r="G117" i="115"/>
  <c r="L117" i="115"/>
  <c r="N117" i="115"/>
  <c r="O117" i="115"/>
  <c r="E118" i="115"/>
  <c r="G118" i="115"/>
  <c r="L118" i="115"/>
  <c r="N118" i="115"/>
  <c r="O118" i="115"/>
  <c r="E119" i="115"/>
  <c r="G119" i="115"/>
  <c r="L119" i="115"/>
  <c r="N119" i="115"/>
  <c r="O119" i="115"/>
  <c r="E120" i="115"/>
  <c r="G120" i="115"/>
  <c r="L120" i="115"/>
  <c r="N120" i="115"/>
  <c r="O120" i="115"/>
  <c r="E121" i="115"/>
  <c r="G121" i="115"/>
  <c r="L121" i="115"/>
  <c r="N121" i="115"/>
  <c r="O121" i="115"/>
  <c r="E122" i="115"/>
  <c r="G122" i="115"/>
  <c r="L122" i="115"/>
  <c r="N122" i="115"/>
  <c r="O122" i="115"/>
  <c r="E123" i="115"/>
  <c r="G123" i="115"/>
  <c r="L123" i="115"/>
  <c r="N123" i="115"/>
  <c r="O123" i="115"/>
  <c r="E124" i="115"/>
  <c r="G124" i="115"/>
  <c r="L124" i="115"/>
  <c r="N124" i="115"/>
  <c r="O124" i="115"/>
  <c r="E125" i="115"/>
  <c r="G125" i="115"/>
  <c r="L125" i="115"/>
  <c r="N125" i="115"/>
  <c r="O125" i="115"/>
  <c r="E126" i="115"/>
  <c r="G126" i="115"/>
  <c r="L126" i="115"/>
  <c r="N126" i="115"/>
  <c r="O126" i="115"/>
  <c r="E127" i="115"/>
  <c r="G127" i="115"/>
  <c r="L127" i="115"/>
  <c r="N127" i="115"/>
  <c r="O127" i="115"/>
  <c r="E128" i="115"/>
  <c r="G128" i="115"/>
  <c r="L128" i="115"/>
  <c r="N128" i="115"/>
  <c r="O128" i="115"/>
  <c r="E129" i="115"/>
  <c r="G129" i="115"/>
  <c r="L129" i="115"/>
  <c r="N129" i="115"/>
  <c r="O129" i="115"/>
  <c r="E130" i="115"/>
  <c r="G130" i="115"/>
  <c r="L130" i="115"/>
  <c r="N130" i="115"/>
  <c r="O130" i="115"/>
  <c r="E131" i="115"/>
  <c r="G131" i="115"/>
  <c r="L131" i="115"/>
  <c r="N131" i="115"/>
  <c r="O131" i="115"/>
  <c r="E132" i="115"/>
  <c r="G132" i="115"/>
  <c r="L132" i="115"/>
  <c r="N132" i="115"/>
  <c r="O132" i="115"/>
  <c r="E133" i="115"/>
  <c r="G133" i="115"/>
  <c r="L133" i="115"/>
  <c r="N133" i="115"/>
  <c r="O133" i="115"/>
  <c r="E134" i="115"/>
  <c r="G134" i="115"/>
  <c r="L134" i="115"/>
  <c r="N134" i="115"/>
  <c r="O134" i="115"/>
  <c r="E135" i="115"/>
  <c r="G135" i="115"/>
  <c r="L135" i="115"/>
  <c r="N135" i="115"/>
  <c r="O135" i="115"/>
  <c r="E136" i="115"/>
  <c r="G136" i="115"/>
  <c r="L136" i="115"/>
  <c r="N136" i="115"/>
  <c r="O136" i="115"/>
  <c r="E137" i="115"/>
  <c r="G137" i="115"/>
  <c r="L137" i="115"/>
  <c r="N137" i="115"/>
  <c r="O137" i="115"/>
  <c r="E138" i="115"/>
  <c r="G138" i="115"/>
  <c r="L138" i="115"/>
  <c r="N138" i="115"/>
  <c r="O138" i="115"/>
  <c r="E139" i="115"/>
  <c r="G139" i="115"/>
  <c r="L139" i="115"/>
  <c r="N139" i="115"/>
  <c r="O139" i="115"/>
  <c r="E140" i="115"/>
  <c r="G140" i="115"/>
  <c r="L140" i="115"/>
  <c r="N140" i="115"/>
  <c r="O140" i="115"/>
  <c r="E141" i="115"/>
  <c r="G141" i="115"/>
  <c r="L141" i="115"/>
  <c r="N141" i="115"/>
  <c r="O141" i="115"/>
  <c r="E142" i="115"/>
  <c r="G142" i="115"/>
  <c r="L142" i="115"/>
  <c r="N142" i="115"/>
  <c r="O142" i="115"/>
  <c r="E143" i="115"/>
  <c r="G143" i="115"/>
  <c r="L143" i="115"/>
  <c r="N143" i="115"/>
  <c r="O143" i="115"/>
  <c r="E144" i="115"/>
  <c r="G144" i="115"/>
  <c r="L144" i="115"/>
  <c r="N144" i="115"/>
  <c r="O144" i="115"/>
  <c r="E145" i="115"/>
  <c r="G145" i="115"/>
  <c r="L145" i="115"/>
  <c r="N145" i="115"/>
  <c r="O145" i="115"/>
  <c r="E146" i="115"/>
  <c r="G146" i="115"/>
  <c r="L146" i="115"/>
  <c r="N146" i="115"/>
  <c r="O146" i="115"/>
  <c r="E147" i="115"/>
  <c r="G147" i="115"/>
  <c r="L147" i="115"/>
  <c r="N147" i="115"/>
  <c r="O147" i="115"/>
  <c r="E148" i="115"/>
  <c r="G148" i="115"/>
  <c r="L148" i="115"/>
  <c r="N148" i="115"/>
  <c r="O148" i="115"/>
  <c r="E149" i="115"/>
  <c r="G149" i="115"/>
  <c r="L149" i="115"/>
  <c r="N149" i="115"/>
  <c r="O149" i="115"/>
  <c r="E150" i="115"/>
  <c r="G150" i="115"/>
  <c r="L150" i="115"/>
  <c r="N150" i="115"/>
  <c r="O150" i="115"/>
  <c r="E151" i="115"/>
  <c r="G151" i="115"/>
  <c r="L151" i="115"/>
  <c r="N151" i="115"/>
  <c r="O151" i="115"/>
  <c r="E152" i="115"/>
  <c r="G152" i="115"/>
  <c r="L152" i="115"/>
  <c r="N152" i="115"/>
  <c r="O152" i="115"/>
  <c r="E153" i="115"/>
  <c r="G153" i="115"/>
  <c r="L153" i="115"/>
  <c r="N153" i="115"/>
  <c r="O153" i="115"/>
  <c r="E154" i="115"/>
  <c r="G154" i="115"/>
  <c r="L154" i="115"/>
  <c r="N154" i="115"/>
  <c r="O154" i="115"/>
  <c r="E155" i="115"/>
  <c r="G155" i="115"/>
  <c r="L155" i="115"/>
  <c r="N155" i="115"/>
  <c r="O155" i="115"/>
  <c r="E156" i="115"/>
  <c r="G156" i="115"/>
  <c r="L156" i="115"/>
  <c r="N156" i="115"/>
  <c r="O156" i="115"/>
  <c r="E157" i="115"/>
  <c r="G157" i="115"/>
  <c r="L157" i="115"/>
  <c r="N157" i="115"/>
  <c r="O157" i="115"/>
  <c r="E158" i="115"/>
  <c r="G158" i="115"/>
  <c r="L158" i="115"/>
  <c r="N158" i="115"/>
  <c r="O158" i="115"/>
  <c r="E159" i="115"/>
  <c r="G159" i="115"/>
  <c r="L159" i="115"/>
  <c r="N159" i="115"/>
  <c r="O159" i="115"/>
  <c r="E160" i="115"/>
  <c r="G160" i="115"/>
  <c r="L160" i="115"/>
  <c r="N160" i="115"/>
  <c r="O160" i="115"/>
  <c r="E161" i="115"/>
  <c r="G161" i="115"/>
  <c r="L161" i="115"/>
  <c r="N161" i="115"/>
  <c r="O161" i="115"/>
  <c r="E162" i="115"/>
  <c r="G162" i="115"/>
  <c r="L162" i="115"/>
  <c r="N162" i="115"/>
  <c r="O162" i="115"/>
  <c r="E163" i="115"/>
  <c r="G163" i="115"/>
  <c r="L163" i="115"/>
  <c r="N163" i="115"/>
  <c r="O163" i="115"/>
  <c r="E164" i="115"/>
  <c r="G164" i="115"/>
  <c r="L164" i="115"/>
  <c r="N164" i="115"/>
  <c r="O164" i="115"/>
  <c r="E165" i="115"/>
  <c r="G165" i="115"/>
  <c r="L165" i="115"/>
  <c r="N165" i="115"/>
  <c r="O165" i="115"/>
  <c r="E166" i="115"/>
  <c r="G166" i="115"/>
  <c r="L166" i="115"/>
  <c r="N166" i="115"/>
  <c r="O166" i="115"/>
  <c r="E167" i="115"/>
  <c r="G167" i="115"/>
  <c r="L167" i="115"/>
  <c r="N167" i="115"/>
  <c r="O167" i="115"/>
  <c r="E168" i="115"/>
  <c r="G168" i="115"/>
  <c r="L168" i="115"/>
  <c r="N168" i="115"/>
  <c r="O168" i="115"/>
  <c r="E169" i="115"/>
  <c r="G169" i="115"/>
  <c r="L169" i="115"/>
  <c r="N169" i="115"/>
  <c r="O169" i="115"/>
  <c r="E170" i="115"/>
  <c r="G170" i="115"/>
  <c r="L170" i="115"/>
  <c r="N170" i="115"/>
  <c r="O170" i="115"/>
  <c r="E171" i="115"/>
  <c r="G171" i="115"/>
  <c r="L171" i="115"/>
  <c r="N171" i="115"/>
  <c r="O171" i="115"/>
  <c r="E172" i="115"/>
  <c r="G172" i="115"/>
  <c r="L172" i="115"/>
  <c r="N172" i="115"/>
  <c r="O172" i="115"/>
  <c r="E173" i="115"/>
  <c r="G173" i="115"/>
  <c r="L173" i="115"/>
  <c r="N173" i="115"/>
  <c r="O173" i="115"/>
  <c r="E174" i="115"/>
  <c r="G174" i="115"/>
  <c r="L174" i="115"/>
  <c r="N174" i="115"/>
  <c r="O174" i="115"/>
  <c r="E175" i="115"/>
  <c r="G175" i="115"/>
  <c r="L175" i="115"/>
  <c r="N175" i="115"/>
  <c r="O175" i="115"/>
  <c r="E176" i="115"/>
  <c r="G176" i="115"/>
  <c r="L176" i="115"/>
  <c r="N176" i="115"/>
  <c r="O176" i="115"/>
  <c r="E177" i="115"/>
  <c r="G177" i="115"/>
  <c r="L177" i="115"/>
  <c r="N177" i="115"/>
  <c r="O177" i="115"/>
  <c r="E178" i="115"/>
  <c r="G178" i="115"/>
  <c r="L178" i="115"/>
  <c r="N178" i="115"/>
  <c r="O178" i="115"/>
  <c r="E179" i="115"/>
  <c r="G179" i="115"/>
  <c r="L179" i="115"/>
  <c r="N179" i="115"/>
  <c r="O179" i="115"/>
  <c r="E180" i="115"/>
  <c r="G180" i="115"/>
  <c r="L180" i="115"/>
  <c r="N180" i="115"/>
  <c r="O180" i="115"/>
  <c r="E181" i="115"/>
  <c r="G181" i="115"/>
  <c r="L181" i="115"/>
  <c r="N181" i="115"/>
  <c r="O181" i="115"/>
  <c r="E182" i="115"/>
  <c r="G182" i="115"/>
  <c r="L182" i="115"/>
  <c r="N182" i="115"/>
  <c r="O182" i="115"/>
  <c r="E183" i="115"/>
  <c r="G183" i="115"/>
  <c r="L183" i="115"/>
  <c r="N183" i="115"/>
  <c r="O183" i="115"/>
  <c r="E184" i="115"/>
  <c r="G184" i="115"/>
  <c r="L184" i="115"/>
  <c r="N184" i="115"/>
  <c r="O184" i="115"/>
  <c r="E185" i="115"/>
  <c r="G185" i="115"/>
  <c r="L185" i="115"/>
  <c r="N185" i="115"/>
  <c r="O185" i="115"/>
  <c r="E186" i="115"/>
  <c r="G186" i="115"/>
  <c r="L186" i="115"/>
  <c r="N186" i="115"/>
  <c r="O186" i="115"/>
  <c r="E187" i="115"/>
  <c r="G187" i="115"/>
  <c r="L187" i="115"/>
  <c r="N187" i="115"/>
  <c r="O187" i="115"/>
  <c r="E188" i="115"/>
  <c r="G188" i="115"/>
  <c r="L188" i="115"/>
  <c r="N188" i="115"/>
  <c r="O188" i="115"/>
  <c r="E189" i="115"/>
  <c r="G189" i="115"/>
  <c r="L189" i="115"/>
  <c r="N189" i="115"/>
  <c r="O189" i="115"/>
  <c r="E190" i="115"/>
  <c r="G190" i="115"/>
  <c r="L190" i="115"/>
  <c r="N190" i="115"/>
  <c r="O190" i="115"/>
  <c r="E191" i="115"/>
  <c r="G191" i="115"/>
  <c r="L191" i="115"/>
  <c r="N191" i="115"/>
  <c r="O191" i="115"/>
  <c r="E192" i="115"/>
  <c r="G192" i="115"/>
  <c r="L192" i="115"/>
  <c r="N192" i="115"/>
  <c r="O192" i="115"/>
  <c r="E193" i="115"/>
  <c r="G193" i="115"/>
  <c r="L193" i="115"/>
  <c r="N193" i="115"/>
  <c r="O193" i="115"/>
  <c r="E194" i="115"/>
  <c r="G194" i="115"/>
  <c r="L194" i="115"/>
  <c r="N194" i="115"/>
  <c r="O194" i="115"/>
  <c r="E195" i="115"/>
  <c r="G195" i="115"/>
  <c r="L195" i="115"/>
  <c r="N195" i="115"/>
  <c r="O195" i="115"/>
  <c r="E196" i="115"/>
  <c r="G196" i="115"/>
  <c r="L196" i="115"/>
  <c r="N196" i="115"/>
  <c r="O196" i="115"/>
  <c r="E197" i="115"/>
  <c r="G197" i="115"/>
  <c r="L197" i="115"/>
  <c r="N197" i="115"/>
  <c r="O197" i="115"/>
  <c r="E198" i="115"/>
  <c r="G198" i="115"/>
  <c r="L198" i="115"/>
  <c r="N198" i="115"/>
  <c r="O198" i="115"/>
  <c r="E199" i="115"/>
  <c r="G199" i="115"/>
  <c r="L199" i="115"/>
  <c r="N199" i="115"/>
  <c r="O199" i="115"/>
  <c r="E200" i="115"/>
  <c r="G200" i="115"/>
  <c r="L200" i="115"/>
  <c r="N200" i="115"/>
  <c r="O200" i="115"/>
  <c r="E201" i="115"/>
  <c r="G201" i="115"/>
  <c r="L201" i="115"/>
  <c r="N201" i="115"/>
  <c r="O201" i="115"/>
  <c r="E202" i="115"/>
  <c r="G202" i="115"/>
  <c r="L202" i="115"/>
  <c r="N202" i="115"/>
  <c r="O202" i="115"/>
  <c r="E203" i="115"/>
  <c r="G203" i="115"/>
  <c r="L203" i="115"/>
  <c r="N203" i="115"/>
  <c r="O203" i="115"/>
  <c r="E204" i="115"/>
  <c r="G204" i="115"/>
  <c r="L204" i="115"/>
  <c r="N204" i="115"/>
  <c r="O204" i="115"/>
  <c r="E205" i="115"/>
  <c r="G205" i="115"/>
  <c r="L205" i="115"/>
  <c r="N205" i="115"/>
  <c r="O205" i="115"/>
  <c r="E206" i="115"/>
  <c r="G206" i="115"/>
  <c r="L206" i="115"/>
  <c r="N206" i="115"/>
  <c r="O206" i="115"/>
  <c r="E207" i="115"/>
  <c r="G207" i="115"/>
  <c r="L207" i="115"/>
  <c r="N207" i="115"/>
  <c r="O207" i="115"/>
  <c r="E208" i="115"/>
  <c r="G208" i="115"/>
  <c r="L208" i="115"/>
  <c r="N208" i="115"/>
  <c r="O208" i="115"/>
  <c r="E209" i="115"/>
  <c r="G209" i="115"/>
  <c r="L209" i="115"/>
  <c r="N209" i="115"/>
  <c r="O209" i="115"/>
  <c r="E210" i="115"/>
  <c r="G210" i="115"/>
  <c r="L210" i="115"/>
  <c r="N210" i="115"/>
  <c r="O210" i="115"/>
  <c r="E211" i="115"/>
  <c r="G211" i="115"/>
  <c r="L211" i="115"/>
  <c r="N211" i="115"/>
  <c r="O211" i="115"/>
  <c r="E212" i="115"/>
  <c r="G212" i="115"/>
  <c r="L212" i="115"/>
  <c r="N212" i="115"/>
  <c r="O212" i="115"/>
  <c r="E213" i="115"/>
  <c r="G213" i="115"/>
  <c r="L213" i="115"/>
  <c r="N213" i="115"/>
  <c r="O213" i="115"/>
  <c r="E214" i="115"/>
  <c r="G214" i="115"/>
  <c r="L214" i="115"/>
  <c r="N214" i="115"/>
  <c r="O214" i="115"/>
  <c r="E215" i="115"/>
  <c r="G215" i="115"/>
  <c r="L215" i="115"/>
  <c r="N215" i="115"/>
  <c r="O215" i="115"/>
  <c r="E216" i="115"/>
  <c r="G216" i="115"/>
  <c r="L216" i="115"/>
  <c r="N216" i="115"/>
  <c r="O216" i="115"/>
  <c r="E217" i="115"/>
  <c r="G217" i="115"/>
  <c r="L217" i="115"/>
  <c r="N217" i="115"/>
  <c r="O217" i="115"/>
  <c r="E218" i="115"/>
  <c r="G218" i="115"/>
  <c r="L218" i="115"/>
  <c r="N218" i="115"/>
  <c r="O218" i="115"/>
  <c r="E219" i="115"/>
  <c r="G219" i="115"/>
  <c r="L219" i="115"/>
  <c r="N219" i="115"/>
  <c r="O219" i="115"/>
  <c r="E220" i="115"/>
  <c r="G220" i="115"/>
  <c r="L220" i="115"/>
  <c r="N220" i="115"/>
  <c r="O220" i="115"/>
  <c r="E221" i="115"/>
  <c r="G221" i="115"/>
  <c r="L221" i="115"/>
  <c r="N221" i="115"/>
  <c r="O221" i="115"/>
  <c r="E222" i="115"/>
  <c r="G222" i="115"/>
  <c r="L222" i="115"/>
  <c r="N222" i="115"/>
  <c r="O222" i="115"/>
  <c r="E223" i="115"/>
  <c r="G223" i="115"/>
  <c r="L223" i="115"/>
  <c r="N223" i="115"/>
  <c r="O223" i="115"/>
  <c r="E224" i="115"/>
  <c r="G224" i="115"/>
  <c r="L224" i="115"/>
  <c r="N224" i="115"/>
  <c r="O224" i="115"/>
  <c r="E225" i="115"/>
  <c r="G225" i="115"/>
  <c r="L225" i="115"/>
  <c r="N225" i="115"/>
  <c r="O225" i="115"/>
  <c r="E226" i="115"/>
  <c r="G226" i="115"/>
  <c r="L226" i="115"/>
  <c r="N226" i="115"/>
  <c r="O226" i="115"/>
  <c r="E227" i="115"/>
  <c r="G227" i="115"/>
  <c r="L227" i="115"/>
  <c r="N227" i="115"/>
  <c r="O227" i="115"/>
  <c r="E228" i="115"/>
  <c r="G228" i="115"/>
  <c r="L228" i="115"/>
  <c r="N228" i="115"/>
  <c r="O228" i="115"/>
  <c r="E229" i="115"/>
  <c r="G229" i="115"/>
  <c r="L229" i="115"/>
  <c r="N229" i="115"/>
  <c r="O229" i="115"/>
  <c r="E230" i="115"/>
  <c r="G230" i="115"/>
  <c r="L230" i="115"/>
  <c r="N230" i="115"/>
  <c r="O230" i="115"/>
  <c r="E231" i="115"/>
  <c r="G231" i="115"/>
  <c r="L231" i="115"/>
  <c r="N231" i="115"/>
  <c r="O231" i="115"/>
  <c r="E232" i="115"/>
  <c r="G232" i="115"/>
  <c r="L232" i="115"/>
  <c r="N232" i="115"/>
  <c r="O232" i="115"/>
  <c r="E233" i="115"/>
  <c r="G233" i="115"/>
  <c r="L233" i="115"/>
  <c r="N233" i="115"/>
  <c r="O233" i="115"/>
  <c r="E234" i="115"/>
  <c r="G234" i="115"/>
  <c r="L234" i="115"/>
  <c r="N234" i="115"/>
  <c r="O234" i="115"/>
  <c r="E235" i="115"/>
  <c r="G235" i="115"/>
  <c r="L235" i="115"/>
  <c r="N235" i="115"/>
  <c r="O235" i="115"/>
  <c r="E236" i="115"/>
  <c r="G236" i="115"/>
  <c r="L236" i="115"/>
  <c r="N236" i="115"/>
  <c r="O236" i="115"/>
  <c r="E237" i="115"/>
  <c r="G237" i="115"/>
  <c r="L237" i="115"/>
  <c r="N237" i="115"/>
  <c r="O237" i="115"/>
  <c r="E238" i="115"/>
  <c r="G238" i="115"/>
  <c r="L238" i="115"/>
  <c r="N238" i="115"/>
  <c r="O238" i="115"/>
  <c r="E239" i="115"/>
  <c r="G239" i="115"/>
  <c r="L239" i="115"/>
  <c r="N239" i="115"/>
  <c r="O239" i="115"/>
  <c r="E240" i="115"/>
  <c r="G240" i="115"/>
  <c r="L240" i="115"/>
  <c r="N240" i="115"/>
  <c r="O240" i="115"/>
  <c r="E241" i="115"/>
  <c r="G241" i="115"/>
  <c r="L241" i="115"/>
  <c r="N241" i="115"/>
  <c r="O241" i="115"/>
  <c r="E242" i="115"/>
  <c r="G242" i="115"/>
  <c r="L242" i="115"/>
  <c r="N242" i="115"/>
  <c r="O242" i="115"/>
  <c r="E243" i="115"/>
  <c r="G243" i="115"/>
  <c r="L243" i="115"/>
  <c r="N243" i="115"/>
  <c r="O243" i="115"/>
  <c r="E244" i="115"/>
  <c r="G244" i="115"/>
  <c r="L244" i="115"/>
  <c r="N244" i="115"/>
  <c r="O244" i="115"/>
  <c r="E245" i="115"/>
  <c r="G245" i="115"/>
  <c r="L245" i="115"/>
  <c r="N245" i="115"/>
  <c r="O245" i="115"/>
  <c r="E246" i="115"/>
  <c r="G246" i="115"/>
  <c r="L246" i="115"/>
  <c r="N246" i="115"/>
  <c r="O246" i="115"/>
  <c r="E247" i="115"/>
  <c r="G247" i="115"/>
  <c r="L247" i="115"/>
  <c r="N247" i="115"/>
  <c r="O247" i="115"/>
  <c r="E248" i="115"/>
  <c r="G248" i="115"/>
  <c r="L248" i="115"/>
  <c r="N248" i="115"/>
  <c r="O248" i="115"/>
  <c r="E249" i="115"/>
  <c r="G249" i="115"/>
  <c r="L249" i="115"/>
  <c r="N249" i="115"/>
  <c r="O249" i="115"/>
  <c r="E250" i="115"/>
  <c r="G250" i="115"/>
  <c r="L250" i="115"/>
  <c r="N250" i="115"/>
  <c r="O250" i="115"/>
  <c r="E251" i="115"/>
  <c r="G251" i="115"/>
  <c r="L251" i="115"/>
  <c r="N251" i="115"/>
  <c r="O251" i="115"/>
  <c r="E252" i="115"/>
  <c r="G252" i="115"/>
  <c r="L252" i="115"/>
  <c r="N252" i="115"/>
  <c r="O252" i="115"/>
  <c r="E253" i="115"/>
  <c r="G253" i="115"/>
  <c r="L253" i="115"/>
  <c r="N253" i="115"/>
  <c r="O253" i="115"/>
  <c r="E254" i="115"/>
  <c r="G254" i="115"/>
  <c r="L254" i="115"/>
  <c r="N254" i="115"/>
  <c r="O254" i="115"/>
  <c r="E255" i="115"/>
  <c r="G255" i="115"/>
  <c r="L255" i="115"/>
  <c r="N255" i="115"/>
  <c r="O255" i="115"/>
  <c r="E256" i="115"/>
  <c r="G256" i="115"/>
  <c r="L256" i="115"/>
  <c r="N256" i="115"/>
  <c r="O256" i="115"/>
  <c r="E257" i="115"/>
  <c r="G257" i="115"/>
  <c r="L257" i="115"/>
  <c r="N257" i="115"/>
  <c r="O257" i="115"/>
  <c r="E258" i="115"/>
  <c r="G258" i="115"/>
  <c r="L258" i="115"/>
  <c r="N258" i="115"/>
  <c r="O258" i="115"/>
  <c r="E259" i="115"/>
  <c r="G259" i="115"/>
  <c r="L259" i="115"/>
  <c r="N259" i="115"/>
  <c r="O259" i="115"/>
  <c r="E260" i="115"/>
  <c r="G260" i="115"/>
  <c r="L260" i="115"/>
  <c r="N260" i="115"/>
  <c r="O260" i="115"/>
  <c r="E261" i="115"/>
  <c r="G261" i="115"/>
  <c r="L261" i="115"/>
  <c r="N261" i="115"/>
  <c r="O261" i="115"/>
  <c r="E262" i="115"/>
  <c r="G262" i="115"/>
  <c r="L262" i="115"/>
  <c r="N262" i="115"/>
  <c r="O262" i="115"/>
  <c r="E263" i="115"/>
  <c r="G263" i="115"/>
  <c r="L263" i="115"/>
  <c r="N263" i="115"/>
  <c r="O263" i="115"/>
  <c r="E264" i="115"/>
  <c r="G264" i="115"/>
  <c r="L264" i="115"/>
  <c r="N264" i="115"/>
  <c r="O264" i="115"/>
  <c r="E265" i="115"/>
  <c r="G265" i="115"/>
  <c r="L265" i="115"/>
  <c r="N265" i="115"/>
  <c r="O265" i="115"/>
  <c r="E266" i="115"/>
  <c r="G266" i="115"/>
  <c r="L266" i="115"/>
  <c r="N266" i="115"/>
  <c r="O266" i="115"/>
  <c r="E267" i="115"/>
  <c r="G267" i="115"/>
  <c r="L267" i="115"/>
  <c r="N267" i="115"/>
  <c r="O267" i="115"/>
  <c r="E268" i="115"/>
  <c r="G268" i="115"/>
  <c r="L268" i="115"/>
  <c r="N268" i="115"/>
  <c r="O268" i="115"/>
  <c r="E269" i="115"/>
  <c r="G269" i="115"/>
  <c r="L269" i="115"/>
  <c r="N269" i="115"/>
  <c r="O269" i="115"/>
  <c r="E270" i="115"/>
  <c r="G270" i="115"/>
  <c r="L270" i="115"/>
  <c r="N270" i="115"/>
  <c r="O270" i="115"/>
  <c r="E271" i="115"/>
  <c r="G271" i="115"/>
  <c r="L271" i="115"/>
  <c r="N271" i="115"/>
  <c r="O271" i="115"/>
  <c r="E272" i="115"/>
  <c r="G272" i="115"/>
  <c r="L272" i="115"/>
  <c r="N272" i="115"/>
  <c r="O272" i="115"/>
  <c r="E273" i="115"/>
  <c r="G273" i="115"/>
  <c r="L273" i="115"/>
  <c r="N273" i="115"/>
  <c r="O273" i="115"/>
  <c r="E274" i="115"/>
  <c r="G274" i="115"/>
  <c r="L274" i="115"/>
  <c r="N274" i="115"/>
  <c r="O274" i="115"/>
  <c r="E275" i="115"/>
  <c r="G275" i="115"/>
  <c r="L275" i="115"/>
  <c r="N275" i="115"/>
  <c r="O275" i="115"/>
  <c r="E276" i="115"/>
  <c r="G276" i="115"/>
  <c r="L276" i="115"/>
  <c r="N276" i="115"/>
  <c r="O276" i="115"/>
  <c r="E277" i="115"/>
  <c r="G277" i="115"/>
  <c r="L277" i="115"/>
  <c r="N277" i="115"/>
  <c r="O277" i="115"/>
  <c r="E278" i="115"/>
  <c r="G278" i="115"/>
  <c r="L278" i="115"/>
  <c r="N278" i="115"/>
  <c r="O278" i="115"/>
  <c r="E279" i="115"/>
  <c r="G279" i="115"/>
  <c r="L279" i="115"/>
  <c r="N279" i="115"/>
  <c r="O279" i="115"/>
  <c r="E280" i="115"/>
  <c r="G280" i="115"/>
  <c r="L280" i="115"/>
  <c r="N280" i="115"/>
  <c r="O280" i="115"/>
  <c r="E281" i="115"/>
  <c r="G281" i="115"/>
  <c r="L281" i="115"/>
  <c r="N281" i="115"/>
  <c r="O281" i="115"/>
  <c r="E282" i="115"/>
  <c r="G282" i="115"/>
  <c r="L282" i="115"/>
  <c r="N282" i="115"/>
  <c r="O282" i="115"/>
  <c r="E283" i="115"/>
  <c r="G283" i="115"/>
  <c r="L283" i="115"/>
  <c r="N283" i="115"/>
  <c r="O283" i="115"/>
  <c r="E284" i="115"/>
  <c r="G284" i="115"/>
  <c r="L284" i="115"/>
  <c r="N284" i="115"/>
  <c r="O284" i="115"/>
  <c r="E285" i="115"/>
  <c r="G285" i="115"/>
  <c r="L285" i="115"/>
  <c r="N285" i="115"/>
  <c r="O285" i="115"/>
  <c r="E286" i="115"/>
  <c r="G286" i="115"/>
  <c r="L286" i="115"/>
  <c r="N286" i="115"/>
  <c r="O286" i="115"/>
  <c r="E287" i="115"/>
  <c r="G287" i="115"/>
  <c r="L287" i="115"/>
  <c r="N287" i="115"/>
  <c r="O287" i="115"/>
  <c r="E288" i="115"/>
  <c r="G288" i="115"/>
  <c r="L288" i="115"/>
  <c r="N288" i="115"/>
  <c r="O288" i="115"/>
  <c r="E289" i="115"/>
  <c r="G289" i="115"/>
  <c r="L289" i="115"/>
  <c r="N289" i="115"/>
  <c r="O289" i="115"/>
  <c r="E290" i="115"/>
  <c r="G290" i="115"/>
  <c r="L290" i="115"/>
  <c r="N290" i="115"/>
  <c r="O290" i="115"/>
  <c r="E291" i="115"/>
  <c r="G291" i="115"/>
  <c r="L291" i="115"/>
  <c r="N291" i="115"/>
  <c r="O291" i="115"/>
  <c r="E292" i="115"/>
  <c r="G292" i="115"/>
  <c r="L292" i="115"/>
  <c r="N292" i="115"/>
  <c r="O292" i="115"/>
  <c r="E293" i="115"/>
  <c r="G293" i="115"/>
  <c r="L293" i="115"/>
  <c r="N293" i="115"/>
  <c r="O293" i="115"/>
  <c r="E294" i="115"/>
  <c r="G294" i="115"/>
  <c r="L294" i="115"/>
  <c r="N294" i="115"/>
  <c r="O294" i="115"/>
  <c r="E295" i="115"/>
  <c r="G295" i="115"/>
  <c r="L295" i="115"/>
  <c r="N295" i="115"/>
  <c r="O295" i="115"/>
  <c r="E296" i="115"/>
  <c r="G296" i="115"/>
  <c r="L296" i="115"/>
  <c r="N296" i="115"/>
  <c r="O296" i="115"/>
  <c r="E297" i="115"/>
  <c r="G297" i="115"/>
  <c r="L297" i="115"/>
  <c r="N297" i="115"/>
  <c r="O297" i="115"/>
  <c r="E298" i="115"/>
  <c r="G298" i="115"/>
  <c r="L298" i="115"/>
  <c r="N298" i="115"/>
  <c r="O298" i="115"/>
  <c r="E299" i="115"/>
  <c r="G299" i="115"/>
  <c r="L299" i="115"/>
  <c r="N299" i="115"/>
  <c r="O299" i="115"/>
  <c r="E300" i="115"/>
  <c r="G300" i="115"/>
  <c r="L300" i="115"/>
  <c r="N300" i="115"/>
  <c r="O300" i="115"/>
  <c r="E301" i="115"/>
  <c r="G301" i="115"/>
  <c r="L301" i="115"/>
  <c r="N301" i="115"/>
  <c r="O301" i="115"/>
  <c r="E302" i="115"/>
  <c r="G302" i="115"/>
  <c r="L302" i="115"/>
  <c r="N302" i="115"/>
  <c r="O302" i="115"/>
  <c r="E303" i="115"/>
  <c r="G303" i="115"/>
  <c r="L303" i="115"/>
  <c r="N303" i="115"/>
  <c r="O303" i="115"/>
  <c r="E304" i="115"/>
  <c r="G304" i="115"/>
  <c r="L304" i="115"/>
  <c r="N304" i="115"/>
  <c r="O304" i="115"/>
  <c r="E305" i="115"/>
  <c r="G305" i="115"/>
  <c r="L305" i="115"/>
  <c r="N305" i="115"/>
  <c r="O305" i="115"/>
  <c r="E306" i="115"/>
  <c r="G306" i="115"/>
  <c r="L306" i="115"/>
  <c r="N306" i="115"/>
  <c r="O306" i="115"/>
  <c r="E307" i="115"/>
  <c r="G307" i="115"/>
  <c r="L307" i="115"/>
  <c r="N307" i="115"/>
  <c r="O307" i="115"/>
  <c r="E308" i="115"/>
  <c r="G308" i="115"/>
  <c r="L308" i="115"/>
  <c r="N308" i="115"/>
  <c r="O308" i="115"/>
  <c r="E309" i="115"/>
  <c r="G309" i="115"/>
  <c r="L309" i="115"/>
  <c r="N309" i="115"/>
  <c r="O309" i="115"/>
  <c r="E310" i="115"/>
  <c r="G310" i="115"/>
  <c r="L310" i="115"/>
  <c r="N310" i="115"/>
  <c r="O310" i="115"/>
  <c r="E311" i="115"/>
  <c r="G311" i="115"/>
  <c r="L311" i="115"/>
  <c r="N311" i="115"/>
  <c r="O311" i="115"/>
  <c r="E312" i="115"/>
  <c r="G312" i="115"/>
  <c r="L312" i="115"/>
  <c r="N312" i="115"/>
  <c r="O312" i="115"/>
  <c r="E313" i="115"/>
  <c r="G313" i="115"/>
  <c r="L313" i="115"/>
  <c r="N313" i="115"/>
  <c r="O313" i="115"/>
  <c r="E314" i="115"/>
  <c r="G314" i="115"/>
  <c r="L314" i="115"/>
  <c r="N314" i="115"/>
  <c r="O314" i="115"/>
  <c r="E315" i="115"/>
  <c r="G315" i="115"/>
  <c r="L315" i="115"/>
  <c r="N315" i="115"/>
  <c r="O315" i="115"/>
  <c r="E316" i="115"/>
  <c r="G316" i="115"/>
  <c r="L316" i="115"/>
  <c r="N316" i="115"/>
  <c r="O316" i="115"/>
  <c r="E317" i="115"/>
  <c r="G317" i="115"/>
  <c r="L317" i="115"/>
  <c r="N317" i="115"/>
  <c r="O317" i="115"/>
  <c r="E318" i="115"/>
  <c r="G318" i="115"/>
  <c r="L318" i="115"/>
  <c r="N318" i="115"/>
  <c r="O318" i="115"/>
  <c r="E319" i="115"/>
  <c r="G319" i="115"/>
  <c r="L319" i="115"/>
  <c r="N319" i="115"/>
  <c r="O319" i="115"/>
  <c r="E320" i="115"/>
  <c r="G320" i="115"/>
  <c r="L320" i="115"/>
  <c r="N320" i="115"/>
  <c r="O320" i="115"/>
  <c r="E321" i="115"/>
  <c r="G321" i="115"/>
  <c r="L321" i="115"/>
  <c r="N321" i="115"/>
  <c r="O321" i="115"/>
  <c r="E322" i="115"/>
  <c r="G322" i="115"/>
  <c r="L322" i="115"/>
  <c r="N322" i="115"/>
  <c r="O322" i="115"/>
  <c r="E323" i="115"/>
  <c r="G323" i="115"/>
  <c r="L323" i="115"/>
  <c r="N323" i="115"/>
  <c r="O323" i="115"/>
  <c r="E324" i="115"/>
  <c r="G324" i="115"/>
  <c r="L324" i="115"/>
  <c r="N324" i="115"/>
  <c r="O324" i="115"/>
  <c r="E325" i="115"/>
  <c r="G325" i="115"/>
  <c r="L325" i="115"/>
  <c r="N325" i="115"/>
  <c r="O325" i="115"/>
  <c r="E326" i="115"/>
  <c r="G326" i="115"/>
  <c r="L326" i="115"/>
  <c r="N326" i="115"/>
  <c r="O326" i="115"/>
  <c r="E327" i="115"/>
  <c r="G327" i="115"/>
  <c r="L327" i="115"/>
  <c r="N327" i="115"/>
  <c r="O327" i="115"/>
  <c r="E328" i="115"/>
  <c r="G328" i="115"/>
  <c r="L328" i="115"/>
  <c r="N328" i="115"/>
  <c r="O328" i="115"/>
  <c r="E329" i="115"/>
  <c r="G329" i="115"/>
  <c r="L329" i="115"/>
  <c r="N329" i="115"/>
  <c r="O329" i="115"/>
  <c r="E330" i="115"/>
  <c r="G330" i="115"/>
  <c r="L330" i="115"/>
  <c r="N330" i="115"/>
  <c r="O330" i="115"/>
  <c r="E331" i="115"/>
  <c r="G331" i="115"/>
  <c r="L331" i="115"/>
  <c r="N331" i="115"/>
  <c r="O331" i="115"/>
  <c r="E332" i="115"/>
  <c r="G332" i="115"/>
  <c r="L332" i="115"/>
  <c r="N332" i="115"/>
  <c r="O332" i="115"/>
  <c r="E333" i="115"/>
  <c r="G333" i="115"/>
  <c r="L333" i="115"/>
  <c r="N333" i="115"/>
  <c r="O333" i="115"/>
  <c r="E334" i="115"/>
  <c r="G334" i="115"/>
  <c r="L334" i="115"/>
  <c r="N334" i="115"/>
  <c r="O334" i="115"/>
  <c r="E335" i="115"/>
  <c r="G335" i="115"/>
  <c r="L335" i="115"/>
  <c r="N335" i="115"/>
  <c r="O335" i="115"/>
  <c r="E336" i="115"/>
  <c r="G336" i="115"/>
  <c r="L336" i="115"/>
  <c r="N336" i="115"/>
  <c r="O336" i="115"/>
  <c r="E337" i="115"/>
  <c r="G337" i="115"/>
  <c r="L337" i="115"/>
  <c r="N337" i="115"/>
  <c r="O337" i="115"/>
  <c r="E338" i="115"/>
  <c r="G338" i="115"/>
  <c r="L338" i="115"/>
  <c r="N338" i="115"/>
  <c r="O338" i="115"/>
  <c r="E339" i="115"/>
  <c r="G339" i="115"/>
  <c r="L339" i="115"/>
  <c r="N339" i="115"/>
  <c r="O339" i="115"/>
  <c r="E340" i="115"/>
  <c r="G340" i="115"/>
  <c r="L340" i="115"/>
  <c r="N340" i="115"/>
  <c r="O340" i="115"/>
  <c r="E341" i="115"/>
  <c r="G341" i="115"/>
  <c r="L341" i="115"/>
  <c r="N341" i="115"/>
  <c r="O341" i="115"/>
  <c r="E342" i="115"/>
  <c r="G342" i="115"/>
  <c r="L342" i="115"/>
  <c r="N342" i="115"/>
  <c r="O342" i="115"/>
  <c r="E343" i="115"/>
  <c r="G343" i="115"/>
  <c r="L343" i="115"/>
  <c r="N343" i="115"/>
  <c r="O343" i="115"/>
  <c r="E344" i="115"/>
  <c r="G344" i="115"/>
  <c r="L344" i="115"/>
  <c r="N344" i="115"/>
  <c r="O344" i="115"/>
  <c r="E345" i="115"/>
  <c r="G345" i="115"/>
  <c r="L345" i="115"/>
  <c r="N345" i="115"/>
  <c r="O345" i="115"/>
  <c r="E346" i="115"/>
  <c r="G346" i="115"/>
  <c r="L346" i="115"/>
  <c r="N346" i="115"/>
  <c r="O346" i="115"/>
  <c r="E347" i="115"/>
  <c r="G347" i="115"/>
  <c r="L347" i="115"/>
  <c r="N347" i="115"/>
  <c r="O347" i="115"/>
  <c r="E348" i="115"/>
  <c r="G348" i="115"/>
  <c r="L348" i="115"/>
  <c r="N348" i="115"/>
  <c r="O348" i="115"/>
  <c r="E349" i="115"/>
  <c r="G349" i="115"/>
  <c r="L349" i="115"/>
  <c r="N349" i="115"/>
  <c r="O349" i="115"/>
  <c r="E350" i="115"/>
  <c r="G350" i="115"/>
  <c r="L350" i="115"/>
  <c r="N350" i="115"/>
  <c r="O350" i="115"/>
  <c r="E351" i="115"/>
  <c r="G351" i="115"/>
  <c r="L351" i="115"/>
  <c r="N351" i="115"/>
  <c r="O351" i="115"/>
  <c r="E352" i="115"/>
  <c r="G352" i="115"/>
  <c r="L352" i="115"/>
  <c r="N352" i="115"/>
  <c r="O352" i="115"/>
  <c r="E353" i="115"/>
  <c r="G353" i="115"/>
  <c r="L353" i="115"/>
  <c r="N353" i="115"/>
  <c r="O353" i="115"/>
  <c r="E354" i="115"/>
  <c r="G354" i="115"/>
  <c r="L354" i="115"/>
  <c r="N354" i="115"/>
  <c r="O354" i="115"/>
  <c r="E355" i="115"/>
  <c r="G355" i="115"/>
  <c r="L355" i="115"/>
  <c r="N355" i="115"/>
  <c r="O355" i="115"/>
  <c r="E356" i="115"/>
  <c r="G356" i="115"/>
  <c r="L356" i="115"/>
  <c r="N356" i="115"/>
  <c r="O356" i="115"/>
  <c r="E357" i="115"/>
  <c r="G357" i="115"/>
  <c r="L357" i="115"/>
  <c r="N357" i="115"/>
  <c r="O357" i="115"/>
  <c r="E358" i="115"/>
  <c r="G358" i="115"/>
  <c r="L358" i="115"/>
  <c r="N358" i="115"/>
  <c r="O358" i="115"/>
  <c r="E359" i="115"/>
  <c r="G359" i="115"/>
  <c r="L359" i="115"/>
  <c r="N359" i="115"/>
  <c r="O359" i="115"/>
  <c r="E360" i="115"/>
  <c r="G360" i="115"/>
  <c r="L360" i="115"/>
  <c r="N360" i="115"/>
  <c r="O360" i="115"/>
  <c r="E361" i="115"/>
  <c r="G361" i="115"/>
  <c r="L361" i="115"/>
  <c r="N361" i="115"/>
  <c r="O361" i="115"/>
  <c r="E362" i="115"/>
  <c r="G362" i="115"/>
  <c r="L362" i="115"/>
  <c r="N362" i="115"/>
  <c r="O362" i="115"/>
  <c r="E363" i="115"/>
  <c r="G363" i="115"/>
  <c r="L363" i="115"/>
  <c r="N363" i="115"/>
  <c r="O363" i="115"/>
  <c r="E364" i="115"/>
  <c r="G364" i="115"/>
  <c r="L364" i="115"/>
  <c r="N364" i="115"/>
  <c r="O364" i="115"/>
  <c r="E365" i="115"/>
  <c r="G365" i="115"/>
  <c r="L365" i="115"/>
  <c r="N365" i="115"/>
  <c r="O365" i="115"/>
  <c r="E366" i="115"/>
  <c r="G366" i="115"/>
  <c r="L366" i="115"/>
  <c r="N366" i="115"/>
  <c r="O366" i="115"/>
  <c r="E367" i="115"/>
  <c r="G367" i="115"/>
  <c r="L367" i="115"/>
  <c r="N367" i="115"/>
  <c r="O367" i="115"/>
  <c r="E368" i="115"/>
  <c r="G368" i="115"/>
  <c r="L368" i="115"/>
  <c r="N368" i="115"/>
  <c r="O368" i="115"/>
  <c r="E369" i="115"/>
  <c r="G369" i="115"/>
  <c r="L369" i="115"/>
  <c r="N369" i="115"/>
  <c r="O369" i="115"/>
  <c r="E370" i="115"/>
  <c r="G370" i="115"/>
  <c r="L370" i="115"/>
  <c r="N370" i="115"/>
  <c r="O370" i="115"/>
  <c r="E371" i="115"/>
  <c r="G371" i="115"/>
  <c r="L371" i="115"/>
  <c r="N371" i="115"/>
  <c r="O371" i="115"/>
  <c r="E372" i="115"/>
  <c r="G372" i="115"/>
  <c r="L372" i="115"/>
  <c r="N372" i="115"/>
  <c r="O372" i="115"/>
  <c r="E373" i="115"/>
  <c r="G373" i="115"/>
  <c r="L373" i="115"/>
  <c r="N373" i="115"/>
  <c r="O373" i="115"/>
  <c r="E374" i="115"/>
  <c r="G374" i="115"/>
  <c r="L374" i="115"/>
  <c r="N374" i="115"/>
  <c r="O374" i="115"/>
  <c r="E375" i="115"/>
  <c r="G375" i="115"/>
  <c r="L375" i="115"/>
  <c r="N375" i="115"/>
  <c r="O375" i="115"/>
  <c r="E376" i="115"/>
  <c r="G376" i="115"/>
  <c r="L376" i="115"/>
  <c r="N376" i="115"/>
  <c r="O376" i="115"/>
  <c r="E377" i="115"/>
  <c r="G377" i="115"/>
  <c r="L377" i="115"/>
  <c r="N377" i="115"/>
  <c r="O377" i="115"/>
  <c r="E378" i="115"/>
  <c r="G378" i="115"/>
  <c r="L378" i="115"/>
  <c r="N378" i="115"/>
  <c r="O378" i="115"/>
  <c r="E379" i="115"/>
  <c r="G379" i="115"/>
  <c r="L379" i="115"/>
  <c r="N379" i="115"/>
  <c r="O379" i="115"/>
  <c r="E380" i="115"/>
  <c r="G380" i="115"/>
  <c r="L380" i="115"/>
  <c r="N380" i="115"/>
  <c r="O380" i="115"/>
  <c r="E381" i="115"/>
  <c r="G381" i="115"/>
  <c r="L381" i="115"/>
  <c r="N381" i="115"/>
  <c r="O381" i="115"/>
  <c r="E382" i="115"/>
  <c r="G382" i="115"/>
  <c r="L382" i="115"/>
  <c r="N382" i="115"/>
  <c r="O382" i="115"/>
  <c r="E383" i="115"/>
  <c r="G383" i="115"/>
  <c r="L383" i="115"/>
  <c r="N383" i="115"/>
  <c r="O383" i="115"/>
  <c r="N3" i="115"/>
  <c r="O3" i="115"/>
  <c r="L3" i="115"/>
  <c r="G3" i="115"/>
  <c r="E3" i="115"/>
  <c r="AI199" i="107" l="1"/>
  <c r="Y188" i="104" s="1"/>
  <c r="AK199" i="107"/>
  <c r="AI200" i="107"/>
  <c r="Y192" i="104" s="1"/>
  <c r="AK200" i="107"/>
  <c r="J396" i="104"/>
  <c r="L396" i="104" s="1"/>
  <c r="J394" i="104"/>
  <c r="L394" i="104" s="1"/>
  <c r="J395" i="104"/>
  <c r="L395" i="104" s="1"/>
  <c r="AL198" i="107" l="1"/>
  <c r="AL381" i="107"/>
  <c r="AP381" i="107"/>
  <c r="AL382" i="107"/>
  <c r="AM382" i="107" s="1"/>
  <c r="AP382" i="107"/>
  <c r="AK382" i="107"/>
  <c r="AK198" i="107"/>
  <c r="AI198" i="107"/>
  <c r="AK197" i="107"/>
  <c r="AI197" i="107"/>
  <c r="Y189" i="104" s="1"/>
  <c r="AK196" i="107"/>
  <c r="AI196" i="107"/>
  <c r="AK195" i="107"/>
  <c r="AI195" i="107"/>
  <c r="AK194" i="107"/>
  <c r="AI194" i="107"/>
  <c r="AK193" i="107"/>
  <c r="AI193" i="107"/>
  <c r="AK381" i="107"/>
  <c r="D5" i="117" s="1"/>
  <c r="J5" i="117" s="1"/>
  <c r="AI381" i="107"/>
  <c r="T381" i="107"/>
  <c r="T382" i="107"/>
  <c r="T384" i="107"/>
  <c r="T427" i="107"/>
  <c r="AH427" i="107" s="1"/>
  <c r="V187" i="104"/>
  <c r="X187" i="104" s="1"/>
  <c r="AN382" i="107" l="1"/>
  <c r="AQ384" i="107"/>
  <c r="AR384" i="107" s="1"/>
  <c r="Y190" i="104"/>
  <c r="Y191" i="104"/>
  <c r="AQ382" i="107"/>
  <c r="AR382" i="107" s="1"/>
  <c r="AQ381" i="107"/>
  <c r="AM198" i="107"/>
  <c r="AM381" i="107"/>
  <c r="AI382" i="107"/>
  <c r="AN381" i="107" l="1"/>
  <c r="AR381" i="107"/>
  <c r="AS381" i="107" s="1"/>
  <c r="AN198" i="107"/>
  <c r="AS382" i="107"/>
  <c r="AS384" i="107" l="1"/>
  <c r="AH3" i="107"/>
  <c r="J393" i="104" l="1"/>
  <c r="L393" i="104" s="1"/>
  <c r="T380" i="107"/>
  <c r="J392" i="104"/>
  <c r="L392" i="104" s="1"/>
  <c r="T377" i="107"/>
  <c r="V185" i="104"/>
  <c r="X185" i="104" s="1"/>
  <c r="V186" i="104"/>
  <c r="X186" i="104" s="1"/>
  <c r="Y186" i="104" l="1"/>
  <c r="Y185" i="104"/>
  <c r="AJ422" i="107" l="1"/>
  <c r="AL196" i="107" l="1"/>
  <c r="AP196" i="107"/>
  <c r="AL197" i="107"/>
  <c r="Y7" i="118" s="1"/>
  <c r="V184" i="104"/>
  <c r="X184" i="104" s="1"/>
  <c r="Y8" i="118" l="1"/>
  <c r="AM197" i="107"/>
  <c r="AM196" i="107"/>
  <c r="V183" i="104"/>
  <c r="X183" i="104" s="1"/>
  <c r="AN196" i="107" l="1"/>
  <c r="AN197" i="107"/>
  <c r="Y9" i="118"/>
  <c r="J391" i="104"/>
  <c r="L391" i="104" s="1"/>
  <c r="AJ244" i="4"/>
  <c r="AL191" i="107" l="1"/>
  <c r="AP191" i="107"/>
  <c r="AL192" i="107"/>
  <c r="AP192" i="107"/>
  <c r="AL193" i="107"/>
  <c r="AP193" i="107"/>
  <c r="AL194" i="107"/>
  <c r="AP194" i="107"/>
  <c r="AL195" i="107"/>
  <c r="AP195" i="107"/>
  <c r="V182" i="104"/>
  <c r="AM195" i="107" l="1"/>
  <c r="X182" i="104"/>
  <c r="T508" i="107"/>
  <c r="D508" i="107"/>
  <c r="T506" i="107"/>
  <c r="T507" i="107"/>
  <c r="D506" i="107"/>
  <c r="D507" i="107"/>
  <c r="AN195" i="107" l="1"/>
  <c r="Y182" i="104"/>
  <c r="T504" i="107"/>
  <c r="D504" i="107"/>
  <c r="T314" i="107"/>
  <c r="T315" i="107"/>
  <c r="T316" i="107"/>
  <c r="T318" i="107"/>
  <c r="T319" i="107"/>
  <c r="T320" i="107"/>
  <c r="T321" i="107"/>
  <c r="T322" i="107"/>
  <c r="T324" i="107"/>
  <c r="T325" i="107"/>
  <c r="T326" i="107"/>
  <c r="T327" i="107"/>
  <c r="T332" i="107"/>
  <c r="T333" i="107"/>
  <c r="T334" i="107"/>
  <c r="T335" i="107"/>
  <c r="T336" i="107"/>
  <c r="T339" i="107"/>
  <c r="T340" i="107"/>
  <c r="T341" i="107"/>
  <c r="T344" i="107"/>
  <c r="T345" i="107"/>
  <c r="T348" i="107"/>
  <c r="T349" i="107"/>
  <c r="T350" i="107"/>
  <c r="T351" i="107"/>
  <c r="T285" i="107" l="1"/>
  <c r="AI84" i="107" l="1"/>
  <c r="AK84" i="107"/>
  <c r="AI85" i="107"/>
  <c r="AK85" i="107"/>
  <c r="AI86" i="107"/>
  <c r="AK86" i="107"/>
  <c r="AI87" i="107"/>
  <c r="AK87" i="107"/>
  <c r="AI88" i="107"/>
  <c r="AK88" i="107"/>
  <c r="AI89" i="107"/>
  <c r="AK89" i="107"/>
  <c r="AI90" i="107"/>
  <c r="AK90" i="107"/>
  <c r="AI91" i="107"/>
  <c r="AK91" i="107"/>
  <c r="AI92" i="107"/>
  <c r="AK92" i="107"/>
  <c r="AI93" i="107"/>
  <c r="AK93" i="107"/>
  <c r="AI94" i="107"/>
  <c r="AK94" i="107"/>
  <c r="AI95" i="107"/>
  <c r="AK95" i="107"/>
  <c r="AI96" i="107"/>
  <c r="AK96" i="107"/>
  <c r="AI97" i="107"/>
  <c r="AK97" i="107"/>
  <c r="AI98" i="107"/>
  <c r="AK98" i="107"/>
  <c r="AI99" i="107"/>
  <c r="AK99" i="107"/>
  <c r="AI100" i="107"/>
  <c r="AK100" i="107"/>
  <c r="AI101" i="107"/>
  <c r="AK101" i="107"/>
  <c r="AI102" i="107"/>
  <c r="AK102" i="107"/>
  <c r="AI103" i="107"/>
  <c r="AK103" i="107"/>
  <c r="AI104" i="107"/>
  <c r="AK104" i="107"/>
  <c r="AI105" i="107"/>
  <c r="AK105" i="107"/>
  <c r="AI106" i="107"/>
  <c r="AK106" i="107"/>
  <c r="AI107" i="107"/>
  <c r="AK107" i="107"/>
  <c r="AI108" i="107"/>
  <c r="AK108" i="107"/>
  <c r="AI109" i="107"/>
  <c r="AK109" i="107"/>
  <c r="AI110" i="107"/>
  <c r="AK110" i="107"/>
  <c r="AI111" i="107"/>
  <c r="AK111" i="107"/>
  <c r="AI112" i="107"/>
  <c r="AK112" i="107"/>
  <c r="AI113" i="107"/>
  <c r="AK113" i="107"/>
  <c r="AI114" i="107"/>
  <c r="AK114" i="107"/>
  <c r="AI115" i="107"/>
  <c r="AK115" i="107"/>
  <c r="AI117" i="107"/>
  <c r="AK117" i="107"/>
  <c r="AI118" i="107"/>
  <c r="AK118" i="107"/>
  <c r="AI119" i="107"/>
  <c r="AK119" i="107"/>
  <c r="AI120" i="107"/>
  <c r="AK120" i="107"/>
  <c r="AI121" i="107"/>
  <c r="AK121" i="107"/>
  <c r="AI122" i="107"/>
  <c r="AK122" i="107"/>
  <c r="AI123" i="107"/>
  <c r="AK123" i="107"/>
  <c r="AI124" i="107"/>
  <c r="AK124" i="107"/>
  <c r="AI125" i="107"/>
  <c r="AK125" i="107"/>
  <c r="AI116" i="107"/>
  <c r="AK116" i="107"/>
  <c r="AI126" i="107"/>
  <c r="AK126" i="107"/>
  <c r="AI127" i="107"/>
  <c r="AK127" i="107"/>
  <c r="AI128" i="107"/>
  <c r="AK128" i="107"/>
  <c r="AI129" i="107"/>
  <c r="AK129" i="107"/>
  <c r="AI130" i="107"/>
  <c r="AK130" i="107"/>
  <c r="AI131" i="107"/>
  <c r="AK131" i="107"/>
  <c r="AI132" i="107"/>
  <c r="AK132" i="107"/>
  <c r="AI133" i="107"/>
  <c r="AK133" i="107"/>
  <c r="AI134" i="107"/>
  <c r="AK134" i="107"/>
  <c r="AI137" i="107"/>
  <c r="AK137" i="107"/>
  <c r="AI135" i="107"/>
  <c r="AK135" i="107"/>
  <c r="AI136" i="107"/>
  <c r="AK136" i="107"/>
  <c r="AI138" i="107"/>
  <c r="AK138" i="107"/>
  <c r="AI139" i="107"/>
  <c r="AK139" i="107"/>
  <c r="AI140" i="107"/>
  <c r="AK140" i="107"/>
  <c r="AI141" i="107"/>
  <c r="AK141" i="107"/>
  <c r="AI142" i="107"/>
  <c r="AK142" i="107"/>
  <c r="AI143" i="107"/>
  <c r="AK143" i="107"/>
  <c r="AI144" i="107"/>
  <c r="AK144" i="107"/>
  <c r="AI145" i="107"/>
  <c r="AK145" i="107"/>
  <c r="AI146" i="107"/>
  <c r="AK146" i="107"/>
  <c r="AI147" i="107"/>
  <c r="AK147" i="107"/>
  <c r="AI148" i="107"/>
  <c r="AK148" i="107"/>
  <c r="AI149" i="107"/>
  <c r="AK149" i="107"/>
  <c r="AI150" i="107"/>
  <c r="AK150" i="107"/>
  <c r="AI151" i="107"/>
  <c r="AK151" i="107"/>
  <c r="AI152" i="107"/>
  <c r="AK152" i="107"/>
  <c r="AI153" i="107"/>
  <c r="AK153" i="107"/>
  <c r="AI154" i="107"/>
  <c r="AK154" i="107"/>
  <c r="AI155" i="107"/>
  <c r="AK155" i="107"/>
  <c r="AI156" i="107"/>
  <c r="AK156" i="107"/>
  <c r="AI157" i="107"/>
  <c r="AK157" i="107"/>
  <c r="AI158" i="107"/>
  <c r="AK158" i="107"/>
  <c r="AI159" i="107"/>
  <c r="AK159" i="107"/>
  <c r="AI160" i="107"/>
  <c r="AK160" i="107"/>
  <c r="AI173" i="107"/>
  <c r="AK173" i="107"/>
  <c r="AI163" i="107"/>
  <c r="AK163" i="107"/>
  <c r="AI164" i="107"/>
  <c r="AK164" i="107"/>
  <c r="AI165" i="107"/>
  <c r="AK165" i="107"/>
  <c r="AI161" i="107"/>
  <c r="AK161" i="107"/>
  <c r="AI162" i="107"/>
  <c r="AK162" i="107"/>
  <c r="AI166" i="107"/>
  <c r="AK166" i="107"/>
  <c r="AI167" i="107"/>
  <c r="AK167" i="107"/>
  <c r="AI168" i="107"/>
  <c r="AK168" i="107"/>
  <c r="AI169" i="107"/>
  <c r="AK169" i="107"/>
  <c r="AI170" i="107"/>
  <c r="AK170" i="107"/>
  <c r="AI171" i="107"/>
  <c r="AK171" i="107"/>
  <c r="AI172" i="107"/>
  <c r="AK172" i="107"/>
  <c r="AI174" i="107"/>
  <c r="AK174" i="107"/>
  <c r="AI175" i="107"/>
  <c r="AK175" i="107"/>
  <c r="AI176" i="107"/>
  <c r="AK176" i="107"/>
  <c r="AI177" i="107"/>
  <c r="AK177" i="107"/>
  <c r="AI178" i="107"/>
  <c r="AK178" i="107"/>
  <c r="AI179" i="107"/>
  <c r="AK179" i="107"/>
  <c r="AI180" i="107"/>
  <c r="AK180" i="107"/>
  <c r="AI181" i="107"/>
  <c r="AK181" i="107"/>
  <c r="AI182" i="107"/>
  <c r="AK182" i="107"/>
  <c r="AI183" i="107"/>
  <c r="AK183" i="107"/>
  <c r="AI184" i="107"/>
  <c r="AK184" i="107"/>
  <c r="AI185" i="107"/>
  <c r="AK185" i="107"/>
  <c r="AI186" i="107"/>
  <c r="AK186" i="107"/>
  <c r="AI187" i="107"/>
  <c r="AK187" i="107"/>
  <c r="AI188" i="107"/>
  <c r="AK188" i="107"/>
  <c r="AI189" i="107"/>
  <c r="AK189" i="107"/>
  <c r="AI190" i="107"/>
  <c r="AK190" i="107"/>
  <c r="AK191" i="107"/>
  <c r="AK192" i="107"/>
  <c r="AI201" i="107"/>
  <c r="Y193" i="104" s="1"/>
  <c r="AI202" i="107"/>
  <c r="Y194" i="104" s="1"/>
  <c r="AI203" i="107"/>
  <c r="Y195" i="104" s="1"/>
  <c r="AI204" i="107"/>
  <c r="Y196" i="104" s="1"/>
  <c r="AI205" i="107"/>
  <c r="Y197" i="104" s="1"/>
  <c r="AI206" i="107"/>
  <c r="Y198" i="104" s="1"/>
  <c r="AI207" i="107"/>
  <c r="Y199" i="104" s="1"/>
  <c r="AI208" i="107"/>
  <c r="Y200" i="104" s="1"/>
  <c r="AI209" i="107"/>
  <c r="Y202" i="104" s="1"/>
  <c r="AI210" i="107"/>
  <c r="Y201" i="104" s="1"/>
  <c r="AI211" i="107"/>
  <c r="Y203" i="104" s="1"/>
  <c r="AI213" i="107"/>
  <c r="Y209" i="104" s="1"/>
  <c r="AI212" i="107"/>
  <c r="Y205" i="104" s="1"/>
  <c r="AI214" i="107"/>
  <c r="Y211" i="104" s="1"/>
  <c r="AI215" i="107"/>
  <c r="Y212" i="104" s="1"/>
  <c r="AI216" i="107"/>
  <c r="Y213" i="104" s="1"/>
  <c r="AI220" i="107"/>
  <c r="AI221" i="107"/>
  <c r="AI222" i="107"/>
  <c r="AI223" i="107"/>
  <c r="AI225" i="107"/>
  <c r="AI224" i="107"/>
  <c r="AI226" i="107"/>
  <c r="AI227" i="107"/>
  <c r="AI228" i="107"/>
  <c r="AI229" i="107"/>
  <c r="AI230" i="107"/>
  <c r="AI231" i="107"/>
  <c r="AI232" i="107"/>
  <c r="AI233" i="107"/>
  <c r="AI235" i="107"/>
  <c r="AI234" i="107"/>
  <c r="AI236" i="107"/>
  <c r="AI237" i="107"/>
  <c r="AI238" i="107"/>
  <c r="AI239" i="107"/>
  <c r="AI240" i="107"/>
  <c r="AI241" i="107"/>
  <c r="AI242" i="107"/>
  <c r="AI243" i="107"/>
  <c r="AI244" i="107"/>
  <c r="AI245" i="107"/>
  <c r="AI246" i="107"/>
  <c r="AI247" i="107"/>
  <c r="AI249" i="107"/>
  <c r="AI248" i="107"/>
  <c r="AI250" i="107"/>
  <c r="AI251" i="107"/>
  <c r="AI253" i="107"/>
  <c r="AI252" i="107"/>
  <c r="AI254" i="107"/>
  <c r="AI255" i="107"/>
  <c r="AI257" i="107"/>
  <c r="AI258" i="107"/>
  <c r="AI256" i="107"/>
  <c r="AI259" i="107"/>
  <c r="AI260" i="107"/>
  <c r="AI261" i="107"/>
  <c r="AI262" i="107"/>
  <c r="AI263" i="107"/>
  <c r="AI264" i="107"/>
  <c r="AI270" i="107"/>
  <c r="AI265" i="107"/>
  <c r="AI266" i="107"/>
  <c r="AI267" i="107"/>
  <c r="AI268" i="107"/>
  <c r="AI269" i="107"/>
  <c r="AI271" i="107"/>
  <c r="AI272" i="107"/>
  <c r="AI273" i="107"/>
  <c r="AI274" i="107"/>
  <c r="AI275" i="107"/>
  <c r="AI276" i="107"/>
  <c r="AI277" i="107"/>
  <c r="AI278" i="107"/>
  <c r="AI279" i="107"/>
  <c r="AI280" i="107"/>
  <c r="AI282" i="107"/>
  <c r="AI283" i="107"/>
  <c r="AI281" i="107"/>
  <c r="AI284" i="107"/>
  <c r="AI285" i="107"/>
  <c r="AI286" i="107"/>
  <c r="AI287" i="107"/>
  <c r="AI288" i="107"/>
  <c r="AI289" i="107"/>
  <c r="AI290" i="107"/>
  <c r="AI291" i="107"/>
  <c r="AI292" i="107"/>
  <c r="AI293" i="107"/>
  <c r="AI294" i="107"/>
  <c r="AI295" i="107"/>
  <c r="AI296" i="107"/>
  <c r="AI300" i="107"/>
  <c r="AI297" i="107"/>
  <c r="AI298" i="107"/>
  <c r="AI299" i="107"/>
  <c r="AI301" i="107"/>
  <c r="AI302" i="107"/>
  <c r="AI303" i="107"/>
  <c r="AI304" i="107"/>
  <c r="AI305" i="107"/>
  <c r="AI306" i="107"/>
  <c r="AI307" i="107"/>
  <c r="AI309" i="107"/>
  <c r="AI308" i="107"/>
  <c r="AI310" i="107"/>
  <c r="AI311" i="107"/>
  <c r="AI312" i="107"/>
  <c r="AI313" i="107"/>
  <c r="AI317" i="107"/>
  <c r="AI323" i="107"/>
  <c r="AI328" i="107"/>
  <c r="AI329" i="107"/>
  <c r="AI330" i="107"/>
  <c r="AI331" i="107"/>
  <c r="AI337" i="107"/>
  <c r="AI338" i="107"/>
  <c r="AI342" i="107"/>
  <c r="AI343" i="107"/>
  <c r="AI346" i="107"/>
  <c r="AI347" i="107"/>
  <c r="AI352" i="107"/>
  <c r="AI353" i="107"/>
  <c r="AI354" i="107"/>
  <c r="AI355" i="107"/>
  <c r="AI356" i="107"/>
  <c r="AI357" i="107"/>
  <c r="AI358" i="107"/>
  <c r="AI359" i="107"/>
  <c r="AI360" i="107"/>
  <c r="AI361" i="107"/>
  <c r="AI362" i="107"/>
  <c r="AI363" i="107"/>
  <c r="AI364" i="107"/>
  <c r="AI365" i="107"/>
  <c r="AI366" i="107"/>
  <c r="AI367" i="107"/>
  <c r="AI368" i="107"/>
  <c r="AI369" i="107"/>
  <c r="AI370" i="107"/>
  <c r="AI371" i="107"/>
  <c r="AI372" i="107"/>
  <c r="AI373" i="107"/>
  <c r="AI374" i="107"/>
  <c r="AI375" i="107"/>
  <c r="AI376" i="107"/>
  <c r="AI378" i="107"/>
  <c r="AI379" i="107"/>
  <c r="AK390" i="107"/>
  <c r="AI83" i="107"/>
  <c r="AI82" i="107"/>
  <c r="AG486" i="107"/>
  <c r="AI486" i="107" s="1"/>
  <c r="AK486" i="107"/>
  <c r="AG487" i="107"/>
  <c r="AI487" i="107" s="1"/>
  <c r="AK487" i="107"/>
  <c r="AG488" i="107"/>
  <c r="AK488" i="107"/>
  <c r="AG489" i="107"/>
  <c r="AK489" i="107"/>
  <c r="AG490" i="107"/>
  <c r="AI490" i="107" s="1"/>
  <c r="AK490" i="107"/>
  <c r="AG491" i="107"/>
  <c r="AI491" i="107" s="1"/>
  <c r="AK491" i="107"/>
  <c r="AG492" i="107"/>
  <c r="AK492" i="107"/>
  <c r="AG493" i="107"/>
  <c r="AI493" i="107" s="1"/>
  <c r="AK493" i="107"/>
  <c r="AG494" i="107"/>
  <c r="AI494" i="107" s="1"/>
  <c r="AK494" i="107"/>
  <c r="AG495" i="107"/>
  <c r="AI495" i="107" s="1"/>
  <c r="AK495" i="107"/>
  <c r="AG496" i="107"/>
  <c r="AK496" i="107"/>
  <c r="AG497" i="107"/>
  <c r="AI497" i="107" s="1"/>
  <c r="AK497" i="107"/>
  <c r="AG498" i="107"/>
  <c r="AI498" i="107" s="1"/>
  <c r="AK498" i="107"/>
  <c r="AG499" i="107"/>
  <c r="AI499" i="107" s="1"/>
  <c r="AK499" i="107"/>
  <c r="AG500" i="107"/>
  <c r="AK500" i="107"/>
  <c r="AG501" i="107"/>
  <c r="AI501" i="107" s="1"/>
  <c r="AK501" i="107"/>
  <c r="AG502" i="107"/>
  <c r="AI502" i="107" s="1"/>
  <c r="AK502" i="107"/>
  <c r="AG503" i="107"/>
  <c r="AI503" i="107" s="1"/>
  <c r="AK503" i="107"/>
  <c r="AG505" i="107"/>
  <c r="AK505" i="107"/>
  <c r="AG479" i="107"/>
  <c r="AG455" i="107"/>
  <c r="AI455" i="107" s="1"/>
  <c r="AK455" i="107"/>
  <c r="AG456" i="107"/>
  <c r="AI456" i="107" s="1"/>
  <c r="AK456" i="107"/>
  <c r="AG457" i="107"/>
  <c r="AK457" i="107"/>
  <c r="AG458" i="107"/>
  <c r="AI458" i="107" s="1"/>
  <c r="AK458" i="107"/>
  <c r="AG459" i="107"/>
  <c r="AI459" i="107" s="1"/>
  <c r="AK459" i="107"/>
  <c r="AG460" i="107"/>
  <c r="AI460" i="107" s="1"/>
  <c r="AK460" i="107"/>
  <c r="AG461" i="107"/>
  <c r="AI461" i="107" s="1"/>
  <c r="AK461" i="107"/>
  <c r="AG462" i="107"/>
  <c r="AI462" i="107" s="1"/>
  <c r="AK462" i="107"/>
  <c r="AG463" i="107"/>
  <c r="AI463" i="107" s="1"/>
  <c r="AK463" i="107"/>
  <c r="AG464" i="107"/>
  <c r="AI464" i="107" s="1"/>
  <c r="AK464" i="107"/>
  <c r="AG465" i="107"/>
  <c r="AI465" i="107" s="1"/>
  <c r="AK465" i="107"/>
  <c r="AG466" i="107"/>
  <c r="AI466" i="107" s="1"/>
  <c r="AK466" i="107"/>
  <c r="AG467" i="107"/>
  <c r="AI467" i="107" s="1"/>
  <c r="AK467" i="107"/>
  <c r="AG468" i="107"/>
  <c r="AI468" i="107" s="1"/>
  <c r="AK468" i="107"/>
  <c r="AG469" i="107"/>
  <c r="AI469" i="107" s="1"/>
  <c r="AK469" i="107"/>
  <c r="AG470" i="107"/>
  <c r="AI470" i="107" s="1"/>
  <c r="AK470" i="107"/>
  <c r="AG471" i="107"/>
  <c r="AI471" i="107" s="1"/>
  <c r="AK471" i="107"/>
  <c r="AG472" i="107"/>
  <c r="AI472" i="107" s="1"/>
  <c r="AK472" i="107"/>
  <c r="AG473" i="107"/>
  <c r="AI473" i="107" s="1"/>
  <c r="AK473" i="107"/>
  <c r="AG474" i="107"/>
  <c r="AI474" i="107" s="1"/>
  <c r="AK474" i="107"/>
  <c r="AG475" i="107"/>
  <c r="AI475" i="107" s="1"/>
  <c r="AK475" i="107"/>
  <c r="AG476" i="107"/>
  <c r="AI476" i="107" s="1"/>
  <c r="AK476" i="107"/>
  <c r="AG477" i="107"/>
  <c r="AI477" i="107" s="1"/>
  <c r="AK477" i="107"/>
  <c r="AG478" i="107"/>
  <c r="AI478" i="107" s="1"/>
  <c r="AK478" i="107"/>
  <c r="AK479" i="107"/>
  <c r="AG480" i="107"/>
  <c r="AK480" i="107"/>
  <c r="AG481" i="107"/>
  <c r="AK481" i="107"/>
  <c r="AG482" i="107"/>
  <c r="AK482" i="107"/>
  <c r="AG483" i="107"/>
  <c r="AK483" i="107"/>
  <c r="AG484" i="107"/>
  <c r="AK484" i="107"/>
  <c r="AG485" i="107"/>
  <c r="AK485" i="107"/>
  <c r="W485" i="107"/>
  <c r="W484" i="107"/>
  <c r="W483" i="107"/>
  <c r="W482" i="107"/>
  <c r="W481" i="107"/>
  <c r="W480" i="107"/>
  <c r="W479" i="107"/>
  <c r="AC19" i="118" s="1" a="1"/>
  <c r="AG449" i="107"/>
  <c r="AI449" i="107" s="1"/>
  <c r="AK449" i="107"/>
  <c r="AG450" i="107"/>
  <c r="AI450" i="107" s="1"/>
  <c r="AK450" i="107"/>
  <c r="AG451" i="107"/>
  <c r="AI451" i="107" s="1"/>
  <c r="AK451" i="107"/>
  <c r="AG452" i="107"/>
  <c r="AI452" i="107" s="1"/>
  <c r="AK452" i="107"/>
  <c r="AG453" i="107"/>
  <c r="AI453" i="107" s="1"/>
  <c r="AK453" i="107"/>
  <c r="AG454" i="107"/>
  <c r="AI454" i="107" s="1"/>
  <c r="AK454" i="107"/>
  <c r="AK448" i="107"/>
  <c r="AG448" i="107"/>
  <c r="AK201" i="107"/>
  <c r="AK202" i="107"/>
  <c r="AB19" i="118" l="1" a="1"/>
  <c r="AA19" i="118" a="1"/>
  <c r="W5" i="118"/>
  <c r="W33" i="118"/>
  <c r="U5" i="118"/>
  <c r="U33" i="118"/>
  <c r="T5" i="118"/>
  <c r="T33" i="118"/>
  <c r="V33" i="118"/>
  <c r="V5" i="118"/>
  <c r="AG433" i="107"/>
  <c r="AI484" i="107"/>
  <c r="AI481" i="107"/>
  <c r="AI483" i="107"/>
  <c r="AI480" i="107"/>
  <c r="AI485" i="107"/>
  <c r="AI482" i="107"/>
  <c r="AI479" i="107"/>
  <c r="AI448" i="107"/>
  <c r="Y187" i="104"/>
  <c r="AI390" i="107"/>
  <c r="Y204" i="104" s="1"/>
  <c r="AM390" i="107"/>
  <c r="Y184" i="104"/>
  <c r="AM194" i="107"/>
  <c r="AM193" i="107"/>
  <c r="AI192" i="107"/>
  <c r="AM192" i="107"/>
  <c r="AI191" i="107"/>
  <c r="AM191" i="107"/>
  <c r="AI457" i="107"/>
  <c r="AI489" i="107"/>
  <c r="AI496" i="107"/>
  <c r="AI500" i="107"/>
  <c r="AI488" i="107"/>
  <c r="AI505" i="107"/>
  <c r="AI492" i="107"/>
  <c r="AG19" i="118" l="1"/>
  <c r="AD19" i="118"/>
  <c r="AN390" i="107"/>
  <c r="AN191" i="107"/>
  <c r="AN192" i="107"/>
  <c r="AN193" i="107"/>
  <c r="AN194" i="107"/>
  <c r="V18" i="118"/>
  <c r="V16" i="118"/>
  <c r="T18" i="118"/>
  <c r="T16" i="118"/>
  <c r="U18" i="118"/>
  <c r="U16" i="118"/>
  <c r="W18" i="118"/>
  <c r="W16" i="118"/>
  <c r="Y183" i="104"/>
  <c r="AH422" i="107"/>
  <c r="AG426" i="107" s="1"/>
  <c r="AL189" i="107"/>
  <c r="AP189" i="107"/>
  <c r="AL190" i="107"/>
  <c r="AP190" i="107"/>
  <c r="C249" i="4"/>
  <c r="CW249" i="4"/>
  <c r="CV249" i="4"/>
  <c r="CI249" i="4"/>
  <c r="CH249" i="4"/>
  <c r="CA249" i="4"/>
  <c r="BZ249" i="4"/>
  <c r="BX249" i="4"/>
  <c r="BB249" i="4"/>
  <c r="AZ249" i="4"/>
  <c r="AY249" i="4"/>
  <c r="AB249" i="4"/>
  <c r="S249" i="4"/>
  <c r="Q249" i="4"/>
  <c r="B249" i="4"/>
  <c r="T500" i="107"/>
  <c r="T501" i="107"/>
  <c r="T502" i="107"/>
  <c r="T503" i="107"/>
  <c r="T505" i="107"/>
  <c r="B449" i="107"/>
  <c r="B450" i="107" s="1"/>
  <c r="B451" i="107" s="1"/>
  <c r="B452" i="107" s="1"/>
  <c r="B453" i="107" s="1"/>
  <c r="B454" i="107" s="1"/>
  <c r="B455" i="107" s="1"/>
  <c r="B456" i="107" s="1"/>
  <c r="B457" i="107" s="1"/>
  <c r="B458" i="107" s="1"/>
  <c r="B459" i="107" s="1"/>
  <c r="B460" i="107" s="1"/>
  <c r="B461" i="107" s="1"/>
  <c r="B462" i="107" s="1"/>
  <c r="B463" i="107" s="1"/>
  <c r="B464" i="107" s="1"/>
  <c r="B465" i="107" s="1"/>
  <c r="B466" i="107" s="1"/>
  <c r="B467" i="107" s="1"/>
  <c r="B468" i="107" s="1"/>
  <c r="B469" i="107" s="1"/>
  <c r="B470" i="107" s="1"/>
  <c r="B471" i="107" s="1"/>
  <c r="B472" i="107" s="1"/>
  <c r="B473" i="107" s="1"/>
  <c r="B474" i="107" s="1"/>
  <c r="B475" i="107" s="1"/>
  <c r="B476" i="107" s="1"/>
  <c r="B477" i="107" s="1"/>
  <c r="B478" i="107" s="1"/>
  <c r="B479" i="107" s="1"/>
  <c r="B480" i="107" s="1"/>
  <c r="B481" i="107" s="1"/>
  <c r="B482" i="107" s="1"/>
  <c r="B483" i="107" s="1"/>
  <c r="B484" i="107" s="1"/>
  <c r="B485" i="107" s="1"/>
  <c r="B486" i="107" s="1"/>
  <c r="B487" i="107" s="1"/>
  <c r="B488" i="107" s="1"/>
  <c r="B489" i="107" s="1"/>
  <c r="B490" i="107" s="1"/>
  <c r="B491" i="107" s="1"/>
  <c r="B492" i="107" s="1"/>
  <c r="B493" i="107" s="1"/>
  <c r="B494" i="107" s="1"/>
  <c r="B495" i="107" s="1"/>
  <c r="B496" i="107" s="1"/>
  <c r="B497" i="107" s="1"/>
  <c r="B498" i="107" s="1"/>
  <c r="B499" i="107" s="1"/>
  <c r="B500" i="107" s="1"/>
  <c r="B501" i="107" s="1"/>
  <c r="B502" i="107" s="1"/>
  <c r="B503" i="107" s="1"/>
  <c r="B504" i="107" s="1"/>
  <c r="B505" i="107" s="1"/>
  <c r="B506" i="107" s="1"/>
  <c r="B507" i="107" s="1"/>
  <c r="B508" i="107" s="1"/>
  <c r="B509" i="107" s="1"/>
  <c r="B510" i="107" s="1"/>
  <c r="B511" i="107" s="1"/>
  <c r="B512" i="107" s="1"/>
  <c r="B513" i="107" s="1"/>
  <c r="B514" i="107" s="1"/>
  <c r="B515" i="107" s="1"/>
  <c r="B516" i="107" s="1"/>
  <c r="B517" i="107" s="1"/>
  <c r="B518" i="107" s="1"/>
  <c r="B519" i="107" s="1"/>
  <c r="B520" i="107" s="1"/>
  <c r="B521" i="107" s="1"/>
  <c r="D450" i="107"/>
  <c r="D451" i="107"/>
  <c r="D452" i="107"/>
  <c r="D453" i="107"/>
  <c r="D454" i="107"/>
  <c r="D455" i="107"/>
  <c r="D456" i="107"/>
  <c r="D457" i="107"/>
  <c r="D458" i="107"/>
  <c r="D459" i="107"/>
  <c r="D460" i="107"/>
  <c r="D461" i="107"/>
  <c r="D462" i="107"/>
  <c r="D463" i="107"/>
  <c r="D464" i="107"/>
  <c r="D465" i="107"/>
  <c r="D466" i="107"/>
  <c r="D467" i="107"/>
  <c r="D468" i="107"/>
  <c r="D469" i="107"/>
  <c r="D470" i="107"/>
  <c r="D471" i="107"/>
  <c r="D472" i="107"/>
  <c r="D473" i="107"/>
  <c r="D474" i="107"/>
  <c r="D475" i="107"/>
  <c r="D476" i="107"/>
  <c r="D477" i="107"/>
  <c r="D478" i="107"/>
  <c r="D479" i="107"/>
  <c r="D480" i="107"/>
  <c r="D481" i="107"/>
  <c r="D482" i="107"/>
  <c r="D483" i="107"/>
  <c r="D484" i="107"/>
  <c r="D485" i="107"/>
  <c r="D486" i="107"/>
  <c r="D487" i="107"/>
  <c r="D488" i="107"/>
  <c r="D489" i="107"/>
  <c r="D490" i="107"/>
  <c r="D491" i="107"/>
  <c r="D492" i="107"/>
  <c r="D493" i="107"/>
  <c r="D494" i="107"/>
  <c r="D495" i="107"/>
  <c r="D496" i="107"/>
  <c r="D497" i="107"/>
  <c r="D498" i="107"/>
  <c r="D499" i="107"/>
  <c r="D500" i="107"/>
  <c r="D501" i="107"/>
  <c r="D502" i="107"/>
  <c r="D503" i="107"/>
  <c r="D505" i="107"/>
  <c r="D448" i="107"/>
  <c r="AC11" i="118" s="1"/>
  <c r="AC12" i="118" s="1"/>
  <c r="AC13" i="118" l="1"/>
  <c r="E11" i="5"/>
  <c r="X11" i="5" s="1"/>
  <c r="AC253" i="4" s="1"/>
  <c r="AB11" i="118"/>
  <c r="AB12" i="118" s="1"/>
  <c r="AA11" i="118"/>
  <c r="K11" i="118"/>
  <c r="Z11" i="118"/>
  <c r="L11" i="118"/>
  <c r="X11" i="118"/>
  <c r="M11" i="118"/>
  <c r="Y11" i="118"/>
  <c r="N11" i="118"/>
  <c r="BB255" i="4"/>
  <c r="BX255" i="4"/>
  <c r="BZ255" i="4"/>
  <c r="CR249" i="4"/>
  <c r="CA255" i="4"/>
  <c r="AY255" i="4"/>
  <c r="Q255" i="4"/>
  <c r="AB255" i="4"/>
  <c r="S255" i="4"/>
  <c r="AM249" i="4"/>
  <c r="CP249" i="4"/>
  <c r="CB249" i="4"/>
  <c r="AM189" i="107"/>
  <c r="AM190" i="107"/>
  <c r="BS249" i="4"/>
  <c r="CL249" i="4"/>
  <c r="CO249" i="4"/>
  <c r="CQ249" i="4"/>
  <c r="BN249" i="4"/>
  <c r="AD249" i="4"/>
  <c r="AG11" i="118" l="1"/>
  <c r="AA12" i="118"/>
  <c r="AG12" i="118" s="1"/>
  <c r="AG13" i="118" s="1"/>
  <c r="AB13" i="118"/>
  <c r="AN190" i="107"/>
  <c r="AN189" i="107"/>
  <c r="Z12" i="118"/>
  <c r="Y12" i="118"/>
  <c r="AE11" i="118"/>
  <c r="CQ255" i="4"/>
  <c r="BN255" i="4"/>
  <c r="CO255" i="4"/>
  <c r="BS255" i="4"/>
  <c r="CP255" i="4"/>
  <c r="CL255" i="4"/>
  <c r="CB255" i="4"/>
  <c r="CR255" i="4"/>
  <c r="CF249" i="4"/>
  <c r="CF255" i="4" s="1"/>
  <c r="AM255" i="4"/>
  <c r="BW249" i="4"/>
  <c r="BW255" i="4" s="1"/>
  <c r="CS249" i="4"/>
  <c r="CM249" i="4"/>
  <c r="CM255" i="4" s="1"/>
  <c r="BO249" i="4"/>
  <c r="AA13" i="118" l="1"/>
  <c r="BO255" i="4"/>
  <c r="CS255" i="4"/>
  <c r="BY249" i="4"/>
  <c r="BY255" i="4" s="1"/>
  <c r="CG249" i="4"/>
  <c r="CG255" i="4" s="1"/>
  <c r="BP249" i="4"/>
  <c r="BP255" i="4" s="1"/>
  <c r="CN249" i="4"/>
  <c r="CN255" i="4" l="1"/>
  <c r="BU249" i="4"/>
  <c r="AQ390" i="107" l="1"/>
  <c r="AR390" i="107" s="1"/>
  <c r="R382" i="115" l="1"/>
  <c r="R381" i="115"/>
  <c r="R383" i="115"/>
  <c r="AS390" i="107" l="1"/>
  <c r="AP126" i="104"/>
  <c r="AP127" i="104"/>
  <c r="AP128" i="104"/>
  <c r="AP129" i="104"/>
  <c r="AP130" i="104"/>
  <c r="AR130" i="104" s="1"/>
  <c r="AP131" i="104"/>
  <c r="AR131" i="104" s="1"/>
  <c r="AP132" i="104"/>
  <c r="AR132" i="104" s="1"/>
  <c r="AP133" i="104"/>
  <c r="AR133" i="104" s="1"/>
  <c r="AP134" i="104"/>
  <c r="AR134" i="104" s="1"/>
  <c r="J387" i="104"/>
  <c r="L387" i="104" s="1"/>
  <c r="J388" i="104"/>
  <c r="L388" i="104" s="1"/>
  <c r="J389" i="104"/>
  <c r="L389" i="104" s="1"/>
  <c r="J390" i="104"/>
  <c r="L390" i="104" s="1"/>
  <c r="V180" i="104"/>
  <c r="V181" i="104"/>
  <c r="X181" i="104" l="1"/>
  <c r="X180" i="104"/>
  <c r="Y180" i="104" l="1"/>
  <c r="Y181" i="104"/>
  <c r="AK203" i="107" l="1"/>
  <c r="AK204" i="107"/>
  <c r="AK205" i="107"/>
  <c r="AK206" i="107"/>
  <c r="AK207" i="107"/>
  <c r="AK208" i="107"/>
  <c r="AK209" i="107"/>
  <c r="AK210" i="107"/>
  <c r="AK211" i="107"/>
  <c r="AK213" i="107"/>
  <c r="AK212" i="107"/>
  <c r="AK214" i="107"/>
  <c r="AK218" i="107"/>
  <c r="AK215" i="107"/>
  <c r="AK216" i="107"/>
  <c r="AC26" i="118"/>
  <c r="AK220" i="107"/>
  <c r="AK221" i="107"/>
  <c r="AK222" i="107"/>
  <c r="AK223" i="107"/>
  <c r="AK225" i="107"/>
  <c r="AK224" i="107"/>
  <c r="AK226" i="107"/>
  <c r="AK227" i="107"/>
  <c r="AK228" i="107"/>
  <c r="AK229" i="107"/>
  <c r="AK230" i="107"/>
  <c r="AK231" i="107"/>
  <c r="AK232" i="107"/>
  <c r="AK233" i="107"/>
  <c r="AK235" i="107"/>
  <c r="AK234" i="107"/>
  <c r="AK236" i="107"/>
  <c r="AK237" i="107"/>
  <c r="AK238" i="107"/>
  <c r="AK239" i="107"/>
  <c r="AK240" i="107"/>
  <c r="AK241" i="107"/>
  <c r="AK242" i="107"/>
  <c r="AK243" i="107"/>
  <c r="AK244" i="107"/>
  <c r="AK245" i="107"/>
  <c r="AK246" i="107"/>
  <c r="AK247" i="107"/>
  <c r="AK249" i="107"/>
  <c r="AK248" i="107"/>
  <c r="AK250" i="107"/>
  <c r="AK251" i="107"/>
  <c r="AK253" i="107"/>
  <c r="AK252" i="107"/>
  <c r="AK254" i="107"/>
  <c r="AK255" i="107"/>
  <c r="AK257" i="107"/>
  <c r="AK258" i="107"/>
  <c r="AK256" i="107"/>
  <c r="AK259" i="107"/>
  <c r="AK260" i="107"/>
  <c r="AK261" i="107"/>
  <c r="AK262" i="107"/>
  <c r="AK263" i="107"/>
  <c r="AK264" i="107"/>
  <c r="AK270" i="107"/>
  <c r="AK265" i="107"/>
  <c r="AK266" i="107"/>
  <c r="AK267" i="107"/>
  <c r="AK268" i="107"/>
  <c r="AK269" i="107"/>
  <c r="AK271" i="107"/>
  <c r="AK272" i="107"/>
  <c r="AK273" i="107"/>
  <c r="AK274" i="107"/>
  <c r="AK275" i="107"/>
  <c r="AK276" i="107"/>
  <c r="AK277" i="107"/>
  <c r="AK278" i="107"/>
  <c r="AK279" i="107"/>
  <c r="AK280" i="107"/>
  <c r="AK282" i="107"/>
  <c r="AK283" i="107"/>
  <c r="AK281" i="107"/>
  <c r="AK284" i="107"/>
  <c r="AK285" i="107"/>
  <c r="AK286" i="107"/>
  <c r="AK287" i="107"/>
  <c r="AK288" i="107"/>
  <c r="AK289" i="107"/>
  <c r="AK290" i="107"/>
  <c r="AK291" i="107"/>
  <c r="AK292" i="107"/>
  <c r="AK293" i="107"/>
  <c r="AK294" i="107"/>
  <c r="AK295" i="107"/>
  <c r="AK296" i="107"/>
  <c r="AK300" i="107"/>
  <c r="AK297" i="107"/>
  <c r="AK298" i="107"/>
  <c r="AK299" i="107"/>
  <c r="AK301" i="107"/>
  <c r="AK302" i="107"/>
  <c r="AK303" i="107"/>
  <c r="AK304" i="107"/>
  <c r="AK305" i="107"/>
  <c r="AK306" i="107"/>
  <c r="AK307" i="107"/>
  <c r="AK309" i="107"/>
  <c r="AK308" i="107"/>
  <c r="AK310" i="107"/>
  <c r="AK311" i="107"/>
  <c r="AK312" i="107"/>
  <c r="AK313" i="107"/>
  <c r="AK317" i="107"/>
  <c r="AK323" i="107"/>
  <c r="AK328" i="107"/>
  <c r="AK329" i="107"/>
  <c r="AK330" i="107"/>
  <c r="AK331" i="107"/>
  <c r="AK337" i="107"/>
  <c r="AK338" i="107"/>
  <c r="AK342" i="107"/>
  <c r="AK343" i="107"/>
  <c r="AK346" i="107"/>
  <c r="AK347" i="107"/>
  <c r="AK352" i="107"/>
  <c r="AK353" i="107"/>
  <c r="AK354" i="107"/>
  <c r="AK355" i="107"/>
  <c r="AK356" i="107"/>
  <c r="AK357" i="107"/>
  <c r="AK358" i="107"/>
  <c r="AK359" i="107"/>
  <c r="AK360" i="107"/>
  <c r="AK361" i="107"/>
  <c r="AK362" i="107"/>
  <c r="AK363" i="107"/>
  <c r="AK364" i="107"/>
  <c r="AK365" i="107"/>
  <c r="AK366" i="107"/>
  <c r="AK367" i="107"/>
  <c r="AK368" i="107"/>
  <c r="AK369" i="107"/>
  <c r="AK370" i="107"/>
  <c r="AK371" i="107"/>
  <c r="AK372" i="107"/>
  <c r="AK373" i="107"/>
  <c r="AK374" i="107"/>
  <c r="AK375" i="107"/>
  <c r="AK376" i="107"/>
  <c r="AK378" i="107"/>
  <c r="AK379" i="107"/>
  <c r="AK389" i="107"/>
  <c r="AI389" i="107"/>
  <c r="AP389" i="107"/>
  <c r="AQ389" i="107" s="1"/>
  <c r="AM379" i="107"/>
  <c r="AR379" i="107" s="1"/>
  <c r="AC27" i="118" l="1"/>
  <c r="AG26" i="118"/>
  <c r="E26" i="116"/>
  <c r="O26" i="116" s="1"/>
  <c r="AB18" i="118"/>
  <c r="AB17" i="118"/>
  <c r="AB16" i="118"/>
  <c r="AG5" i="118"/>
  <c r="AA33" i="118"/>
  <c r="D7" i="117"/>
  <c r="J7" i="117" s="1"/>
  <c r="X33" i="118"/>
  <c r="X5" i="118"/>
  <c r="Y5" i="118"/>
  <c r="Y33" i="118"/>
  <c r="Z33" i="118"/>
  <c r="Z5" i="118"/>
  <c r="AM389" i="107"/>
  <c r="AE3" i="107"/>
  <c r="O1" i="107" s="1"/>
  <c r="AJ3" i="107"/>
  <c r="AK6" i="107"/>
  <c r="AK7" i="107"/>
  <c r="AK9" i="107"/>
  <c r="AK10" i="107"/>
  <c r="AK11" i="107"/>
  <c r="AK12" i="107"/>
  <c r="AK13" i="107"/>
  <c r="AK14" i="107"/>
  <c r="AK15" i="107"/>
  <c r="AK16" i="107"/>
  <c r="AK17" i="107"/>
  <c r="AK18" i="107"/>
  <c r="AK19" i="107"/>
  <c r="AK22" i="107"/>
  <c r="AK23" i="107"/>
  <c r="AK24" i="107"/>
  <c r="AK25" i="107"/>
  <c r="AK26" i="107"/>
  <c r="AK8" i="107"/>
  <c r="AK20" i="107"/>
  <c r="AK21" i="107"/>
  <c r="AK27" i="107"/>
  <c r="AK28" i="107"/>
  <c r="AK29" i="107"/>
  <c r="AK30" i="107"/>
  <c r="AK31" i="107"/>
  <c r="AK32" i="107"/>
  <c r="AK33" i="107"/>
  <c r="AK34" i="107"/>
  <c r="AK35" i="107"/>
  <c r="AK36" i="107"/>
  <c r="AK37" i="107"/>
  <c r="AK38" i="107"/>
  <c r="AK39" i="107"/>
  <c r="AK40" i="107"/>
  <c r="AK41" i="107"/>
  <c r="AK42" i="107"/>
  <c r="AK43" i="107"/>
  <c r="AK44" i="107"/>
  <c r="AK45" i="107"/>
  <c r="AK46" i="107"/>
  <c r="AK48" i="107"/>
  <c r="AK47" i="107"/>
  <c r="AK49" i="107"/>
  <c r="AK50" i="107"/>
  <c r="AK51" i="107"/>
  <c r="AK52" i="107"/>
  <c r="AK53" i="107"/>
  <c r="AK54" i="107"/>
  <c r="AK55" i="107"/>
  <c r="AK56" i="107"/>
  <c r="AK57" i="107"/>
  <c r="AK58" i="107"/>
  <c r="AK59" i="107"/>
  <c r="AK60" i="107"/>
  <c r="AK61" i="107"/>
  <c r="AK62" i="107"/>
  <c r="AK63" i="107"/>
  <c r="AK64" i="107"/>
  <c r="AK65" i="107"/>
  <c r="AK66" i="107"/>
  <c r="AK67" i="107"/>
  <c r="AK68" i="107"/>
  <c r="AK69" i="107"/>
  <c r="AK70" i="107"/>
  <c r="AK71" i="107"/>
  <c r="AK72" i="107"/>
  <c r="AK73" i="107"/>
  <c r="AK74" i="107"/>
  <c r="AK75" i="107"/>
  <c r="AK76" i="107"/>
  <c r="AK77" i="107"/>
  <c r="AK78" i="107"/>
  <c r="AK79" i="107"/>
  <c r="AK80" i="107"/>
  <c r="AK81" i="107"/>
  <c r="AK82" i="107"/>
  <c r="AK83" i="107"/>
  <c r="AK5" i="107"/>
  <c r="AI6" i="107"/>
  <c r="AI7" i="107"/>
  <c r="AI9" i="107"/>
  <c r="AI10" i="107"/>
  <c r="AI11" i="107"/>
  <c r="AI12" i="107"/>
  <c r="AI13" i="107"/>
  <c r="AI14" i="107"/>
  <c r="AI15" i="107"/>
  <c r="AI16" i="107"/>
  <c r="AI17" i="107"/>
  <c r="AI18" i="107"/>
  <c r="AI19" i="107"/>
  <c r="AI22" i="107"/>
  <c r="AI23" i="107"/>
  <c r="AI24" i="107"/>
  <c r="AI25" i="107"/>
  <c r="AI26" i="107"/>
  <c r="AI8" i="107"/>
  <c r="AI20" i="107"/>
  <c r="AI21" i="107"/>
  <c r="AI28" i="107"/>
  <c r="AI29" i="107"/>
  <c r="AI30" i="107"/>
  <c r="AI31" i="107"/>
  <c r="AI32" i="107"/>
  <c r="AI33" i="107"/>
  <c r="AI34" i="107"/>
  <c r="AI35" i="107"/>
  <c r="AI36" i="107"/>
  <c r="AI37" i="107"/>
  <c r="AI38" i="107"/>
  <c r="AI39" i="107"/>
  <c r="AI40" i="107"/>
  <c r="AI41" i="107"/>
  <c r="AI43" i="107"/>
  <c r="AI44" i="107"/>
  <c r="AI45" i="107"/>
  <c r="AI46" i="107"/>
  <c r="AI48" i="107"/>
  <c r="AI47" i="107"/>
  <c r="AI49" i="107"/>
  <c r="AI50" i="107"/>
  <c r="AI51" i="107"/>
  <c r="AI52" i="107"/>
  <c r="AI53" i="107"/>
  <c r="AI54" i="107"/>
  <c r="AI55" i="107"/>
  <c r="AI56" i="107"/>
  <c r="AI57" i="107"/>
  <c r="AI58" i="107"/>
  <c r="AI59" i="107"/>
  <c r="AI60" i="107"/>
  <c r="AI61" i="107"/>
  <c r="AI62" i="107"/>
  <c r="AI63" i="107"/>
  <c r="AI64" i="107"/>
  <c r="AI65" i="107"/>
  <c r="AI66" i="107"/>
  <c r="AI67" i="107"/>
  <c r="AI68" i="107"/>
  <c r="AI69" i="107"/>
  <c r="AI70" i="107"/>
  <c r="AI71" i="107"/>
  <c r="AI72" i="107"/>
  <c r="AI73" i="107"/>
  <c r="AI74" i="107"/>
  <c r="AI75" i="107"/>
  <c r="AI76" i="107"/>
  <c r="AI77" i="107"/>
  <c r="AI78" i="107"/>
  <c r="AI79" i="107"/>
  <c r="AI80" i="107"/>
  <c r="AI81" i="107"/>
  <c r="AC28" i="118" l="1"/>
  <c r="E27" i="116"/>
  <c r="AG17" i="118"/>
  <c r="AG16" i="118"/>
  <c r="AA18" i="118"/>
  <c r="AG18" i="118" s="1"/>
  <c r="AA17" i="118"/>
  <c r="AA16" i="118"/>
  <c r="AN389" i="107"/>
  <c r="AR389" i="107"/>
  <c r="AS389" i="107" s="1"/>
  <c r="Q33" i="118"/>
  <c r="Q5" i="118"/>
  <c r="Z18" i="118"/>
  <c r="Z16" i="118"/>
  <c r="Z17" i="118"/>
  <c r="R5" i="118"/>
  <c r="R33" i="118"/>
  <c r="O33" i="118"/>
  <c r="O5" i="118"/>
  <c r="N33" i="118"/>
  <c r="N5" i="118"/>
  <c r="K5" i="118"/>
  <c r="K33" i="118"/>
  <c r="L5" i="118"/>
  <c r="L33" i="118"/>
  <c r="Y18" i="118"/>
  <c r="Y16" i="118"/>
  <c r="Y17" i="118"/>
  <c r="X18" i="118"/>
  <c r="X16" i="118"/>
  <c r="P33" i="118"/>
  <c r="P5" i="118"/>
  <c r="S33" i="118"/>
  <c r="S5" i="118"/>
  <c r="M5" i="118"/>
  <c r="M33" i="118"/>
  <c r="D4" i="117"/>
  <c r="J4" i="117" s="1"/>
  <c r="D6" i="117"/>
  <c r="J6" i="117" s="1"/>
  <c r="AI42" i="107"/>
  <c r="AK422" i="107"/>
  <c r="AI27" i="107"/>
  <c r="AK3" i="107"/>
  <c r="T450" i="107"/>
  <c r="T451" i="107"/>
  <c r="T452" i="107"/>
  <c r="T453" i="107"/>
  <c r="T454" i="107"/>
  <c r="T455" i="107"/>
  <c r="T456" i="107"/>
  <c r="T457" i="107"/>
  <c r="T458" i="107"/>
  <c r="T459" i="107"/>
  <c r="T460" i="107"/>
  <c r="T461" i="107"/>
  <c r="T462" i="107"/>
  <c r="T463" i="107"/>
  <c r="T464" i="107"/>
  <c r="T465" i="107"/>
  <c r="T466" i="107"/>
  <c r="T467" i="107"/>
  <c r="T468" i="107"/>
  <c r="T469" i="107"/>
  <c r="T470" i="107"/>
  <c r="T471" i="107"/>
  <c r="T472" i="107"/>
  <c r="T473" i="107"/>
  <c r="T474" i="107"/>
  <c r="T475" i="107"/>
  <c r="T476" i="107"/>
  <c r="T477" i="107"/>
  <c r="T478" i="107"/>
  <c r="T479" i="107"/>
  <c r="T480" i="107"/>
  <c r="T481" i="107"/>
  <c r="T482" i="107"/>
  <c r="T483" i="107"/>
  <c r="T484" i="107"/>
  <c r="T485" i="107"/>
  <c r="T486" i="107"/>
  <c r="T487" i="107"/>
  <c r="T488" i="107"/>
  <c r="T489" i="107"/>
  <c r="T490" i="107"/>
  <c r="T491" i="107"/>
  <c r="T492" i="107"/>
  <c r="T493" i="107"/>
  <c r="T494" i="107"/>
  <c r="T495" i="107"/>
  <c r="T496" i="107"/>
  <c r="T497" i="107"/>
  <c r="T498" i="107"/>
  <c r="T499" i="107"/>
  <c r="T448" i="107"/>
  <c r="AD5" i="118" l="1"/>
  <c r="T523" i="107"/>
  <c r="J8" i="117"/>
  <c r="O11" i="118"/>
  <c r="T433" i="107"/>
  <c r="AD33" i="118"/>
  <c r="AD34" i="118" s="1"/>
  <c r="AF5" i="118"/>
  <c r="R11" i="118"/>
  <c r="T11" i="118"/>
  <c r="S11" i="118"/>
  <c r="Q11" i="118"/>
  <c r="U11" i="118"/>
  <c r="V11" i="118"/>
  <c r="W11" i="118"/>
  <c r="P11" i="118"/>
  <c r="K18" i="118"/>
  <c r="K16" i="118"/>
  <c r="AE5" i="118"/>
  <c r="O18" i="118"/>
  <c r="O16" i="118"/>
  <c r="S18" i="118"/>
  <c r="S16" i="118"/>
  <c r="N18" i="118"/>
  <c r="N16" i="118"/>
  <c r="R18" i="118"/>
  <c r="R16" i="118"/>
  <c r="P18" i="118"/>
  <c r="P16" i="118"/>
  <c r="L18" i="118"/>
  <c r="L16" i="118"/>
  <c r="Q18" i="118"/>
  <c r="Q16" i="118"/>
  <c r="M18" i="118"/>
  <c r="M16" i="118"/>
  <c r="K34" i="118"/>
  <c r="L31" i="118" s="1"/>
  <c r="L34" i="118" s="1"/>
  <c r="M31" i="118" s="1"/>
  <c r="M34" i="118" s="1"/>
  <c r="N31" i="118" s="1"/>
  <c r="N34" i="118" s="1"/>
  <c r="O31" i="118" s="1"/>
  <c r="O34" i="118" s="1"/>
  <c r="P31" i="118" s="1"/>
  <c r="P34" i="118" s="1"/>
  <c r="Q31" i="118" s="1"/>
  <c r="Q34" i="118" s="1"/>
  <c r="R31" i="118" s="1"/>
  <c r="R34" i="118" s="1"/>
  <c r="S31" i="118" s="1"/>
  <c r="S34" i="118" s="1"/>
  <c r="T31" i="118" s="1"/>
  <c r="T34" i="118" s="1"/>
  <c r="U31" i="118" s="1"/>
  <c r="U34" i="118" s="1"/>
  <c r="V31" i="118" s="1"/>
  <c r="V34" i="118" s="1"/>
  <c r="W31" i="118" s="1"/>
  <c r="W34" i="118" s="1"/>
  <c r="X31" i="118" s="1"/>
  <c r="X34" i="118" s="1"/>
  <c r="Y31" i="118" s="1"/>
  <c r="Y34" i="118" s="1"/>
  <c r="D8" i="117"/>
  <c r="AI3" i="107"/>
  <c r="AI1" i="107" s="1"/>
  <c r="AI422" i="107"/>
  <c r="AR126" i="104"/>
  <c r="AR127" i="104"/>
  <c r="AR128" i="104"/>
  <c r="AR129" i="104"/>
  <c r="AP121" i="104"/>
  <c r="AR121" i="104" s="1"/>
  <c r="AP112" i="104"/>
  <c r="AR112" i="104" s="1"/>
  <c r="AP110" i="104"/>
  <c r="AR110" i="104" s="1"/>
  <c r="AP122" i="104"/>
  <c r="AR122" i="104" s="1"/>
  <c r="AP123" i="104"/>
  <c r="J386" i="104"/>
  <c r="L386" i="104" s="1"/>
  <c r="J385" i="104"/>
  <c r="L385" i="104" s="1"/>
  <c r="V176" i="104"/>
  <c r="V177" i="104"/>
  <c r="V178" i="104"/>
  <c r="V179" i="104"/>
  <c r="J377" i="104"/>
  <c r="L377" i="104" s="1"/>
  <c r="J381" i="104"/>
  <c r="AD11" i="118" l="1"/>
  <c r="Z31" i="118"/>
  <c r="Z34" i="118" s="1"/>
  <c r="AA31" i="118" s="1"/>
  <c r="AA34" i="118" s="1"/>
  <c r="AB31" i="118" s="1"/>
  <c r="AB34" i="118" s="1"/>
  <c r="AC31" i="118" s="1"/>
  <c r="AC34" i="118" s="1"/>
  <c r="AD18" i="118"/>
  <c r="AD16" i="118"/>
  <c r="AF11" i="118"/>
  <c r="AF18" i="118"/>
  <c r="AF16" i="118"/>
  <c r="AE18" i="118"/>
  <c r="AE16" i="118"/>
  <c r="X179" i="104"/>
  <c r="X178" i="104"/>
  <c r="X177" i="104"/>
  <c r="X176" i="104"/>
  <c r="AR123" i="104"/>
  <c r="Y176" i="104" l="1"/>
  <c r="Y177" i="104"/>
  <c r="Y178" i="104"/>
  <c r="Y179" i="104"/>
  <c r="AL188" i="107"/>
  <c r="AP188" i="107"/>
  <c r="AL187" i="107"/>
  <c r="AP187" i="107"/>
  <c r="AP113" i="104"/>
  <c r="AR113" i="104" s="1"/>
  <c r="AP114" i="104"/>
  <c r="AR114" i="104" s="1"/>
  <c r="AP124" i="104"/>
  <c r="AR124" i="104" s="1"/>
  <c r="AP117" i="104"/>
  <c r="AR117" i="104" s="1"/>
  <c r="AP109" i="104"/>
  <c r="AR109" i="104" s="1"/>
  <c r="AP118" i="104"/>
  <c r="AR118" i="104" s="1"/>
  <c r="AP125" i="104"/>
  <c r="AR125" i="104" s="1"/>
  <c r="AP119" i="104"/>
  <c r="AR119" i="104" s="1"/>
  <c r="AP120" i="104"/>
  <c r="AR120" i="104" s="1"/>
  <c r="AM187" i="107" l="1"/>
  <c r="AM188" i="107"/>
  <c r="J382" i="104"/>
  <c r="J384" i="104"/>
  <c r="J383" i="104"/>
  <c r="J380" i="104"/>
  <c r="V175" i="104"/>
  <c r="I625" i="114"/>
  <c r="X26" i="118" s="1"/>
  <c r="AD26" i="118" s="1"/>
  <c r="I624" i="114"/>
  <c r="I623" i="114"/>
  <c r="I622" i="114"/>
  <c r="I620" i="114"/>
  <c r="I619" i="114"/>
  <c r="I618" i="114"/>
  <c r="I617" i="114"/>
  <c r="I616" i="114"/>
  <c r="I615" i="114"/>
  <c r="I614" i="114"/>
  <c r="I613" i="114"/>
  <c r="I612" i="114"/>
  <c r="I611" i="114"/>
  <c r="I610" i="114"/>
  <c r="I609" i="114"/>
  <c r="I608" i="114"/>
  <c r="I607" i="114"/>
  <c r="I606" i="114"/>
  <c r="I605" i="114"/>
  <c r="I604" i="114"/>
  <c r="I603" i="114"/>
  <c r="I602" i="114"/>
  <c r="I601" i="114"/>
  <c r="I600" i="114"/>
  <c r="I599" i="114"/>
  <c r="I598" i="114"/>
  <c r="I597" i="114"/>
  <c r="I596" i="114"/>
  <c r="I595" i="114"/>
  <c r="I594" i="114"/>
  <c r="I593" i="114"/>
  <c r="I592" i="114"/>
  <c r="I591" i="114"/>
  <c r="I590" i="114"/>
  <c r="I589" i="114"/>
  <c r="I588" i="114"/>
  <c r="I587" i="114"/>
  <c r="I586" i="114"/>
  <c r="I585" i="114"/>
  <c r="I584" i="114"/>
  <c r="I583" i="114"/>
  <c r="I582" i="114"/>
  <c r="I581" i="114"/>
  <c r="I580" i="114"/>
  <c r="I579" i="114"/>
  <c r="I578" i="114"/>
  <c r="I577" i="114"/>
  <c r="I576" i="114"/>
  <c r="I575" i="114"/>
  <c r="I574" i="114"/>
  <c r="I573" i="114"/>
  <c r="I572" i="114"/>
  <c r="I571" i="114"/>
  <c r="I570" i="114"/>
  <c r="I569" i="114"/>
  <c r="I568" i="114"/>
  <c r="I567" i="114"/>
  <c r="I566" i="114"/>
  <c r="I565" i="114"/>
  <c r="I564" i="114"/>
  <c r="I563" i="114"/>
  <c r="I562" i="114"/>
  <c r="I561" i="114"/>
  <c r="I560" i="114"/>
  <c r="I559" i="114"/>
  <c r="I558" i="114"/>
  <c r="I557" i="114"/>
  <c r="I556" i="114"/>
  <c r="I555" i="114"/>
  <c r="I554" i="114"/>
  <c r="I553" i="114"/>
  <c r="I552" i="114"/>
  <c r="I551" i="114"/>
  <c r="I550" i="114"/>
  <c r="I549" i="114"/>
  <c r="I548" i="114"/>
  <c r="I547" i="114"/>
  <c r="I546" i="114"/>
  <c r="I545" i="114"/>
  <c r="I544" i="114"/>
  <c r="I543" i="114"/>
  <c r="I542" i="114"/>
  <c r="I541" i="114"/>
  <c r="I540" i="114"/>
  <c r="I539" i="114"/>
  <c r="I538" i="114"/>
  <c r="I537" i="114"/>
  <c r="I536" i="114"/>
  <c r="I535" i="114"/>
  <c r="I534" i="114"/>
  <c r="I533" i="114"/>
  <c r="I532" i="114"/>
  <c r="I531" i="114"/>
  <c r="I530" i="114"/>
  <c r="I529" i="114"/>
  <c r="I528" i="114"/>
  <c r="I527" i="114"/>
  <c r="I526" i="114"/>
  <c r="I525" i="114"/>
  <c r="I524" i="114"/>
  <c r="I523" i="114"/>
  <c r="I522" i="114"/>
  <c r="I521" i="114"/>
  <c r="I520" i="114"/>
  <c r="I519" i="114"/>
  <c r="I518" i="114"/>
  <c r="I517" i="114"/>
  <c r="I516" i="114"/>
  <c r="I515" i="114"/>
  <c r="I514" i="114"/>
  <c r="I513" i="114"/>
  <c r="I512" i="114"/>
  <c r="H511" i="114"/>
  <c r="I510" i="114"/>
  <c r="I509" i="114"/>
  <c r="I508" i="114"/>
  <c r="I507" i="114"/>
  <c r="I506" i="114"/>
  <c r="I505" i="114"/>
  <c r="I504" i="114"/>
  <c r="I503" i="114"/>
  <c r="H502" i="114"/>
  <c r="I501" i="114"/>
  <c r="I500" i="114"/>
  <c r="I499" i="114"/>
  <c r="I498" i="114"/>
  <c r="I497" i="114"/>
  <c r="I496" i="114"/>
  <c r="I495" i="114"/>
  <c r="I494" i="114"/>
  <c r="I493" i="114"/>
  <c r="I492" i="114"/>
  <c r="I491" i="114"/>
  <c r="I490" i="114"/>
  <c r="I489" i="114"/>
  <c r="I488" i="114"/>
  <c r="I487" i="114"/>
  <c r="I486" i="114"/>
  <c r="I485" i="114"/>
  <c r="I484" i="114"/>
  <c r="H483" i="114"/>
  <c r="I482" i="114"/>
  <c r="I481" i="114"/>
  <c r="I480" i="114"/>
  <c r="I479" i="114"/>
  <c r="I478" i="114"/>
  <c r="I477" i="114"/>
  <c r="I476" i="114"/>
  <c r="I475" i="114"/>
  <c r="I474" i="114"/>
  <c r="I473" i="114"/>
  <c r="I472" i="114"/>
  <c r="I471" i="114"/>
  <c r="I470" i="114"/>
  <c r="I469" i="114"/>
  <c r="I468" i="114"/>
  <c r="I467" i="114"/>
  <c r="I466" i="114"/>
  <c r="H465" i="114"/>
  <c r="H464" i="114"/>
  <c r="H463" i="114"/>
  <c r="I462" i="114"/>
  <c r="I461" i="114"/>
  <c r="I460" i="114"/>
  <c r="I459" i="114"/>
  <c r="I458" i="114"/>
  <c r="I457" i="114"/>
  <c r="I456" i="114"/>
  <c r="I455" i="114"/>
  <c r="I454" i="114"/>
  <c r="I453" i="114"/>
  <c r="I452" i="114"/>
  <c r="H451" i="114"/>
  <c r="H450" i="114"/>
  <c r="I449" i="114"/>
  <c r="I448" i="114"/>
  <c r="I447" i="114"/>
  <c r="I446" i="114"/>
  <c r="I445" i="114"/>
  <c r="I444" i="114"/>
  <c r="I443" i="114"/>
  <c r="I442" i="114"/>
  <c r="I441" i="114"/>
  <c r="I440" i="114"/>
  <c r="I439" i="114"/>
  <c r="I438" i="114"/>
  <c r="I437" i="114"/>
  <c r="I436" i="114"/>
  <c r="I435" i="114"/>
  <c r="I434" i="114"/>
  <c r="I433" i="114"/>
  <c r="I432" i="114"/>
  <c r="I431" i="114"/>
  <c r="I430" i="114"/>
  <c r="I429" i="114"/>
  <c r="I428" i="114"/>
  <c r="I427" i="114"/>
  <c r="I426" i="114"/>
  <c r="I425" i="114"/>
  <c r="I424" i="114"/>
  <c r="I423" i="114"/>
  <c r="I422" i="114"/>
  <c r="I421" i="114"/>
  <c r="I420" i="114"/>
  <c r="H419" i="114"/>
  <c r="I418" i="114"/>
  <c r="I417" i="114"/>
  <c r="I416" i="114"/>
  <c r="I415" i="114"/>
  <c r="I414" i="114"/>
  <c r="I413" i="114"/>
  <c r="I412" i="114"/>
  <c r="I411" i="114"/>
  <c r="I410" i="114"/>
  <c r="I409" i="114"/>
  <c r="I408" i="114"/>
  <c r="I407" i="114"/>
  <c r="I406" i="114"/>
  <c r="I405" i="114"/>
  <c r="I404" i="114"/>
  <c r="I403" i="114"/>
  <c r="I402" i="114"/>
  <c r="I401" i="114"/>
  <c r="I400" i="114"/>
  <c r="I399" i="114"/>
  <c r="I398" i="114"/>
  <c r="I397" i="114"/>
  <c r="I396" i="114"/>
  <c r="I395" i="114"/>
  <c r="I394" i="114"/>
  <c r="I393" i="114"/>
  <c r="I392" i="114"/>
  <c r="I391" i="114"/>
  <c r="I390" i="114"/>
  <c r="I389" i="114"/>
  <c r="I388" i="114"/>
  <c r="I387" i="114"/>
  <c r="I386" i="114"/>
  <c r="I385" i="114"/>
  <c r="I384" i="114"/>
  <c r="I383" i="114"/>
  <c r="I382" i="114"/>
  <c r="I381" i="114"/>
  <c r="I380" i="114"/>
  <c r="I379" i="114"/>
  <c r="I378" i="114"/>
  <c r="I377" i="114"/>
  <c r="I376" i="114"/>
  <c r="I375" i="114"/>
  <c r="I374" i="114"/>
  <c r="I373" i="114"/>
  <c r="I372" i="114"/>
  <c r="I371" i="114"/>
  <c r="I370" i="114"/>
  <c r="I369" i="114"/>
  <c r="I368" i="114"/>
  <c r="I367" i="114"/>
  <c r="I366" i="114"/>
  <c r="I365" i="114"/>
  <c r="I364" i="114"/>
  <c r="I363" i="114"/>
  <c r="I362" i="114"/>
  <c r="I361" i="114"/>
  <c r="I360" i="114"/>
  <c r="I359" i="114"/>
  <c r="I358" i="114"/>
  <c r="I357" i="114"/>
  <c r="H356" i="114"/>
  <c r="I355" i="114"/>
  <c r="I354" i="114"/>
  <c r="I353" i="114"/>
  <c r="I352" i="114"/>
  <c r="I351" i="114"/>
  <c r="I350" i="114"/>
  <c r="I349" i="114"/>
  <c r="I348" i="114"/>
  <c r="I347" i="114"/>
  <c r="I346" i="114"/>
  <c r="I345" i="114"/>
  <c r="I344" i="114"/>
  <c r="I343" i="114"/>
  <c r="I342" i="114"/>
  <c r="I341" i="114"/>
  <c r="I340" i="114"/>
  <c r="I339" i="114"/>
  <c r="I338" i="114"/>
  <c r="I337" i="114"/>
  <c r="I336" i="114"/>
  <c r="I335" i="114"/>
  <c r="I334" i="114"/>
  <c r="I333" i="114"/>
  <c r="I332" i="114"/>
  <c r="I331" i="114"/>
  <c r="I330" i="114"/>
  <c r="I329" i="114"/>
  <c r="I328" i="114"/>
  <c r="I327" i="114"/>
  <c r="I326" i="114"/>
  <c r="I325" i="114"/>
  <c r="I324" i="114"/>
  <c r="I323" i="114"/>
  <c r="I322" i="114"/>
  <c r="I321" i="114"/>
  <c r="I320" i="114"/>
  <c r="I319" i="114"/>
  <c r="I318" i="114"/>
  <c r="I317" i="114"/>
  <c r="I316" i="114"/>
  <c r="I315" i="114"/>
  <c r="I314" i="114"/>
  <c r="I313" i="114"/>
  <c r="I312" i="114"/>
  <c r="I311" i="114"/>
  <c r="I310" i="114"/>
  <c r="I309" i="114"/>
  <c r="I308" i="114"/>
  <c r="I307" i="114"/>
  <c r="I306" i="114"/>
  <c r="I305" i="114"/>
  <c r="I304" i="114"/>
  <c r="I303" i="114"/>
  <c r="I302" i="114"/>
  <c r="I301" i="114"/>
  <c r="I300" i="114"/>
  <c r="I299" i="114"/>
  <c r="I298" i="114"/>
  <c r="I297" i="114"/>
  <c r="I296" i="114"/>
  <c r="I295" i="114"/>
  <c r="I294" i="114"/>
  <c r="I293" i="114"/>
  <c r="I292" i="114"/>
  <c r="I291" i="114"/>
  <c r="I290" i="114"/>
  <c r="I289" i="114"/>
  <c r="I288" i="114"/>
  <c r="I287" i="114"/>
  <c r="I286" i="114"/>
  <c r="I285" i="114"/>
  <c r="I284" i="114"/>
  <c r="I283" i="114"/>
  <c r="I282" i="114"/>
  <c r="H281" i="114"/>
  <c r="I280" i="114"/>
  <c r="I279" i="114"/>
  <c r="I278" i="114"/>
  <c r="H277" i="114"/>
  <c r="I276" i="114"/>
  <c r="I275" i="114"/>
  <c r="I274" i="114"/>
  <c r="I273" i="114"/>
  <c r="I272" i="114"/>
  <c r="I271" i="114"/>
  <c r="I270" i="114"/>
  <c r="I269" i="114"/>
  <c r="I268" i="114"/>
  <c r="I267" i="114"/>
  <c r="I266" i="114"/>
  <c r="I265" i="114"/>
  <c r="I264" i="114"/>
  <c r="I263" i="114"/>
  <c r="I262" i="114"/>
  <c r="I261" i="114"/>
  <c r="I260" i="114"/>
  <c r="I259" i="114"/>
  <c r="I258" i="114"/>
  <c r="I257" i="114"/>
  <c r="I256" i="114"/>
  <c r="I255" i="114"/>
  <c r="I254" i="114"/>
  <c r="I253" i="114"/>
  <c r="I252" i="114"/>
  <c r="I251" i="114"/>
  <c r="I250" i="114"/>
  <c r="I249" i="114"/>
  <c r="I248" i="114"/>
  <c r="I247" i="114"/>
  <c r="I246" i="114"/>
  <c r="I245" i="114"/>
  <c r="I244" i="114"/>
  <c r="I243" i="114"/>
  <c r="I242" i="114"/>
  <c r="I241" i="114"/>
  <c r="I240" i="114"/>
  <c r="I239" i="114"/>
  <c r="I238" i="114"/>
  <c r="I237" i="114"/>
  <c r="I236" i="114"/>
  <c r="I235" i="114"/>
  <c r="I234" i="114"/>
  <c r="I233" i="114"/>
  <c r="I232" i="114"/>
  <c r="I231" i="114"/>
  <c r="I230" i="114"/>
  <c r="I229" i="114"/>
  <c r="I228" i="114"/>
  <c r="I227" i="114"/>
  <c r="H226" i="114"/>
  <c r="H225" i="114"/>
  <c r="I224" i="114"/>
  <c r="H223" i="114"/>
  <c r="I222" i="114"/>
  <c r="I221" i="114"/>
  <c r="I220" i="114"/>
  <c r="I219" i="114"/>
  <c r="I218" i="114"/>
  <c r="I217" i="114"/>
  <c r="I216" i="114"/>
  <c r="H215" i="114"/>
  <c r="I214" i="114"/>
  <c r="I213" i="114"/>
  <c r="I212" i="114"/>
  <c r="I211" i="114"/>
  <c r="I210" i="114"/>
  <c r="I209" i="114"/>
  <c r="I208" i="114"/>
  <c r="H207" i="114"/>
  <c r="I206" i="114"/>
  <c r="I205" i="114"/>
  <c r="I204" i="114"/>
  <c r="I203" i="114"/>
  <c r="I202" i="114"/>
  <c r="I201" i="114"/>
  <c r="I200" i="114"/>
  <c r="I199" i="114"/>
  <c r="I198" i="114"/>
  <c r="I197" i="114"/>
  <c r="I196" i="114"/>
  <c r="I195" i="114"/>
  <c r="H194" i="114"/>
  <c r="I193" i="114"/>
  <c r="I192" i="114"/>
  <c r="I191" i="114"/>
  <c r="I190" i="114"/>
  <c r="I189" i="114"/>
  <c r="I188" i="114"/>
  <c r="I187" i="114"/>
  <c r="I186" i="114"/>
  <c r="I185" i="114"/>
  <c r="I184" i="114"/>
  <c r="I183" i="114"/>
  <c r="I182" i="114"/>
  <c r="I181" i="114"/>
  <c r="I180" i="114"/>
  <c r="I179" i="114"/>
  <c r="I178" i="114"/>
  <c r="I177" i="114"/>
  <c r="I176" i="114"/>
  <c r="I175" i="114"/>
  <c r="I174" i="114"/>
  <c r="I173" i="114"/>
  <c r="I172" i="114"/>
  <c r="I171" i="114"/>
  <c r="I169" i="114"/>
  <c r="I168" i="114"/>
  <c r="I167" i="114"/>
  <c r="I166" i="114"/>
  <c r="I165" i="114"/>
  <c r="I164" i="114"/>
  <c r="I163" i="114"/>
  <c r="I162" i="114"/>
  <c r="I161" i="114"/>
  <c r="I160" i="114"/>
  <c r="I159" i="114"/>
  <c r="I158" i="114"/>
  <c r="I157" i="114"/>
  <c r="I156" i="114"/>
  <c r="I155" i="114"/>
  <c r="I154" i="114"/>
  <c r="I153" i="114"/>
  <c r="I152" i="114"/>
  <c r="I151" i="114"/>
  <c r="I150" i="114"/>
  <c r="I149" i="114"/>
  <c r="I148" i="114"/>
  <c r="I147" i="114"/>
  <c r="I146" i="114"/>
  <c r="I145" i="114"/>
  <c r="I144" i="114"/>
  <c r="I143" i="114"/>
  <c r="I142" i="114"/>
  <c r="I141" i="114"/>
  <c r="I140" i="114"/>
  <c r="I139" i="114"/>
  <c r="I138" i="114"/>
  <c r="I137" i="114"/>
  <c r="I136" i="114"/>
  <c r="I135" i="114"/>
  <c r="I134" i="114"/>
  <c r="I133" i="114"/>
  <c r="I132" i="114"/>
  <c r="I131" i="114"/>
  <c r="I130" i="114"/>
  <c r="I129" i="114"/>
  <c r="I128" i="114"/>
  <c r="I127" i="114"/>
  <c r="I126" i="114"/>
  <c r="I125" i="114"/>
  <c r="I124" i="114"/>
  <c r="I123" i="114"/>
  <c r="I122" i="114"/>
  <c r="I121" i="114"/>
  <c r="I120" i="114"/>
  <c r="I119" i="114"/>
  <c r="I118" i="114"/>
  <c r="I117" i="114"/>
  <c r="I116" i="114"/>
  <c r="I115" i="114"/>
  <c r="I114" i="114"/>
  <c r="I113" i="114"/>
  <c r="I112" i="114"/>
  <c r="I111" i="114"/>
  <c r="I110" i="114"/>
  <c r="I109" i="114"/>
  <c r="I108" i="114"/>
  <c r="I107" i="114"/>
  <c r="I106" i="114"/>
  <c r="I105" i="114"/>
  <c r="I104" i="114"/>
  <c r="I103" i="114"/>
  <c r="I102" i="114"/>
  <c r="I101" i="114"/>
  <c r="I100" i="114"/>
  <c r="I99" i="114"/>
  <c r="I98" i="114"/>
  <c r="I97" i="114"/>
  <c r="I96" i="114"/>
  <c r="I95" i="114"/>
  <c r="I94" i="114"/>
  <c r="I93" i="114"/>
  <c r="I92" i="114"/>
  <c r="I91" i="114"/>
  <c r="I90" i="114"/>
  <c r="I89" i="114"/>
  <c r="I88" i="114"/>
  <c r="I87" i="114"/>
  <c r="I86" i="114"/>
  <c r="I85" i="114"/>
  <c r="I84" i="114"/>
  <c r="I83" i="114"/>
  <c r="I82" i="114"/>
  <c r="I81" i="114"/>
  <c r="I80" i="114"/>
  <c r="I79" i="114"/>
  <c r="I78" i="114"/>
  <c r="I77" i="114"/>
  <c r="I76" i="114"/>
  <c r="I75" i="114"/>
  <c r="I74" i="114"/>
  <c r="I73" i="114"/>
  <c r="I72" i="114"/>
  <c r="I71" i="114"/>
  <c r="I70" i="114"/>
  <c r="I69" i="114"/>
  <c r="I68" i="114"/>
  <c r="I67" i="114"/>
  <c r="I66" i="114"/>
  <c r="I65" i="114"/>
  <c r="I64" i="114"/>
  <c r="I63" i="114"/>
  <c r="I62" i="114"/>
  <c r="I61" i="114"/>
  <c r="I60" i="114"/>
  <c r="I59" i="114"/>
  <c r="I58" i="114"/>
  <c r="I57" i="114"/>
  <c r="I56" i="114"/>
  <c r="I55" i="114"/>
  <c r="I54" i="114"/>
  <c r="I53" i="114"/>
  <c r="I52" i="114"/>
  <c r="I51" i="114"/>
  <c r="I50" i="114"/>
  <c r="I49" i="114"/>
  <c r="I48" i="114"/>
  <c r="I47" i="114"/>
  <c r="I46" i="114"/>
  <c r="I45" i="114"/>
  <c r="I44" i="114"/>
  <c r="I43" i="114"/>
  <c r="I42" i="114"/>
  <c r="I41" i="114"/>
  <c r="I40" i="114"/>
  <c r="I39" i="114"/>
  <c r="I38" i="114"/>
  <c r="I37" i="114"/>
  <c r="I36" i="114"/>
  <c r="I35" i="114"/>
  <c r="I34" i="114"/>
  <c r="I33" i="114"/>
  <c r="I32" i="114"/>
  <c r="I31" i="114"/>
  <c r="I30" i="114"/>
  <c r="I29" i="114"/>
  <c r="I28" i="114"/>
  <c r="I27" i="114"/>
  <c r="I26" i="114"/>
  <c r="I25" i="114"/>
  <c r="I24" i="114"/>
  <c r="I23" i="114"/>
  <c r="I22" i="114"/>
  <c r="I21" i="114"/>
  <c r="I20" i="114"/>
  <c r="I19" i="114"/>
  <c r="I18" i="114"/>
  <c r="I17" i="114"/>
  <c r="I16" i="114"/>
  <c r="I15" i="114"/>
  <c r="I14" i="114"/>
  <c r="I13" i="114"/>
  <c r="I12" i="114"/>
  <c r="I11" i="114"/>
  <c r="I10" i="114"/>
  <c r="I9" i="114"/>
  <c r="H8" i="114"/>
  <c r="H7" i="114"/>
  <c r="H6" i="114"/>
  <c r="H5" i="114"/>
  <c r="H4" i="114"/>
  <c r="AF26" i="118" l="1"/>
  <c r="AN188" i="107"/>
  <c r="AN187" i="107"/>
  <c r="H2" i="114"/>
  <c r="I2" i="114"/>
  <c r="X175" i="104"/>
  <c r="L383" i="104"/>
  <c r="L384" i="104"/>
  <c r="O14" i="117" l="1"/>
  <c r="Y175" i="104"/>
  <c r="AC244" i="4" l="1"/>
  <c r="V172" i="104"/>
  <c r="V173" i="104"/>
  <c r="V174" i="104"/>
  <c r="V170" i="104"/>
  <c r="V171" i="104"/>
  <c r="AP111" i="104"/>
  <c r="AR111" i="104" s="1"/>
  <c r="AP115" i="104"/>
  <c r="AR115" i="104" s="1"/>
  <c r="AP116" i="104"/>
  <c r="AR116" i="104" s="1"/>
  <c r="AL186" i="107"/>
  <c r="AP186" i="107"/>
  <c r="V169" i="104"/>
  <c r="L381" i="104"/>
  <c r="L382" i="104"/>
  <c r="AP106" i="104"/>
  <c r="AR106" i="104" s="1"/>
  <c r="AP107" i="104"/>
  <c r="AR107" i="104" s="1"/>
  <c r="AP108" i="104"/>
  <c r="AR108" i="104" s="1"/>
  <c r="AL185" i="107"/>
  <c r="AP185" i="107"/>
  <c r="V168" i="104"/>
  <c r="P13" i="117" l="1"/>
  <c r="X172" i="104"/>
  <c r="AM186" i="107"/>
  <c r="X173" i="104"/>
  <c r="X169" i="104"/>
  <c r="X171" i="104"/>
  <c r="X168" i="104"/>
  <c r="X170" i="104"/>
  <c r="X174" i="104"/>
  <c r="AM185" i="107"/>
  <c r="AL182" i="107"/>
  <c r="AP182" i="107"/>
  <c r="AL183" i="107"/>
  <c r="AP183" i="107"/>
  <c r="AL184" i="107"/>
  <c r="AP184" i="107"/>
  <c r="V164" i="104"/>
  <c r="V165" i="104"/>
  <c r="V166" i="104"/>
  <c r="V167" i="104"/>
  <c r="AP104" i="104"/>
  <c r="AR104" i="104" s="1"/>
  <c r="AP105" i="104"/>
  <c r="AR105" i="104" s="1"/>
  <c r="AN185" i="107" l="1"/>
  <c r="AN186" i="107"/>
  <c r="X7" i="118"/>
  <c r="Y172" i="104"/>
  <c r="Y174" i="104"/>
  <c r="Y170" i="104"/>
  <c r="Y168" i="104"/>
  <c r="Y171" i="104"/>
  <c r="Y169" i="104"/>
  <c r="Y173" i="104"/>
  <c r="X164" i="104"/>
  <c r="X167" i="104"/>
  <c r="X166" i="104"/>
  <c r="X165" i="104"/>
  <c r="AM183" i="107"/>
  <c r="AM184" i="107"/>
  <c r="AM182" i="107"/>
  <c r="AN184" i="107" l="1"/>
  <c r="AN183" i="107"/>
  <c r="AN182" i="107"/>
  <c r="X17" i="118"/>
  <c r="X8" i="118"/>
  <c r="X12" i="118" s="1"/>
  <c r="Y165" i="104"/>
  <c r="Y166" i="104"/>
  <c r="Y167" i="104"/>
  <c r="Y164" i="104"/>
  <c r="X9" i="118" l="1"/>
  <c r="AL178" i="107"/>
  <c r="AP178" i="107"/>
  <c r="AL179" i="107"/>
  <c r="AP179" i="107"/>
  <c r="AL180" i="107"/>
  <c r="AP180" i="107"/>
  <c r="AL181" i="107"/>
  <c r="AP181" i="107"/>
  <c r="V160" i="104"/>
  <c r="V161" i="104"/>
  <c r="V162" i="104"/>
  <c r="V163" i="104"/>
  <c r="X161" i="104" l="1"/>
  <c r="X160" i="104"/>
  <c r="X162" i="104"/>
  <c r="X163" i="104"/>
  <c r="AM178" i="107"/>
  <c r="AM179" i="107"/>
  <c r="AM181" i="107"/>
  <c r="AM180" i="107"/>
  <c r="AN179" i="107" l="1"/>
  <c r="AN178" i="107"/>
  <c r="AN180" i="107"/>
  <c r="AN181" i="107"/>
  <c r="Y163" i="104"/>
  <c r="Y160" i="104"/>
  <c r="Y161" i="104"/>
  <c r="Y162" i="104"/>
  <c r="AL174" i="107" l="1"/>
  <c r="AP174" i="107"/>
  <c r="AL175" i="107"/>
  <c r="AP175" i="107"/>
  <c r="AL176" i="107"/>
  <c r="AP176" i="107"/>
  <c r="AL177" i="107"/>
  <c r="AP177" i="107"/>
  <c r="V156" i="104"/>
  <c r="V157" i="104"/>
  <c r="V158" i="104"/>
  <c r="V159" i="104"/>
  <c r="AP88" i="104"/>
  <c r="AR88" i="104" s="1"/>
  <c r="AP89" i="104"/>
  <c r="AR89" i="104" s="1"/>
  <c r="AP90" i="104"/>
  <c r="AR90" i="104" s="1"/>
  <c r="AP91" i="104"/>
  <c r="AR91" i="104" s="1"/>
  <c r="P11" i="117" s="1"/>
  <c r="AP92" i="104"/>
  <c r="AR92" i="104" s="1"/>
  <c r="AP93" i="104"/>
  <c r="AR93" i="104" s="1"/>
  <c r="AP94" i="104"/>
  <c r="AR94" i="104" s="1"/>
  <c r="AP95" i="104"/>
  <c r="AR95" i="104" s="1"/>
  <c r="AP96" i="104"/>
  <c r="AR96" i="104" s="1"/>
  <c r="AP97" i="104"/>
  <c r="AR97" i="104" s="1"/>
  <c r="AP98" i="104"/>
  <c r="AR98" i="104" s="1"/>
  <c r="AP99" i="104"/>
  <c r="AR99" i="104" s="1"/>
  <c r="AP100" i="104"/>
  <c r="AR100" i="104" s="1"/>
  <c r="AP101" i="104"/>
  <c r="AR101" i="104" s="1"/>
  <c r="AP102" i="104"/>
  <c r="AR102" i="104" s="1"/>
  <c r="AP103" i="104"/>
  <c r="AR103" i="104" s="1"/>
  <c r="AP87" i="104"/>
  <c r="AR87" i="104" s="1"/>
  <c r="P12" i="117" l="1"/>
  <c r="AM175" i="107"/>
  <c r="X158" i="104"/>
  <c r="X157" i="104"/>
  <c r="X159" i="104"/>
  <c r="X156" i="104"/>
  <c r="AM174" i="107"/>
  <c r="AM176" i="107"/>
  <c r="AM177" i="107"/>
  <c r="AS266" i="4"/>
  <c r="AN174" i="107" l="1"/>
  <c r="AN177" i="107"/>
  <c r="AN175" i="107"/>
  <c r="AN176" i="107"/>
  <c r="Y159" i="104"/>
  <c r="Y157" i="104"/>
  <c r="Y158" i="104"/>
  <c r="Y156" i="104"/>
  <c r="J378" i="104"/>
  <c r="V152" i="104"/>
  <c r="V153" i="104"/>
  <c r="V154" i="104"/>
  <c r="V155" i="104"/>
  <c r="AL170" i="107"/>
  <c r="AP170" i="107"/>
  <c r="AL171" i="107"/>
  <c r="AP171" i="107"/>
  <c r="AL172" i="107"/>
  <c r="AP172" i="107"/>
  <c r="AL173" i="107"/>
  <c r="AP173" i="107"/>
  <c r="G19" i="80"/>
  <c r="L378" i="104" l="1"/>
  <c r="X155" i="104"/>
  <c r="X154" i="104"/>
  <c r="X153" i="104"/>
  <c r="X152" i="104"/>
  <c r="AM173" i="107"/>
  <c r="AM171" i="107"/>
  <c r="AM172" i="107"/>
  <c r="AM170" i="107"/>
  <c r="AN171" i="107" l="1"/>
  <c r="AN170" i="107"/>
  <c r="AN173" i="107"/>
  <c r="AN172" i="107"/>
  <c r="Y152" i="104"/>
  <c r="Y153" i="104"/>
  <c r="Y154" i="104"/>
  <c r="Y155" i="104"/>
  <c r="J379" i="104"/>
  <c r="L380" i="104"/>
  <c r="AL169" i="107"/>
  <c r="AP169" i="107"/>
  <c r="L379" i="104" l="1"/>
  <c r="AM169" i="107"/>
  <c r="AN169" i="107" l="1"/>
  <c r="O13" i="117"/>
  <c r="V151" i="104"/>
  <c r="J376" i="104"/>
  <c r="AL168" i="107"/>
  <c r="AP168" i="107"/>
  <c r="V150" i="104"/>
  <c r="J375" i="104"/>
  <c r="L375" i="104" l="1"/>
  <c r="L376" i="104"/>
  <c r="X150" i="104"/>
  <c r="X151" i="104"/>
  <c r="AM168" i="107"/>
  <c r="AN168" i="107" l="1"/>
  <c r="Y150" i="104"/>
  <c r="Y151" i="104"/>
  <c r="AL167" i="107" l="1"/>
  <c r="AP167" i="107"/>
  <c r="J373" i="104"/>
  <c r="AP4" i="104"/>
  <c r="AR4" i="104" s="1"/>
  <c r="AP5" i="104"/>
  <c r="AR5" i="104" s="1"/>
  <c r="AP6" i="104"/>
  <c r="AR6" i="104" s="1"/>
  <c r="AP7" i="104"/>
  <c r="AR7" i="104" s="1"/>
  <c r="AP8" i="104"/>
  <c r="AR8" i="104" s="1"/>
  <c r="AP9" i="104"/>
  <c r="AR9" i="104" s="1"/>
  <c r="AP10" i="104"/>
  <c r="AR10" i="104" s="1"/>
  <c r="AP11" i="104"/>
  <c r="AR11" i="104" s="1"/>
  <c r="AP12" i="104"/>
  <c r="AR12" i="104" s="1"/>
  <c r="AP13" i="104"/>
  <c r="AR13" i="104" s="1"/>
  <c r="AP14" i="104"/>
  <c r="AR14" i="104" s="1"/>
  <c r="AP15" i="104"/>
  <c r="AR15" i="104" s="1"/>
  <c r="AP16" i="104"/>
  <c r="AR16" i="104" s="1"/>
  <c r="AP17" i="104"/>
  <c r="AR17" i="104" s="1"/>
  <c r="AP18" i="104"/>
  <c r="AR18" i="104" s="1"/>
  <c r="AP19" i="104"/>
  <c r="AR19" i="104" s="1"/>
  <c r="AP20" i="104"/>
  <c r="AR20" i="104" s="1"/>
  <c r="AP21" i="104"/>
  <c r="AR21" i="104" s="1"/>
  <c r="AP22" i="104"/>
  <c r="AR22" i="104" s="1"/>
  <c r="AP23" i="104"/>
  <c r="AR23" i="104" s="1"/>
  <c r="AP24" i="104"/>
  <c r="AR24" i="104" s="1"/>
  <c r="AP25" i="104"/>
  <c r="AR25" i="104" s="1"/>
  <c r="AP26" i="104"/>
  <c r="AR26" i="104" s="1"/>
  <c r="AP27" i="104"/>
  <c r="AR27" i="104" s="1"/>
  <c r="AP28" i="104"/>
  <c r="AR28" i="104" s="1"/>
  <c r="AP29" i="104"/>
  <c r="AR29" i="104" s="1"/>
  <c r="AP30" i="104"/>
  <c r="AR30" i="104" s="1"/>
  <c r="AP31" i="104"/>
  <c r="AR31" i="104" s="1"/>
  <c r="AP32" i="104"/>
  <c r="AR32" i="104" s="1"/>
  <c r="AP33" i="104"/>
  <c r="AR33" i="104" s="1"/>
  <c r="AP34" i="104"/>
  <c r="AR34" i="104" s="1"/>
  <c r="AP35" i="104"/>
  <c r="AR35" i="104" s="1"/>
  <c r="AP36" i="104"/>
  <c r="AR36" i="104" s="1"/>
  <c r="AP37" i="104"/>
  <c r="AR37" i="104" s="1"/>
  <c r="AP38" i="104"/>
  <c r="AR38" i="104" s="1"/>
  <c r="AP39" i="104"/>
  <c r="AR39" i="104" s="1"/>
  <c r="AP40" i="104"/>
  <c r="AR40" i="104" s="1"/>
  <c r="AP41" i="104"/>
  <c r="AR41" i="104" s="1"/>
  <c r="AP42" i="104"/>
  <c r="AR42" i="104" s="1"/>
  <c r="AP43" i="104"/>
  <c r="AR43" i="104" s="1"/>
  <c r="AP44" i="104"/>
  <c r="AR44" i="104" s="1"/>
  <c r="P6" i="117" s="1"/>
  <c r="AP45" i="104"/>
  <c r="AR45" i="104" s="1"/>
  <c r="AP46" i="104"/>
  <c r="AR46" i="104" s="1"/>
  <c r="AP47" i="104"/>
  <c r="AR47" i="104" s="1"/>
  <c r="AP48" i="104"/>
  <c r="AR48" i="104" s="1"/>
  <c r="AP49" i="104"/>
  <c r="AR49" i="104" s="1"/>
  <c r="AP50" i="104"/>
  <c r="AR50" i="104" s="1"/>
  <c r="AP51" i="104"/>
  <c r="AR51" i="104" s="1"/>
  <c r="AP52" i="104"/>
  <c r="AR52" i="104" s="1"/>
  <c r="AP53" i="104"/>
  <c r="AR53" i="104" s="1"/>
  <c r="AP54" i="104"/>
  <c r="AR54" i="104" s="1"/>
  <c r="AP55" i="104"/>
  <c r="AR55" i="104" s="1"/>
  <c r="AP56" i="104"/>
  <c r="AR56" i="104" s="1"/>
  <c r="AP57" i="104"/>
  <c r="AR57" i="104" s="1"/>
  <c r="AP58" i="104"/>
  <c r="AR58" i="104" s="1"/>
  <c r="AP59" i="104"/>
  <c r="AR59" i="104" s="1"/>
  <c r="AP60" i="104"/>
  <c r="AR60" i="104" s="1"/>
  <c r="AP61" i="104"/>
  <c r="AR61" i="104" s="1"/>
  <c r="AP62" i="104"/>
  <c r="AR62" i="104" s="1"/>
  <c r="AP64" i="104"/>
  <c r="AR64" i="104" s="1"/>
  <c r="AP65" i="104"/>
  <c r="AR65" i="104" s="1"/>
  <c r="AP66" i="104"/>
  <c r="AR66" i="104" s="1"/>
  <c r="AP67" i="104"/>
  <c r="AR67" i="104" s="1"/>
  <c r="AP68" i="104"/>
  <c r="AR68" i="104" s="1"/>
  <c r="AP69" i="104"/>
  <c r="AR69" i="104" s="1"/>
  <c r="AP70" i="104"/>
  <c r="AR70" i="104" s="1"/>
  <c r="AP71" i="104"/>
  <c r="AR71" i="104" s="1"/>
  <c r="AP72" i="104"/>
  <c r="AR72" i="104" s="1"/>
  <c r="AP73" i="104"/>
  <c r="AR73" i="104" s="1"/>
  <c r="AP74" i="104"/>
  <c r="AR74" i="104" s="1"/>
  <c r="AP75" i="104"/>
  <c r="AR75" i="104" s="1"/>
  <c r="AP76" i="104"/>
  <c r="AR76" i="104" s="1"/>
  <c r="AP77" i="104"/>
  <c r="AR77" i="104" s="1"/>
  <c r="AP78" i="104"/>
  <c r="AR78" i="104" s="1"/>
  <c r="AP79" i="104"/>
  <c r="AR79" i="104" s="1"/>
  <c r="AP80" i="104"/>
  <c r="AR80" i="104" s="1"/>
  <c r="AP81" i="104"/>
  <c r="AR81" i="104" s="1"/>
  <c r="AP82" i="104"/>
  <c r="AR82" i="104" s="1"/>
  <c r="AP83" i="104"/>
  <c r="AR83" i="104" s="1"/>
  <c r="AP84" i="104"/>
  <c r="AR84" i="104" s="1"/>
  <c r="AP85" i="104"/>
  <c r="AR85" i="104" s="1"/>
  <c r="AP86" i="104"/>
  <c r="AR86" i="104" s="1"/>
  <c r="J374" i="104"/>
  <c r="V149" i="104"/>
  <c r="AL9" i="107"/>
  <c r="AL154" i="107"/>
  <c r="AL159" i="107"/>
  <c r="AP159" i="107"/>
  <c r="AL160" i="107"/>
  <c r="AP160" i="107"/>
  <c r="AL163" i="107"/>
  <c r="AP163" i="107"/>
  <c r="AL164" i="107"/>
  <c r="AP164" i="107"/>
  <c r="AP165" i="107"/>
  <c r="AL161" i="107"/>
  <c r="AP161" i="107"/>
  <c r="AL162" i="107"/>
  <c r="AP162" i="107"/>
  <c r="AL166" i="107"/>
  <c r="W7" i="118" s="1"/>
  <c r="AP166" i="107"/>
  <c r="V141" i="104"/>
  <c r="V142" i="104"/>
  <c r="V143" i="104"/>
  <c r="V144" i="104"/>
  <c r="V145" i="104"/>
  <c r="V146" i="104"/>
  <c r="V147" i="104"/>
  <c r="V148" i="104"/>
  <c r="P7" i="117" l="1"/>
  <c r="P9" i="117"/>
  <c r="P10" i="117"/>
  <c r="P5" i="117"/>
  <c r="W17" i="118"/>
  <c r="W8" i="118"/>
  <c r="W12" i="118" s="1"/>
  <c r="L373" i="104"/>
  <c r="L374" i="104"/>
  <c r="X144" i="104"/>
  <c r="X143" i="104"/>
  <c r="X149" i="104"/>
  <c r="X148" i="104"/>
  <c r="X141" i="104"/>
  <c r="Y141" i="104" s="1"/>
  <c r="X147" i="104"/>
  <c r="X142" i="104"/>
  <c r="X146" i="104"/>
  <c r="X145" i="104"/>
  <c r="AM167" i="107"/>
  <c r="AM166" i="107"/>
  <c r="AM161" i="107"/>
  <c r="AM164" i="107"/>
  <c r="AM160" i="107"/>
  <c r="AM162" i="107"/>
  <c r="AM165" i="107"/>
  <c r="AM163" i="107"/>
  <c r="AM159" i="107"/>
  <c r="AN167" i="107" l="1"/>
  <c r="W9" i="118"/>
  <c r="Y143" i="104"/>
  <c r="Y149" i="104"/>
  <c r="Y144" i="104"/>
  <c r="Y145" i="104"/>
  <c r="Y148" i="104"/>
  <c r="Y146" i="104"/>
  <c r="Y142" i="104"/>
  <c r="Y147" i="104"/>
  <c r="J310" i="104" l="1"/>
  <c r="J311" i="104"/>
  <c r="J317" i="104"/>
  <c r="J318" i="104"/>
  <c r="J319" i="104"/>
  <c r="J320" i="104"/>
  <c r="J321" i="104"/>
  <c r="J322" i="104"/>
  <c r="J323" i="104"/>
  <c r="J326" i="104"/>
  <c r="J327" i="104"/>
  <c r="J330" i="104"/>
  <c r="J331" i="104"/>
  <c r="J332" i="104"/>
  <c r="J335" i="104"/>
  <c r="J336" i="104"/>
  <c r="J337" i="104"/>
  <c r="J338" i="104"/>
  <c r="J339" i="104"/>
  <c r="J340" i="104"/>
  <c r="AP153" i="107"/>
  <c r="AP154" i="107"/>
  <c r="AL155" i="107"/>
  <c r="AP155" i="107"/>
  <c r="AL156" i="107"/>
  <c r="AP156" i="107"/>
  <c r="AL157" i="107"/>
  <c r="AP157" i="107"/>
  <c r="AL158" i="107"/>
  <c r="AP158" i="107"/>
  <c r="J368" i="104"/>
  <c r="J369" i="104"/>
  <c r="J370" i="104"/>
  <c r="J371" i="104"/>
  <c r="J372" i="104"/>
  <c r="T2" i="104"/>
  <c r="L371" i="104" l="1"/>
  <c r="L369" i="104"/>
  <c r="L368" i="104"/>
  <c r="L320" i="104"/>
  <c r="L370" i="104"/>
  <c r="L372" i="104"/>
  <c r="L327" i="104"/>
  <c r="L326" i="104"/>
  <c r="L339" i="104"/>
  <c r="L321" i="104"/>
  <c r="L338" i="104"/>
  <c r="L337" i="104"/>
  <c r="L336" i="104"/>
  <c r="L319" i="104"/>
  <c r="L335" i="104"/>
  <c r="L318" i="104"/>
  <c r="L323" i="104"/>
  <c r="L340" i="104"/>
  <c r="L322" i="104"/>
  <c r="L331" i="104"/>
  <c r="L311" i="104"/>
  <c r="L332" i="104"/>
  <c r="L317" i="104"/>
  <c r="L330" i="104"/>
  <c r="L310" i="104"/>
  <c r="AM155" i="107"/>
  <c r="AM154" i="107"/>
  <c r="AM158" i="107"/>
  <c r="AM156" i="107"/>
  <c r="AM157" i="107"/>
  <c r="AM153" i="107"/>
  <c r="V135" i="104"/>
  <c r="V136" i="104"/>
  <c r="V137" i="104"/>
  <c r="V138" i="104"/>
  <c r="V139" i="104"/>
  <c r="V140" i="104"/>
  <c r="O12" i="117" l="1"/>
  <c r="X135" i="104"/>
  <c r="X138" i="104"/>
  <c r="Y138" i="104" s="1"/>
  <c r="X137" i="104"/>
  <c r="X136" i="104"/>
  <c r="X140" i="104"/>
  <c r="X139" i="104"/>
  <c r="Y139" i="104" l="1"/>
  <c r="Y140" i="104"/>
  <c r="Y136" i="104"/>
  <c r="Y137" i="104"/>
  <c r="Y135" i="104"/>
  <c r="T2" i="112" l="1" a="1"/>
  <c r="AL152" i="107" l="1"/>
  <c r="AP152" i="107"/>
  <c r="T373" i="107"/>
  <c r="T374" i="107"/>
  <c r="T375" i="107"/>
  <c r="T376" i="107"/>
  <c r="T378" i="107"/>
  <c r="T379" i="107"/>
  <c r="J361" i="104"/>
  <c r="J362" i="104"/>
  <c r="J363" i="104"/>
  <c r="J364" i="104"/>
  <c r="J365" i="104"/>
  <c r="J301" i="104"/>
  <c r="J302" i="104"/>
  <c r="J303" i="104"/>
  <c r="J307" i="104"/>
  <c r="J308" i="104"/>
  <c r="J309" i="104"/>
  <c r="J366" i="104"/>
  <c r="J367" i="104"/>
  <c r="V134" i="104"/>
  <c r="R380" i="115" l="1"/>
  <c r="R379" i="115"/>
  <c r="R378" i="115"/>
  <c r="L362" i="104"/>
  <c r="X134" i="104"/>
  <c r="L361" i="104"/>
  <c r="L307" i="104"/>
  <c r="L303" i="104"/>
  <c r="L365" i="104"/>
  <c r="L363" i="104"/>
  <c r="L367" i="104"/>
  <c r="L366" i="104"/>
  <c r="L309" i="104"/>
  <c r="L308" i="104"/>
  <c r="L302" i="104"/>
  <c r="L301" i="104"/>
  <c r="L364" i="104"/>
  <c r="AM152" i="107"/>
  <c r="T361" i="107"/>
  <c r="T362" i="107"/>
  <c r="T363" i="107"/>
  <c r="T364" i="107"/>
  <c r="R373" i="115" s="1"/>
  <c r="T365" i="107"/>
  <c r="R374" i="115" s="1"/>
  <c r="T366" i="107"/>
  <c r="T367" i="107"/>
  <c r="T368" i="107"/>
  <c r="T369" i="107"/>
  <c r="T370" i="107"/>
  <c r="T371" i="107"/>
  <c r="T372" i="107"/>
  <c r="J349" i="104"/>
  <c r="J350" i="104"/>
  <c r="J351" i="104"/>
  <c r="J352" i="104"/>
  <c r="J353" i="104"/>
  <c r="J354" i="104"/>
  <c r="J355" i="104"/>
  <c r="J356" i="104"/>
  <c r="J357" i="104"/>
  <c r="J358" i="104"/>
  <c r="J359" i="104"/>
  <c r="J360" i="104"/>
  <c r="R377" i="115" l="1"/>
  <c r="R375" i="115"/>
  <c r="R376" i="115"/>
  <c r="Y134" i="104"/>
  <c r="L353" i="104"/>
  <c r="L360" i="104"/>
  <c r="L352" i="104"/>
  <c r="L351" i="104"/>
  <c r="L354" i="104"/>
  <c r="L359" i="104"/>
  <c r="L350" i="104"/>
  <c r="L349" i="104"/>
  <c r="L358" i="104"/>
  <c r="L357" i="104"/>
  <c r="L356" i="104"/>
  <c r="L355" i="104"/>
  <c r="AL151" i="107"/>
  <c r="AP151" i="107"/>
  <c r="T353" i="107"/>
  <c r="T354" i="107"/>
  <c r="T355" i="107"/>
  <c r="T356" i="107"/>
  <c r="T357" i="107"/>
  <c r="T358" i="107"/>
  <c r="T359" i="107"/>
  <c r="T360" i="107"/>
  <c r="J341" i="104"/>
  <c r="J342" i="104"/>
  <c r="J343" i="104"/>
  <c r="J344" i="104"/>
  <c r="J345" i="104"/>
  <c r="J346" i="104"/>
  <c r="J347" i="104"/>
  <c r="J348" i="104"/>
  <c r="V133" i="104"/>
  <c r="B4" i="110"/>
  <c r="B5" i="110"/>
  <c r="B6" i="110"/>
  <c r="B7" i="110"/>
  <c r="B8" i="110"/>
  <c r="B9" i="110"/>
  <c r="B10" i="110"/>
  <c r="B11" i="110"/>
  <c r="B12" i="110"/>
  <c r="B13" i="110"/>
  <c r="B14" i="110"/>
  <c r="B15" i="110"/>
  <c r="B16" i="110"/>
  <c r="B17" i="110"/>
  <c r="B18" i="110"/>
  <c r="B19" i="110"/>
  <c r="B20" i="110"/>
  <c r="B21" i="110"/>
  <c r="B22" i="110"/>
  <c r="B23" i="110"/>
  <c r="B24" i="110"/>
  <c r="B25" i="110"/>
  <c r="B26" i="110"/>
  <c r="B27" i="110"/>
  <c r="B28" i="110"/>
  <c r="B29" i="110"/>
  <c r="B30" i="110"/>
  <c r="B31" i="110"/>
  <c r="B32" i="110"/>
  <c r="B33" i="110"/>
  <c r="B34" i="110"/>
  <c r="B35" i="110"/>
  <c r="B36" i="110"/>
  <c r="B37" i="110"/>
  <c r="B38" i="110"/>
  <c r="B39" i="110"/>
  <c r="B40" i="110"/>
  <c r="B41" i="110"/>
  <c r="B42" i="110"/>
  <c r="B43" i="110"/>
  <c r="B44" i="110"/>
  <c r="B45" i="110"/>
  <c r="B46" i="110"/>
  <c r="B47" i="110"/>
  <c r="B48" i="110"/>
  <c r="B49" i="110"/>
  <c r="B50" i="110"/>
  <c r="B51" i="110"/>
  <c r="B52" i="110"/>
  <c r="B53" i="110"/>
  <c r="B54" i="110"/>
  <c r="B55" i="110"/>
  <c r="B56" i="110"/>
  <c r="B57" i="110"/>
  <c r="B58" i="110"/>
  <c r="B59" i="110"/>
  <c r="B60" i="110"/>
  <c r="B61" i="110"/>
  <c r="B62" i="110"/>
  <c r="B63" i="110"/>
  <c r="B64" i="110"/>
  <c r="B65" i="110"/>
  <c r="B66" i="110"/>
  <c r="B67" i="110"/>
  <c r="B68" i="110"/>
  <c r="B69" i="110"/>
  <c r="B70" i="110"/>
  <c r="B71" i="110"/>
  <c r="B72" i="110"/>
  <c r="B73" i="110"/>
  <c r="B74" i="110"/>
  <c r="B75" i="110"/>
  <c r="B76" i="110"/>
  <c r="B77" i="110"/>
  <c r="B78" i="110"/>
  <c r="B79" i="110"/>
  <c r="B80" i="110"/>
  <c r="B81" i="110"/>
  <c r="B82" i="110"/>
  <c r="B83" i="110"/>
  <c r="B84" i="110"/>
  <c r="B85" i="110"/>
  <c r="B86" i="110"/>
  <c r="B87" i="110"/>
  <c r="B88" i="110"/>
  <c r="B89" i="110"/>
  <c r="B90" i="110"/>
  <c r="B91" i="110"/>
  <c r="B92" i="110"/>
  <c r="B93" i="110"/>
  <c r="B94" i="110"/>
  <c r="B95" i="110"/>
  <c r="B96" i="110"/>
  <c r="B97" i="110"/>
  <c r="B98" i="110"/>
  <c r="B99" i="110"/>
  <c r="B100" i="110"/>
  <c r="B101" i="110"/>
  <c r="B102" i="110"/>
  <c r="B103" i="110"/>
  <c r="B104" i="110"/>
  <c r="B105" i="110"/>
  <c r="B106" i="110"/>
  <c r="B107" i="110"/>
  <c r="B108" i="110"/>
  <c r="B109" i="110"/>
  <c r="B110" i="110"/>
  <c r="B111" i="110"/>
  <c r="B112" i="110"/>
  <c r="B113" i="110"/>
  <c r="B114" i="110"/>
  <c r="B115" i="110"/>
  <c r="B116" i="110"/>
  <c r="B117" i="110"/>
  <c r="B118" i="110"/>
  <c r="B119" i="110"/>
  <c r="B120" i="110"/>
  <c r="B121" i="110"/>
  <c r="B122" i="110"/>
  <c r="B123" i="110"/>
  <c r="B124" i="110"/>
  <c r="B125" i="110"/>
  <c r="B126" i="110"/>
  <c r="B127" i="110"/>
  <c r="B128" i="110"/>
  <c r="B129" i="110"/>
  <c r="B130" i="110"/>
  <c r="B131" i="110"/>
  <c r="B132" i="110"/>
  <c r="B133" i="110"/>
  <c r="B134" i="110"/>
  <c r="B135" i="110"/>
  <c r="B136" i="110"/>
  <c r="B137" i="110"/>
  <c r="B138" i="110"/>
  <c r="B139" i="110"/>
  <c r="B140" i="110"/>
  <c r="B141" i="110"/>
  <c r="B142" i="110"/>
  <c r="B143" i="110"/>
  <c r="B144" i="110"/>
  <c r="B145" i="110"/>
  <c r="B146" i="110"/>
  <c r="B147" i="110"/>
  <c r="B148" i="110"/>
  <c r="B149" i="110"/>
  <c r="B150" i="110"/>
  <c r="B151" i="110"/>
  <c r="B152" i="110"/>
  <c r="B153" i="110"/>
  <c r="B154" i="110"/>
  <c r="B155" i="110"/>
  <c r="B156" i="110"/>
  <c r="B157" i="110"/>
  <c r="B158" i="110"/>
  <c r="B159" i="110"/>
  <c r="B160" i="110"/>
  <c r="B161" i="110"/>
  <c r="B162" i="110"/>
  <c r="B163" i="110"/>
  <c r="B164" i="110"/>
  <c r="B165" i="110"/>
  <c r="B166" i="110"/>
  <c r="B167" i="110"/>
  <c r="B168" i="110"/>
  <c r="B169" i="110"/>
  <c r="B170" i="110"/>
  <c r="B171" i="110"/>
  <c r="B172" i="110"/>
  <c r="B173" i="110"/>
  <c r="B174" i="110"/>
  <c r="B175" i="110"/>
  <c r="B176" i="110"/>
  <c r="B177" i="110"/>
  <c r="B178" i="110"/>
  <c r="B179" i="110"/>
  <c r="B180" i="110"/>
  <c r="B181" i="110"/>
  <c r="B182" i="110"/>
  <c r="B183" i="110"/>
  <c r="B184" i="110"/>
  <c r="B185" i="110"/>
  <c r="B186" i="110"/>
  <c r="B187" i="110"/>
  <c r="B188" i="110"/>
  <c r="B189" i="110"/>
  <c r="B190" i="110"/>
  <c r="B191" i="110"/>
  <c r="B192" i="110"/>
  <c r="B193" i="110"/>
  <c r="B196" i="110"/>
  <c r="B195" i="110"/>
  <c r="B194" i="110"/>
  <c r="B201" i="110"/>
  <c r="B197" i="110"/>
  <c r="B198" i="110"/>
  <c r="B199" i="110"/>
  <c r="B200" i="110"/>
  <c r="B202" i="110"/>
  <c r="B203" i="110"/>
  <c r="B204" i="110"/>
  <c r="B205" i="110"/>
  <c r="B206" i="110"/>
  <c r="B207" i="110"/>
  <c r="B208" i="110"/>
  <c r="B209" i="110"/>
  <c r="B210" i="110"/>
  <c r="B211" i="110"/>
  <c r="B212" i="110"/>
  <c r="B213" i="110"/>
  <c r="B3" i="110"/>
  <c r="R372" i="115" l="1"/>
  <c r="L345" i="104"/>
  <c r="X133" i="104"/>
  <c r="L346" i="104"/>
  <c r="L344" i="104"/>
  <c r="L343" i="104"/>
  <c r="L348" i="104"/>
  <c r="L342" i="104"/>
  <c r="L341" i="104"/>
  <c r="L347" i="104"/>
  <c r="AM151" i="107"/>
  <c r="AL104" i="107"/>
  <c r="AL149" i="107"/>
  <c r="AP149" i="107"/>
  <c r="AL150" i="107"/>
  <c r="V7" i="118" s="1"/>
  <c r="AP150" i="107"/>
  <c r="T317" i="107"/>
  <c r="T323" i="107"/>
  <c r="T328" i="107"/>
  <c r="T329" i="107"/>
  <c r="T330" i="107"/>
  <c r="T331" i="107"/>
  <c r="T337" i="107"/>
  <c r="T338" i="107"/>
  <c r="T342" i="107"/>
  <c r="T343" i="107"/>
  <c r="T346" i="107"/>
  <c r="T347" i="107"/>
  <c r="T352" i="107"/>
  <c r="T277" i="107"/>
  <c r="J251" i="104"/>
  <c r="W121" i="104"/>
  <c r="W2" i="104" s="1"/>
  <c r="J296" i="104"/>
  <c r="J297" i="104"/>
  <c r="J298" i="104"/>
  <c r="J299" i="104"/>
  <c r="J300" i="104"/>
  <c r="J305" i="104"/>
  <c r="J306" i="104"/>
  <c r="J316" i="104"/>
  <c r="V126" i="104"/>
  <c r="V127" i="104"/>
  <c r="V128" i="104"/>
  <c r="V129" i="104"/>
  <c r="V130" i="104"/>
  <c r="V131" i="104"/>
  <c r="V132" i="104"/>
  <c r="V17" i="118" l="1"/>
  <c r="V8" i="118"/>
  <c r="V12" i="118" s="1"/>
  <c r="R347" i="115"/>
  <c r="R369" i="115"/>
  <c r="R362" i="115"/>
  <c r="R361" i="115"/>
  <c r="R371" i="115"/>
  <c r="R370" i="115"/>
  <c r="R365" i="115"/>
  <c r="R363" i="115"/>
  <c r="R368" i="115"/>
  <c r="R367" i="115"/>
  <c r="R366" i="115"/>
  <c r="R364" i="115"/>
  <c r="Y133" i="104"/>
  <c r="L305" i="104"/>
  <c r="L300" i="104"/>
  <c r="L299" i="104"/>
  <c r="L298" i="104"/>
  <c r="L306" i="104"/>
  <c r="L297" i="104"/>
  <c r="L296" i="104"/>
  <c r="L316" i="104"/>
  <c r="X132" i="104"/>
  <c r="Y132" i="104" s="1"/>
  <c r="X126" i="104"/>
  <c r="Y126" i="104" s="1"/>
  <c r="X130" i="104"/>
  <c r="Y130" i="104" s="1"/>
  <c r="X129" i="104"/>
  <c r="Y129" i="104" s="1"/>
  <c r="X131" i="104"/>
  <c r="Y131" i="104" s="1"/>
  <c r="X128" i="104"/>
  <c r="Y128" i="104" s="1"/>
  <c r="X127" i="104"/>
  <c r="Y127" i="104" s="1"/>
  <c r="L251" i="104"/>
  <c r="AM149" i="107"/>
  <c r="AM150" i="107"/>
  <c r="V9" i="118" l="1"/>
  <c r="V122" i="104" l="1"/>
  <c r="V123" i="104"/>
  <c r="J295" i="104"/>
  <c r="J304" i="104"/>
  <c r="J312" i="104"/>
  <c r="J284" i="104"/>
  <c r="J313" i="104"/>
  <c r="J314" i="104"/>
  <c r="J315" i="104"/>
  <c r="J324" i="104"/>
  <c r="J325" i="104"/>
  <c r="J328" i="104"/>
  <c r="J329" i="104"/>
  <c r="J333" i="104"/>
  <c r="J334" i="104"/>
  <c r="P14" i="5"/>
  <c r="J242" i="104"/>
  <c r="AL143" i="107"/>
  <c r="AP143" i="107"/>
  <c r="AL144" i="107"/>
  <c r="AP144" i="107"/>
  <c r="AL145" i="107"/>
  <c r="AP145" i="107"/>
  <c r="AL146" i="107"/>
  <c r="AP146" i="107"/>
  <c r="AL147" i="107"/>
  <c r="AP147" i="107"/>
  <c r="AL148" i="107"/>
  <c r="AP148" i="107"/>
  <c r="T278" i="107"/>
  <c r="T279" i="107"/>
  <c r="T280" i="107"/>
  <c r="T300" i="107"/>
  <c r="T282" i="107"/>
  <c r="T283" i="107"/>
  <c r="T281" i="107"/>
  <c r="T284" i="107"/>
  <c r="T286" i="107"/>
  <c r="T287" i="107"/>
  <c r="T288" i="107"/>
  <c r="T289" i="107"/>
  <c r="T290" i="107"/>
  <c r="T291" i="107"/>
  <c r="T292" i="107"/>
  <c r="T293" i="107"/>
  <c r="T294" i="107"/>
  <c r="T295" i="107"/>
  <c r="T296" i="107"/>
  <c r="T297" i="107"/>
  <c r="T298" i="107"/>
  <c r="T299" i="107"/>
  <c r="T301" i="107"/>
  <c r="T302" i="107"/>
  <c r="T303" i="107"/>
  <c r="T304" i="107"/>
  <c r="T305" i="107"/>
  <c r="T306" i="107"/>
  <c r="T307" i="107"/>
  <c r="T309" i="107"/>
  <c r="T308" i="107"/>
  <c r="T310" i="107"/>
  <c r="T311" i="107"/>
  <c r="T312" i="107"/>
  <c r="T313" i="107"/>
  <c r="J262" i="104"/>
  <c r="J267" i="104"/>
  <c r="J268" i="104"/>
  <c r="V125" i="104"/>
  <c r="V119" i="104"/>
  <c r="V120" i="104"/>
  <c r="V121" i="104"/>
  <c r="V112" i="104"/>
  <c r="V110" i="104"/>
  <c r="J256" i="104"/>
  <c r="J257" i="104"/>
  <c r="J258" i="104"/>
  <c r="J259" i="104"/>
  <c r="J260" i="104"/>
  <c r="J261" i="104"/>
  <c r="J263" i="104"/>
  <c r="J264" i="104"/>
  <c r="J265" i="104"/>
  <c r="J266" i="104"/>
  <c r="J269" i="104"/>
  <c r="J270" i="104"/>
  <c r="J271" i="104"/>
  <c r="J272" i="104"/>
  <c r="J273" i="104"/>
  <c r="J274" i="104"/>
  <c r="J275" i="104"/>
  <c r="J276" i="104"/>
  <c r="J277" i="104"/>
  <c r="J278" i="104"/>
  <c r="J279" i="104"/>
  <c r="J280" i="104"/>
  <c r="J281" i="104"/>
  <c r="J282" i="104"/>
  <c r="J283" i="104"/>
  <c r="J285" i="104"/>
  <c r="J286" i="104"/>
  <c r="J287" i="104"/>
  <c r="J288" i="104"/>
  <c r="J289" i="104"/>
  <c r="J290" i="104"/>
  <c r="J291" i="104"/>
  <c r="J292" i="104"/>
  <c r="J293" i="104"/>
  <c r="J294" i="104"/>
  <c r="D2" i="5"/>
  <c r="E2" i="5"/>
  <c r="F2" i="5"/>
  <c r="G2" i="5"/>
  <c r="H2" i="5"/>
  <c r="I2" i="5"/>
  <c r="J2" i="5"/>
  <c r="K2" i="5"/>
  <c r="L2" i="5"/>
  <c r="M2" i="5"/>
  <c r="N2" i="5"/>
  <c r="O2" i="5"/>
  <c r="AL139" i="107"/>
  <c r="AP139" i="107"/>
  <c r="AL140" i="107"/>
  <c r="AP140" i="107"/>
  <c r="AL141" i="107"/>
  <c r="AP141" i="107"/>
  <c r="AL142" i="107"/>
  <c r="AP142" i="107"/>
  <c r="AP138" i="107"/>
  <c r="T259" i="107"/>
  <c r="T260" i="107"/>
  <c r="T261" i="107"/>
  <c r="T270" i="107"/>
  <c r="T262" i="107"/>
  <c r="T263" i="107"/>
  <c r="T264" i="107"/>
  <c r="T265" i="107"/>
  <c r="T266" i="107"/>
  <c r="T267" i="107"/>
  <c r="T268" i="107"/>
  <c r="T269" i="107"/>
  <c r="T271" i="107"/>
  <c r="R343" i="115" s="1"/>
  <c r="T272" i="107"/>
  <c r="T273" i="107"/>
  <c r="T274" i="107"/>
  <c r="T275" i="107"/>
  <c r="T276" i="107"/>
  <c r="V114" i="104"/>
  <c r="V124" i="104"/>
  <c r="V117" i="104"/>
  <c r="V109" i="104"/>
  <c r="V118" i="104"/>
  <c r="J240" i="104"/>
  <c r="J241" i="104"/>
  <c r="J234" i="104"/>
  <c r="J235" i="104"/>
  <c r="J236" i="104"/>
  <c r="J237" i="104"/>
  <c r="J238" i="104"/>
  <c r="J239" i="104"/>
  <c r="J243" i="104"/>
  <c r="J244" i="104"/>
  <c r="J245" i="104"/>
  <c r="J246" i="104"/>
  <c r="J247" i="104"/>
  <c r="J248" i="104"/>
  <c r="J249" i="104"/>
  <c r="J250" i="104"/>
  <c r="J252" i="104"/>
  <c r="J253" i="104"/>
  <c r="J254" i="104"/>
  <c r="J255" i="104"/>
  <c r="AL137" i="107"/>
  <c r="AP137" i="107"/>
  <c r="T253" i="107"/>
  <c r="T252" i="107"/>
  <c r="T255" i="107"/>
  <c r="T257" i="107"/>
  <c r="T258" i="107"/>
  <c r="T256" i="107"/>
  <c r="J228" i="104"/>
  <c r="J229" i="104"/>
  <c r="J230" i="104"/>
  <c r="J231" i="104"/>
  <c r="J232" i="104"/>
  <c r="J233" i="104"/>
  <c r="V113" i="104"/>
  <c r="T209" i="107"/>
  <c r="AQ209" i="107" s="1"/>
  <c r="AR209" i="107" s="1"/>
  <c r="AP128" i="107"/>
  <c r="AP129" i="107"/>
  <c r="AP130" i="107"/>
  <c r="AP131" i="107"/>
  <c r="AP132" i="107"/>
  <c r="AP133" i="107"/>
  <c r="AP134" i="107"/>
  <c r="AP135" i="107"/>
  <c r="AP136" i="107"/>
  <c r="T238" i="107"/>
  <c r="T239" i="107"/>
  <c r="T240" i="107"/>
  <c r="T241" i="107"/>
  <c r="T242" i="107"/>
  <c r="T243" i="107"/>
  <c r="T244" i="107"/>
  <c r="R242" i="115" s="1"/>
  <c r="T245" i="107"/>
  <c r="T246" i="107"/>
  <c r="T247" i="107"/>
  <c r="R245" i="115" s="1"/>
  <c r="T249" i="107"/>
  <c r="T248" i="107"/>
  <c r="T250" i="107"/>
  <c r="T251" i="107"/>
  <c r="T254" i="107"/>
  <c r="V103" i="104"/>
  <c r="V104" i="104"/>
  <c r="V105" i="104"/>
  <c r="V106" i="104"/>
  <c r="V107" i="104"/>
  <c r="V108" i="104"/>
  <c r="V115" i="104"/>
  <c r="V116" i="104"/>
  <c r="V111" i="104"/>
  <c r="J213" i="104"/>
  <c r="J214" i="104"/>
  <c r="J215" i="104"/>
  <c r="J216" i="104"/>
  <c r="J217" i="104"/>
  <c r="J218" i="104"/>
  <c r="J219" i="104"/>
  <c r="J220" i="104"/>
  <c r="J221" i="104"/>
  <c r="J222" i="104"/>
  <c r="J223" i="104"/>
  <c r="J224" i="104"/>
  <c r="J225" i="104"/>
  <c r="J226" i="104"/>
  <c r="J227" i="104"/>
  <c r="AL10" i="107"/>
  <c r="AL11" i="107"/>
  <c r="AL12" i="107"/>
  <c r="AL13" i="107"/>
  <c r="AL14" i="107"/>
  <c r="AL15" i="107"/>
  <c r="AL16" i="107"/>
  <c r="AL17" i="107"/>
  <c r="AL18" i="107"/>
  <c r="AL19" i="107"/>
  <c r="AL6" i="107"/>
  <c r="AL7" i="107"/>
  <c r="AL22" i="107"/>
  <c r="AL23" i="107"/>
  <c r="AL24" i="107"/>
  <c r="AL25" i="107"/>
  <c r="AL26" i="107"/>
  <c r="AL27" i="107"/>
  <c r="AL28" i="107"/>
  <c r="AL29" i="107"/>
  <c r="AL30" i="107"/>
  <c r="AL31" i="107"/>
  <c r="AL32" i="107"/>
  <c r="AL33" i="107"/>
  <c r="AL34" i="107"/>
  <c r="AL35" i="107"/>
  <c r="AL8" i="107"/>
  <c r="L7" i="118" s="1"/>
  <c r="AL20" i="107"/>
  <c r="AL21" i="107"/>
  <c r="AL36" i="107"/>
  <c r="AL37" i="107"/>
  <c r="AL38" i="107"/>
  <c r="AL39" i="107"/>
  <c r="AL40" i="107"/>
  <c r="AL41" i="107"/>
  <c r="AL43" i="107"/>
  <c r="AL44" i="107"/>
  <c r="AL45" i="107"/>
  <c r="AL46" i="107"/>
  <c r="AL48" i="107"/>
  <c r="AL47" i="107"/>
  <c r="AL49" i="107"/>
  <c r="AL50" i="107"/>
  <c r="AL51" i="107"/>
  <c r="AL52" i="107"/>
  <c r="AL53" i="107"/>
  <c r="AL54" i="107"/>
  <c r="AL55" i="107"/>
  <c r="AL56" i="107"/>
  <c r="AL57" i="107"/>
  <c r="AL58" i="107"/>
  <c r="AL59" i="107"/>
  <c r="AL60" i="107"/>
  <c r="AL61" i="107"/>
  <c r="AL62" i="107"/>
  <c r="AL63" i="107"/>
  <c r="AL64" i="107"/>
  <c r="AL65" i="107"/>
  <c r="AL66" i="107"/>
  <c r="AL67" i="107"/>
  <c r="AL68" i="107"/>
  <c r="AL69" i="107"/>
  <c r="AL70" i="107"/>
  <c r="AL71" i="107"/>
  <c r="AL72" i="107"/>
  <c r="AL73" i="107"/>
  <c r="AL74" i="107"/>
  <c r="AL75" i="107"/>
  <c r="AL76" i="107"/>
  <c r="AL77" i="107"/>
  <c r="AL78" i="107"/>
  <c r="AL79" i="107"/>
  <c r="AL80" i="107"/>
  <c r="AL81" i="107"/>
  <c r="AL117" i="107"/>
  <c r="AL82" i="107"/>
  <c r="AL118" i="107"/>
  <c r="AL119" i="107"/>
  <c r="AL83" i="107"/>
  <c r="AL120" i="107"/>
  <c r="AL121" i="107"/>
  <c r="AL122" i="107"/>
  <c r="AL123" i="107"/>
  <c r="AL84" i="107"/>
  <c r="AL85" i="107"/>
  <c r="AL86" i="107"/>
  <c r="AL87" i="107"/>
  <c r="AL88" i="107"/>
  <c r="AL89" i="107"/>
  <c r="AL90" i="107"/>
  <c r="AL91" i="107"/>
  <c r="AL92" i="107"/>
  <c r="AL93" i="107"/>
  <c r="AL94" i="107"/>
  <c r="AL95" i="107"/>
  <c r="AL96" i="107"/>
  <c r="AL97" i="107"/>
  <c r="AL98" i="107"/>
  <c r="AL99" i="107"/>
  <c r="AL100" i="107"/>
  <c r="AL101" i="107"/>
  <c r="AL102" i="107"/>
  <c r="AL103" i="107"/>
  <c r="AL105" i="107"/>
  <c r="AL106" i="107"/>
  <c r="AL107" i="107"/>
  <c r="AL108" i="107"/>
  <c r="AL109" i="107"/>
  <c r="AL110" i="107"/>
  <c r="AL111" i="107"/>
  <c r="AL112" i="107"/>
  <c r="AL113" i="107"/>
  <c r="AL114" i="107"/>
  <c r="AL115" i="107"/>
  <c r="AL124" i="107"/>
  <c r="AL125" i="107"/>
  <c r="AL116" i="107"/>
  <c r="AL126" i="107"/>
  <c r="AL127" i="107"/>
  <c r="AL128" i="107"/>
  <c r="AL129" i="107"/>
  <c r="AL130" i="107"/>
  <c r="AL131" i="107"/>
  <c r="AL132" i="107"/>
  <c r="AL133" i="107"/>
  <c r="AL134" i="107"/>
  <c r="AL135" i="107"/>
  <c r="U7" i="118" s="1"/>
  <c r="AL136" i="107"/>
  <c r="AL138" i="107"/>
  <c r="AP127" i="107"/>
  <c r="AP113" i="107"/>
  <c r="AP114" i="107"/>
  <c r="AP115" i="107"/>
  <c r="AP124" i="107"/>
  <c r="AP125" i="107"/>
  <c r="AP116" i="107"/>
  <c r="AP126" i="107"/>
  <c r="T227" i="107"/>
  <c r="T228" i="107"/>
  <c r="T229" i="107"/>
  <c r="R227" i="115" s="1"/>
  <c r="T230" i="107"/>
  <c r="T231" i="107"/>
  <c r="R229" i="115" s="1"/>
  <c r="T232" i="107"/>
  <c r="R230" i="115" s="1"/>
  <c r="T233" i="107"/>
  <c r="R231" i="115" s="1"/>
  <c r="T235" i="107"/>
  <c r="T234" i="107"/>
  <c r="T236" i="107"/>
  <c r="T237" i="107"/>
  <c r="R235" i="115" s="1"/>
  <c r="M7" i="118" l="1"/>
  <c r="D19" i="5" a="1"/>
  <c r="C19" i="116" s="1"/>
  <c r="D20" i="5" a="1"/>
  <c r="C20" i="116" s="1"/>
  <c r="D21" i="5" a="1"/>
  <c r="C21" i="116" s="1"/>
  <c r="K7" i="118"/>
  <c r="T7" i="118"/>
  <c r="S7" i="118"/>
  <c r="Q7" i="118"/>
  <c r="N7" i="118"/>
  <c r="O7" i="118"/>
  <c r="R7" i="118"/>
  <c r="U17" i="118"/>
  <c r="U8" i="118"/>
  <c r="U12" i="118" s="1"/>
  <c r="AL3" i="107"/>
  <c r="AL2" i="107" s="1"/>
  <c r="P7" i="118"/>
  <c r="L17" i="118"/>
  <c r="L8" i="118"/>
  <c r="L12" i="118" s="1"/>
  <c r="R233" i="115"/>
  <c r="R237" i="115"/>
  <c r="R240" i="115"/>
  <c r="R331" i="115"/>
  <c r="R338" i="115"/>
  <c r="R346" i="115"/>
  <c r="R238" i="115"/>
  <c r="R329" i="115"/>
  <c r="R341" i="115"/>
  <c r="R336" i="115"/>
  <c r="R236" i="115"/>
  <c r="R328" i="115"/>
  <c r="R344" i="115"/>
  <c r="R340" i="115"/>
  <c r="R360" i="115"/>
  <c r="R355" i="115"/>
  <c r="R324" i="115"/>
  <c r="R357" i="115"/>
  <c r="R351" i="115"/>
  <c r="R335" i="115"/>
  <c r="R350" i="115"/>
  <c r="R359" i="115"/>
  <c r="R244" i="115"/>
  <c r="R334" i="115"/>
  <c r="R337" i="115"/>
  <c r="R356" i="115"/>
  <c r="R243" i="115"/>
  <c r="R333" i="115"/>
  <c r="R358" i="115"/>
  <c r="R228" i="115"/>
  <c r="R325" i="115"/>
  <c r="R342" i="115"/>
  <c r="R234" i="115"/>
  <c r="R327" i="115"/>
  <c r="R349" i="115"/>
  <c r="R345" i="115"/>
  <c r="R232" i="115"/>
  <c r="R326" i="115"/>
  <c r="R241" i="115"/>
  <c r="R332" i="115"/>
  <c r="R314" i="115"/>
  <c r="R339" i="115"/>
  <c r="R353" i="115"/>
  <c r="R348" i="115"/>
  <c r="R352" i="115"/>
  <c r="R354" i="115"/>
  <c r="R239" i="115"/>
  <c r="R330" i="115"/>
  <c r="AS209" i="107"/>
  <c r="L240" i="104"/>
  <c r="L262" i="104"/>
  <c r="L241" i="104"/>
  <c r="L268" i="104"/>
  <c r="L267" i="104"/>
  <c r="X112" i="104"/>
  <c r="X107" i="104"/>
  <c r="X106" i="104"/>
  <c r="X105" i="104"/>
  <c r="X118" i="104"/>
  <c r="X104" i="104"/>
  <c r="X117" i="104"/>
  <c r="X110" i="104"/>
  <c r="X124" i="104"/>
  <c r="X121" i="104"/>
  <c r="X111" i="104"/>
  <c r="X119" i="104"/>
  <c r="X116" i="104"/>
  <c r="X113" i="104"/>
  <c r="X125" i="104"/>
  <c r="X109" i="104"/>
  <c r="X114" i="104"/>
  <c r="X120" i="104"/>
  <c r="X115" i="104"/>
  <c r="X123" i="104"/>
  <c r="X103" i="104"/>
  <c r="X108" i="104"/>
  <c r="X122" i="104"/>
  <c r="L325" i="104"/>
  <c r="L315" i="104"/>
  <c r="L226" i="104"/>
  <c r="L252" i="104"/>
  <c r="L236" i="104"/>
  <c r="L293" i="104"/>
  <c r="L280" i="104"/>
  <c r="L266" i="104"/>
  <c r="L225" i="104"/>
  <c r="L213" i="104"/>
  <c r="L250" i="104"/>
  <c r="L235" i="104"/>
  <c r="L292" i="104"/>
  <c r="L279" i="104"/>
  <c r="L265" i="104"/>
  <c r="L312" i="104"/>
  <c r="L231" i="104"/>
  <c r="L245" i="104"/>
  <c r="L287" i="104"/>
  <c r="L274" i="104"/>
  <c r="L259" i="104"/>
  <c r="L328" i="104"/>
  <c r="L219" i="104"/>
  <c r="L230" i="104"/>
  <c r="L244" i="104"/>
  <c r="L286" i="104"/>
  <c r="L258" i="104"/>
  <c r="L229" i="104"/>
  <c r="L243" i="104"/>
  <c r="L272" i="104"/>
  <c r="L257" i="104"/>
  <c r="L217" i="104"/>
  <c r="L255" i="104"/>
  <c r="L216" i="104"/>
  <c r="L254" i="104"/>
  <c r="L270" i="104"/>
  <c r="L215" i="104"/>
  <c r="L253" i="104"/>
  <c r="L237" i="104"/>
  <c r="L294" i="104"/>
  <c r="L284" i="104"/>
  <c r="L224" i="104"/>
  <c r="L249" i="104"/>
  <c r="L278" i="104"/>
  <c r="L223" i="104"/>
  <c r="L248" i="104"/>
  <c r="L290" i="104"/>
  <c r="L277" i="104"/>
  <c r="L263" i="104"/>
  <c r="L334" i="104"/>
  <c r="L295" i="104"/>
  <c r="L314" i="104"/>
  <c r="L313" i="104"/>
  <c r="L304" i="104"/>
  <c r="L222" i="104"/>
  <c r="L233" i="104"/>
  <c r="L247" i="104"/>
  <c r="L289" i="104"/>
  <c r="L276" i="104"/>
  <c r="L261" i="104"/>
  <c r="L242" i="104"/>
  <c r="L333" i="104"/>
  <c r="L220" i="104"/>
  <c r="L273" i="104"/>
  <c r="L218" i="104"/>
  <c r="L285" i="104"/>
  <c r="L324" i="104"/>
  <c r="L228" i="104"/>
  <c r="L239" i="104"/>
  <c r="L283" i="104"/>
  <c r="L271" i="104"/>
  <c r="L256" i="104"/>
  <c r="L238" i="104"/>
  <c r="L282" i="104"/>
  <c r="L227" i="104"/>
  <c r="L281" i="104"/>
  <c r="L269" i="104"/>
  <c r="L214" i="104"/>
  <c r="L234" i="104"/>
  <c r="L291" i="104"/>
  <c r="L264" i="104"/>
  <c r="L221" i="104"/>
  <c r="L232" i="104"/>
  <c r="L246" i="104"/>
  <c r="L288" i="104"/>
  <c r="L275" i="104"/>
  <c r="L260" i="104"/>
  <c r="L329" i="104"/>
  <c r="AM148" i="107"/>
  <c r="AM146" i="107"/>
  <c r="AM144" i="107"/>
  <c r="AM127" i="107"/>
  <c r="AM116" i="107"/>
  <c r="AM126" i="107"/>
  <c r="AM125" i="107"/>
  <c r="AM124" i="107"/>
  <c r="AM115" i="107"/>
  <c r="AM114" i="107"/>
  <c r="AM113" i="107"/>
  <c r="AM132" i="107"/>
  <c r="AM137" i="107"/>
  <c r="AM147" i="107"/>
  <c r="AM145" i="107"/>
  <c r="AM143" i="107"/>
  <c r="AM131" i="107"/>
  <c r="AM141" i="107"/>
  <c r="AM130" i="107"/>
  <c r="AM129" i="107"/>
  <c r="AM140" i="107"/>
  <c r="AM128" i="107"/>
  <c r="AM139" i="107"/>
  <c r="AM136" i="107"/>
  <c r="AM135" i="107"/>
  <c r="AM138" i="107"/>
  <c r="AM134" i="107"/>
  <c r="AM133" i="107"/>
  <c r="AM142" i="107"/>
  <c r="J209" i="104"/>
  <c r="AD7" i="118" l="1"/>
  <c r="AD17" i="118" s="1"/>
  <c r="K17" i="118"/>
  <c r="K8" i="118"/>
  <c r="O17" i="118"/>
  <c r="N17" i="118"/>
  <c r="Q17" i="118"/>
  <c r="S17" i="118"/>
  <c r="T17" i="118"/>
  <c r="R8" i="118"/>
  <c r="R12" i="118" s="1"/>
  <c r="S8" i="118"/>
  <c r="S12" i="118" s="1"/>
  <c r="T8" i="118"/>
  <c r="AE7" i="118"/>
  <c r="AE17" i="118" s="1"/>
  <c r="M8" i="118"/>
  <c r="Q8" i="118"/>
  <c r="N8" i="118"/>
  <c r="M17" i="118"/>
  <c r="R17" i="118"/>
  <c r="O8" i="118"/>
  <c r="AF7" i="118"/>
  <c r="AF8" i="118" s="1"/>
  <c r="AF12" i="118" s="1"/>
  <c r="L9" i="118"/>
  <c r="P17" i="118"/>
  <c r="P8" i="118"/>
  <c r="P12" i="118" s="1"/>
  <c r="U9" i="118"/>
  <c r="O11" i="117"/>
  <c r="Y108" i="104"/>
  <c r="Y121" i="104"/>
  <c r="Y103" i="104"/>
  <c r="Y124" i="104"/>
  <c r="Y107" i="104"/>
  <c r="Y116" i="104"/>
  <c r="Y119" i="104"/>
  <c r="Y122" i="104"/>
  <c r="Y111" i="104"/>
  <c r="Y123" i="104"/>
  <c r="Y110" i="104"/>
  <c r="Y120" i="104"/>
  <c r="Y104" i="104"/>
  <c r="Y113" i="104"/>
  <c r="Y112" i="104"/>
  <c r="Y117" i="104"/>
  <c r="Y114" i="104"/>
  <c r="Y118" i="104"/>
  <c r="Y109" i="104"/>
  <c r="Y105" i="104"/>
  <c r="Y115" i="104"/>
  <c r="Y125" i="104"/>
  <c r="Y106" i="104"/>
  <c r="L209" i="104"/>
  <c r="AD8" i="118" l="1"/>
  <c r="R9" i="118"/>
  <c r="T9" i="118"/>
  <c r="T12" i="118"/>
  <c r="O9" i="118"/>
  <c r="O12" i="118"/>
  <c r="N9" i="118"/>
  <c r="N12" i="118"/>
  <c r="Q9" i="118"/>
  <c r="Q12" i="118"/>
  <c r="K9" i="118"/>
  <c r="K12" i="118"/>
  <c r="M9" i="118"/>
  <c r="M12" i="118"/>
  <c r="S9" i="118"/>
  <c r="AE8" i="118"/>
  <c r="AF17" i="118"/>
  <c r="P9" i="118"/>
  <c r="AF9" i="118"/>
  <c r="V102" i="104"/>
  <c r="V95" i="104"/>
  <c r="V96" i="104"/>
  <c r="V97" i="104"/>
  <c r="V98" i="104"/>
  <c r="V99" i="104"/>
  <c r="V100" i="104"/>
  <c r="V101" i="104"/>
  <c r="J201" i="104"/>
  <c r="J202" i="104"/>
  <c r="J204" i="104"/>
  <c r="J203" i="104"/>
  <c r="J205" i="104"/>
  <c r="J206" i="104"/>
  <c r="J207" i="104"/>
  <c r="J208" i="104"/>
  <c r="J210" i="104"/>
  <c r="J211" i="104"/>
  <c r="J212" i="104"/>
  <c r="AD12" i="118" l="1"/>
  <c r="AD13" i="118" s="1"/>
  <c r="AD9" i="118"/>
  <c r="AE9" i="118"/>
  <c r="AE12" i="118"/>
  <c r="X98" i="104"/>
  <c r="X97" i="104"/>
  <c r="X102" i="104"/>
  <c r="X96" i="104"/>
  <c r="X101" i="104"/>
  <c r="X95" i="104"/>
  <c r="X100" i="104"/>
  <c r="X99" i="104"/>
  <c r="L208" i="104"/>
  <c r="L206" i="104"/>
  <c r="L210" i="104"/>
  <c r="L205" i="104"/>
  <c r="L203" i="104"/>
  <c r="L201" i="104"/>
  <c r="L212" i="104"/>
  <c r="L207" i="104"/>
  <c r="L204" i="104"/>
  <c r="L202" i="104"/>
  <c r="L211" i="104"/>
  <c r="Y99" i="104" l="1"/>
  <c r="Y95" i="104"/>
  <c r="Y101" i="104"/>
  <c r="Y100" i="104"/>
  <c r="Y96" i="104"/>
  <c r="Y102" i="104"/>
  <c r="Y97" i="104"/>
  <c r="Y98" i="104"/>
  <c r="F164" i="110"/>
  <c r="F165" i="110"/>
  <c r="F166" i="110"/>
  <c r="F167" i="110"/>
  <c r="F168" i="110"/>
  <c r="F169" i="110"/>
  <c r="F170" i="110"/>
  <c r="F171" i="110"/>
  <c r="F172" i="110"/>
  <c r="F173" i="110"/>
  <c r="F174" i="110"/>
  <c r="F175" i="110"/>
  <c r="F176" i="110"/>
  <c r="F177" i="110"/>
  <c r="F178" i="110"/>
  <c r="F179" i="110"/>
  <c r="F180" i="110"/>
  <c r="F181" i="110"/>
  <c r="F182" i="110"/>
  <c r="F183" i="110"/>
  <c r="F184" i="110"/>
  <c r="F185" i="110"/>
  <c r="F186" i="110"/>
  <c r="F187" i="110"/>
  <c r="F188" i="110"/>
  <c r="T223" i="107"/>
  <c r="T225" i="107"/>
  <c r="R225" i="115" s="1"/>
  <c r="T224" i="107"/>
  <c r="T226" i="107"/>
  <c r="AP109" i="107"/>
  <c r="AP110" i="107"/>
  <c r="AP111" i="107"/>
  <c r="AP112" i="107"/>
  <c r="V91" i="104"/>
  <c r="V92" i="104"/>
  <c r="V93" i="104"/>
  <c r="V94" i="104"/>
  <c r="J197" i="104"/>
  <c r="J198" i="104"/>
  <c r="J199" i="104"/>
  <c r="J200" i="104"/>
  <c r="AP107" i="107"/>
  <c r="AP108" i="107"/>
  <c r="T212" i="107"/>
  <c r="AQ212" i="107" s="1"/>
  <c r="AR212" i="107" s="1"/>
  <c r="T214" i="107"/>
  <c r="AQ214" i="107" s="1"/>
  <c r="AR214" i="107" s="1"/>
  <c r="T218" i="107"/>
  <c r="AQ218" i="107" s="1"/>
  <c r="T215" i="107"/>
  <c r="AQ215" i="107" s="1"/>
  <c r="AR215" i="107" s="1"/>
  <c r="T216" i="107"/>
  <c r="AQ216" i="107" s="1"/>
  <c r="AR216" i="107" s="1"/>
  <c r="T219" i="107"/>
  <c r="AQ219" i="107" s="1"/>
  <c r="T217" i="107"/>
  <c r="AQ217" i="107" s="1"/>
  <c r="AR217" i="107" s="1"/>
  <c r="T220" i="107"/>
  <c r="T221" i="107"/>
  <c r="T222" i="107"/>
  <c r="J183" i="104"/>
  <c r="J176" i="104"/>
  <c r="V89" i="104"/>
  <c r="V90" i="104"/>
  <c r="J187" i="104"/>
  <c r="J188" i="104"/>
  <c r="J190" i="104"/>
  <c r="J189" i="104"/>
  <c r="J192" i="104"/>
  <c r="J191" i="104"/>
  <c r="J193" i="104"/>
  <c r="J194" i="104"/>
  <c r="J195" i="104"/>
  <c r="J196" i="104"/>
  <c r="AP104" i="107"/>
  <c r="AP105" i="107"/>
  <c r="AP106" i="107"/>
  <c r="V86" i="104"/>
  <c r="V87" i="104"/>
  <c r="V88" i="104"/>
  <c r="J177" i="104"/>
  <c r="J178" i="104"/>
  <c r="J179" i="104"/>
  <c r="J180" i="104"/>
  <c r="J181" i="104"/>
  <c r="J182" i="104"/>
  <c r="J184" i="104"/>
  <c r="J185" i="104"/>
  <c r="J186" i="104"/>
  <c r="T207" i="107"/>
  <c r="AQ207" i="107" s="1"/>
  <c r="AR207" i="107" s="1"/>
  <c r="T208" i="107"/>
  <c r="T210" i="107"/>
  <c r="AQ210" i="107" s="1"/>
  <c r="AR210" i="107" s="1"/>
  <c r="T211" i="107"/>
  <c r="AQ211" i="107" s="1"/>
  <c r="AR211" i="107" s="1"/>
  <c r="T213" i="107"/>
  <c r="AQ213" i="107" s="1"/>
  <c r="AR213" i="107" s="1"/>
  <c r="V83" i="104"/>
  <c r="V84" i="104"/>
  <c r="V85" i="104"/>
  <c r="AP101" i="107"/>
  <c r="AP102" i="107"/>
  <c r="AP103" i="107"/>
  <c r="AP97" i="107"/>
  <c r="AP98" i="107"/>
  <c r="AP99" i="107"/>
  <c r="AP100" i="107"/>
  <c r="V79" i="104"/>
  <c r="V80" i="104"/>
  <c r="V81" i="104"/>
  <c r="V82" i="104"/>
  <c r="T206" i="107"/>
  <c r="AQ206" i="107" s="1"/>
  <c r="AR206" i="107" s="1"/>
  <c r="AP94" i="107"/>
  <c r="AP95" i="107"/>
  <c r="AP96" i="107"/>
  <c r="AP92" i="107"/>
  <c r="AP93" i="107"/>
  <c r="T203" i="107"/>
  <c r="AQ203" i="107" s="1"/>
  <c r="AR203" i="107" s="1"/>
  <c r="T204" i="107"/>
  <c r="AQ204" i="107" s="1"/>
  <c r="AR204" i="107" s="1"/>
  <c r="T205" i="107"/>
  <c r="AQ205" i="107" s="1"/>
  <c r="AR205" i="107" s="1"/>
  <c r="J173" i="104"/>
  <c r="J174" i="104"/>
  <c r="J175" i="104"/>
  <c r="V74" i="104"/>
  <c r="V75" i="104"/>
  <c r="V76" i="104"/>
  <c r="V77" i="104"/>
  <c r="V78" i="104"/>
  <c r="BM244" i="4"/>
  <c r="AR219" i="107" l="1"/>
  <c r="AS219" i="107" s="1"/>
  <c r="AB25" i="118"/>
  <c r="AR218" i="107"/>
  <c r="AS218" i="107" s="1"/>
  <c r="AA25" i="118"/>
  <c r="Z25" i="118"/>
  <c r="R206" i="115"/>
  <c r="AQ208" i="107"/>
  <c r="AR208" i="107" s="1"/>
  <c r="R223" i="115"/>
  <c r="R216" i="115"/>
  <c r="R218" i="115"/>
  <c r="R224" i="115"/>
  <c r="R226" i="115"/>
  <c r="R211" i="115"/>
  <c r="R220" i="115"/>
  <c r="R213" i="115"/>
  <c r="R219" i="115"/>
  <c r="R205" i="115"/>
  <c r="R207" i="115"/>
  <c r="R208" i="115"/>
  <c r="R315" i="115"/>
  <c r="R215" i="115"/>
  <c r="R320" i="115"/>
  <c r="R214" i="115"/>
  <c r="R319" i="115"/>
  <c r="R221" i="115"/>
  <c r="R322" i="115"/>
  <c r="R203" i="115"/>
  <c r="R312" i="115"/>
  <c r="R204" i="115"/>
  <c r="R313" i="115"/>
  <c r="R212" i="115"/>
  <c r="R318" i="115"/>
  <c r="R210" i="115"/>
  <c r="R317" i="115"/>
  <c r="R217" i="115"/>
  <c r="R321" i="115"/>
  <c r="R209" i="115"/>
  <c r="R316" i="115"/>
  <c r="R222" i="115"/>
  <c r="R323" i="115"/>
  <c r="AS217" i="107"/>
  <c r="AS211" i="107"/>
  <c r="AS210" i="107"/>
  <c r="AS205" i="107"/>
  <c r="AS207" i="107"/>
  <c r="AS204" i="107"/>
  <c r="AS206" i="107"/>
  <c r="AS203" i="107"/>
  <c r="L180" i="104"/>
  <c r="L179" i="104"/>
  <c r="L178" i="104"/>
  <c r="L177" i="104"/>
  <c r="L176" i="104"/>
  <c r="X74" i="104"/>
  <c r="X82" i="104"/>
  <c r="X81" i="104"/>
  <c r="X80" i="104"/>
  <c r="X93" i="104"/>
  <c r="X85" i="104"/>
  <c r="X84" i="104"/>
  <c r="X91" i="104"/>
  <c r="X78" i="104"/>
  <c r="X88" i="104"/>
  <c r="X79" i="104"/>
  <c r="X94" i="104"/>
  <c r="X77" i="104"/>
  <c r="X87" i="104"/>
  <c r="X90" i="104"/>
  <c r="X83" i="104"/>
  <c r="X89" i="104"/>
  <c r="X76" i="104"/>
  <c r="X86" i="104"/>
  <c r="X92" i="104"/>
  <c r="X75" i="104"/>
  <c r="L181" i="104"/>
  <c r="L190" i="104"/>
  <c r="L196" i="104"/>
  <c r="L183" i="104"/>
  <c r="L193" i="104"/>
  <c r="L200" i="104"/>
  <c r="L175" i="104"/>
  <c r="L185" i="104"/>
  <c r="L199" i="104"/>
  <c r="L174" i="104"/>
  <c r="L184" i="104"/>
  <c r="L192" i="104"/>
  <c r="L198" i="104"/>
  <c r="L182" i="104"/>
  <c r="L189" i="104"/>
  <c r="L188" i="104"/>
  <c r="L195" i="104"/>
  <c r="L194" i="104"/>
  <c r="L186" i="104"/>
  <c r="L191" i="104"/>
  <c r="L173" i="104"/>
  <c r="L197" i="104"/>
  <c r="L187" i="104"/>
  <c r="AM99" i="107"/>
  <c r="AM111" i="107"/>
  <c r="AM96" i="107"/>
  <c r="AM98" i="107"/>
  <c r="AM110" i="107"/>
  <c r="AM112" i="107"/>
  <c r="AM95" i="107"/>
  <c r="AM97" i="107"/>
  <c r="AM109" i="107"/>
  <c r="AM107" i="107"/>
  <c r="AM94" i="107"/>
  <c r="AM101" i="107"/>
  <c r="AM92" i="107"/>
  <c r="AM102" i="107"/>
  <c r="AM104" i="107"/>
  <c r="AM93" i="107"/>
  <c r="AM106" i="107"/>
  <c r="AM103" i="107"/>
  <c r="AM108" i="107"/>
  <c r="AM100" i="107"/>
  <c r="AM105" i="107"/>
  <c r="AG25" i="118" l="1"/>
  <c r="D25" i="116"/>
  <c r="AB27" i="118"/>
  <c r="AA27" i="118"/>
  <c r="C25" i="116"/>
  <c r="Z27" i="118"/>
  <c r="O10" i="117"/>
  <c r="AS208" i="107"/>
  <c r="AS216" i="107"/>
  <c r="AS214" i="107"/>
  <c r="AS213" i="107"/>
  <c r="AS215" i="107"/>
  <c r="Y89" i="104"/>
  <c r="Y93" i="104"/>
  <c r="Y83" i="104"/>
  <c r="Y80" i="104"/>
  <c r="Y90" i="104"/>
  <c r="Y81" i="104"/>
  <c r="Y87" i="104"/>
  <c r="Y82" i="104"/>
  <c r="Y77" i="104"/>
  <c r="Y74" i="104"/>
  <c r="Y79" i="104"/>
  <c r="Y88" i="104"/>
  <c r="Y75" i="104"/>
  <c r="Y78" i="104"/>
  <c r="Y92" i="104"/>
  <c r="Y91" i="104"/>
  <c r="Y86" i="104"/>
  <c r="Y84" i="104"/>
  <c r="Y94" i="104"/>
  <c r="Y76" i="104"/>
  <c r="Y85" i="104"/>
  <c r="AP91" i="107"/>
  <c r="T202" i="107"/>
  <c r="AO63" i="104"/>
  <c r="AP63" i="104" s="1"/>
  <c r="J172" i="104"/>
  <c r="J171" i="104"/>
  <c r="V73" i="104"/>
  <c r="AP89" i="107"/>
  <c r="AP90" i="107"/>
  <c r="AG27" i="118" l="1"/>
  <c r="AB28" i="118"/>
  <c r="D27" i="116"/>
  <c r="C27" i="116"/>
  <c r="AA28" i="118"/>
  <c r="Z28" i="118"/>
  <c r="Z13" i="118"/>
  <c r="AS212" i="107"/>
  <c r="R202" i="115"/>
  <c r="AQ202" i="107"/>
  <c r="AR202" i="107" s="1"/>
  <c r="R311" i="115"/>
  <c r="AP2" i="104"/>
  <c r="AR63" i="104"/>
  <c r="L172" i="104"/>
  <c r="X73" i="104"/>
  <c r="L171" i="104"/>
  <c r="AM89" i="107"/>
  <c r="AM91" i="107"/>
  <c r="AM90" i="107"/>
  <c r="V71" i="104"/>
  <c r="V72" i="104"/>
  <c r="AP87" i="107"/>
  <c r="AP88" i="107"/>
  <c r="AP123" i="107"/>
  <c r="AP84" i="107"/>
  <c r="AP85" i="107"/>
  <c r="AP86" i="107"/>
  <c r="T198" i="107"/>
  <c r="T200" i="107"/>
  <c r="T201" i="107"/>
  <c r="AQ201" i="107" s="1"/>
  <c r="AR201" i="107" s="1"/>
  <c r="J168" i="104"/>
  <c r="J169" i="104"/>
  <c r="J170" i="104"/>
  <c r="V65" i="104"/>
  <c r="V66" i="104"/>
  <c r="V67" i="104"/>
  <c r="V68" i="104"/>
  <c r="V69" i="104"/>
  <c r="V70" i="104"/>
  <c r="AP122" i="107"/>
  <c r="V64" i="104"/>
  <c r="AG28" i="118" l="1"/>
  <c r="AR2" i="104"/>
  <c r="P8" i="117"/>
  <c r="P2" i="117" s="1"/>
  <c r="R198" i="115"/>
  <c r="AQ200" i="107"/>
  <c r="AR200" i="107" s="1"/>
  <c r="AS202" i="107"/>
  <c r="R310" i="115"/>
  <c r="AQ198" i="107"/>
  <c r="AR198" i="107" s="1"/>
  <c r="R201" i="115"/>
  <c r="R200" i="115"/>
  <c r="AS201" i="107"/>
  <c r="Y73" i="104"/>
  <c r="X70" i="104"/>
  <c r="X72" i="104"/>
  <c r="X69" i="104"/>
  <c r="X71" i="104"/>
  <c r="X67" i="104"/>
  <c r="X66" i="104"/>
  <c r="X68" i="104"/>
  <c r="X65" i="104"/>
  <c r="X64" i="104"/>
  <c r="L170" i="104"/>
  <c r="L168" i="104"/>
  <c r="L169" i="104"/>
  <c r="AM88" i="107"/>
  <c r="AM87" i="107"/>
  <c r="AM85" i="107"/>
  <c r="AM84" i="107"/>
  <c r="AM123" i="107"/>
  <c r="AM86" i="107"/>
  <c r="AM122" i="107"/>
  <c r="AP121" i="107"/>
  <c r="V63" i="104"/>
  <c r="F163" i="110"/>
  <c r="F160" i="110"/>
  <c r="F153" i="110"/>
  <c r="F154" i="110"/>
  <c r="F155" i="110"/>
  <c r="F156" i="110"/>
  <c r="F148" i="110"/>
  <c r="F157" i="110"/>
  <c r="F158" i="110"/>
  <c r="F159" i="110"/>
  <c r="F149" i="110"/>
  <c r="F150" i="110"/>
  <c r="F151" i="110"/>
  <c r="F152" i="110"/>
  <c r="F161" i="110"/>
  <c r="F162" i="110"/>
  <c r="F147" i="110"/>
  <c r="AS198" i="107" l="1"/>
  <c r="AS200" i="107"/>
  <c r="Y66" i="104"/>
  <c r="Y71" i="104"/>
  <c r="Y69" i="104"/>
  <c r="Y67" i="104"/>
  <c r="Y72" i="104"/>
  <c r="Y70" i="104"/>
  <c r="Y68" i="104"/>
  <c r="Y64" i="104"/>
  <c r="Y65" i="104"/>
  <c r="X63" i="104"/>
  <c r="AM121" i="107"/>
  <c r="V62" i="104"/>
  <c r="J165" i="104"/>
  <c r="J166" i="104"/>
  <c r="J167" i="104"/>
  <c r="Y63" i="104" l="1"/>
  <c r="L167" i="104"/>
  <c r="L166" i="104"/>
  <c r="L165" i="104"/>
  <c r="X62" i="104"/>
  <c r="AP120" i="107"/>
  <c r="T196" i="107"/>
  <c r="R196" i="115" s="1"/>
  <c r="T197" i="107"/>
  <c r="AQ197" i="107" s="1"/>
  <c r="AR197" i="107" s="1"/>
  <c r="V60" i="104"/>
  <c r="V61" i="104"/>
  <c r="J163" i="104"/>
  <c r="J164" i="104"/>
  <c r="AP83" i="107"/>
  <c r="T193" i="107"/>
  <c r="T194" i="107"/>
  <c r="T195" i="107"/>
  <c r="O9" i="117" l="1"/>
  <c r="R193" i="115"/>
  <c r="R307" i="115"/>
  <c r="R306" i="115"/>
  <c r="R305" i="115"/>
  <c r="R195" i="115"/>
  <c r="R309" i="115"/>
  <c r="R194" i="115"/>
  <c r="R308" i="115"/>
  <c r="AQ196" i="107"/>
  <c r="AR196" i="107" s="1"/>
  <c r="Y62" i="104"/>
  <c r="AQ195" i="107"/>
  <c r="AR195" i="107" s="1"/>
  <c r="AQ194" i="107"/>
  <c r="AR194" i="107" s="1"/>
  <c r="AQ193" i="107"/>
  <c r="AR193" i="107" s="1"/>
  <c r="X61" i="104"/>
  <c r="X60" i="104"/>
  <c r="L164" i="104"/>
  <c r="L163" i="104"/>
  <c r="AM83" i="107"/>
  <c r="AM120" i="107"/>
  <c r="V59" i="104"/>
  <c r="J160" i="104"/>
  <c r="J161" i="104"/>
  <c r="J162" i="104"/>
  <c r="AP119" i="107"/>
  <c r="AP9" i="107"/>
  <c r="V58" i="104"/>
  <c r="AP118" i="107"/>
  <c r="T192" i="107"/>
  <c r="R192" i="115" s="1"/>
  <c r="J159" i="104"/>
  <c r="V57" i="104"/>
  <c r="AS197" i="107" l="1"/>
  <c r="R304" i="115"/>
  <c r="AS196" i="107"/>
  <c r="Y60" i="104"/>
  <c r="Y61" i="104"/>
  <c r="AS193" i="107"/>
  <c r="AQ192" i="107"/>
  <c r="AR192" i="107" s="1"/>
  <c r="AS194" i="107"/>
  <c r="AS195" i="107"/>
  <c r="X58" i="104"/>
  <c r="X57" i="104"/>
  <c r="X59" i="104"/>
  <c r="Y59" i="104" s="1"/>
  <c r="L162" i="104"/>
  <c r="L161" i="104"/>
  <c r="L160" i="104"/>
  <c r="L159" i="104"/>
  <c r="AM119" i="107"/>
  <c r="AM118" i="107"/>
  <c r="Y57" i="104" l="1"/>
  <c r="Y58" i="104"/>
  <c r="AS192" i="107"/>
  <c r="AP80" i="107" l="1"/>
  <c r="AP81" i="107"/>
  <c r="AP117" i="107"/>
  <c r="AP82" i="107"/>
  <c r="AP79" i="107"/>
  <c r="T188" i="107"/>
  <c r="T189" i="107"/>
  <c r="T190" i="107"/>
  <c r="R190" i="115" s="1"/>
  <c r="T191" i="107"/>
  <c r="R191" i="115" s="1"/>
  <c r="V52" i="104"/>
  <c r="V53" i="104"/>
  <c r="V54" i="104"/>
  <c r="V55" i="104"/>
  <c r="V56" i="104"/>
  <c r="J156" i="104"/>
  <c r="J154" i="104"/>
  <c r="J155" i="104"/>
  <c r="J157" i="104"/>
  <c r="J158" i="104"/>
  <c r="T186" i="107"/>
  <c r="T187" i="107"/>
  <c r="J149" i="104"/>
  <c r="J150" i="104"/>
  <c r="J151" i="104"/>
  <c r="J152" i="104"/>
  <c r="J153" i="104"/>
  <c r="R299" i="115" l="1"/>
  <c r="R298" i="115"/>
  <c r="R189" i="115"/>
  <c r="R303" i="115"/>
  <c r="R188" i="115"/>
  <c r="R302" i="115"/>
  <c r="R187" i="115"/>
  <c r="R301" i="115"/>
  <c r="R186" i="115"/>
  <c r="R300" i="115"/>
  <c r="AQ191" i="107"/>
  <c r="AR191" i="107" s="1"/>
  <c r="AQ190" i="107"/>
  <c r="AR190" i="107" s="1"/>
  <c r="AQ189" i="107"/>
  <c r="AR189" i="107" s="1"/>
  <c r="AQ187" i="107"/>
  <c r="AR187" i="107" s="1"/>
  <c r="AQ188" i="107"/>
  <c r="AR188" i="107" s="1"/>
  <c r="L156" i="104"/>
  <c r="L151" i="104"/>
  <c r="L150" i="104"/>
  <c r="L149" i="104"/>
  <c r="X54" i="104"/>
  <c r="X53" i="104"/>
  <c r="X56" i="104"/>
  <c r="X52" i="104"/>
  <c r="X55" i="104"/>
  <c r="AQ186" i="107"/>
  <c r="AR186" i="107" s="1"/>
  <c r="L155" i="104"/>
  <c r="L154" i="104"/>
  <c r="L158" i="104"/>
  <c r="L157" i="104"/>
  <c r="L153" i="104"/>
  <c r="L152" i="104"/>
  <c r="AM82" i="107"/>
  <c r="AM117" i="107"/>
  <c r="AM81" i="107"/>
  <c r="AM80" i="107"/>
  <c r="AM79" i="107"/>
  <c r="T184" i="107"/>
  <c r="R184" i="115" s="1"/>
  <c r="T199" i="107"/>
  <c r="AQ199" i="107" s="1"/>
  <c r="AR199" i="107" s="1"/>
  <c r="T185" i="107"/>
  <c r="R185" i="115" s="1"/>
  <c r="J147" i="104"/>
  <c r="J148" i="104"/>
  <c r="J145" i="104"/>
  <c r="J146" i="104"/>
  <c r="V51" i="104"/>
  <c r="T183" i="107"/>
  <c r="AP78" i="107"/>
  <c r="AP77" i="107"/>
  <c r="AP57" i="107"/>
  <c r="AP56" i="107"/>
  <c r="AP55" i="107"/>
  <c r="AP54" i="107"/>
  <c r="Y25" i="118" l="1"/>
  <c r="R197" i="115"/>
  <c r="R199" i="115"/>
  <c r="R296" i="115"/>
  <c r="R295" i="115"/>
  <c r="R183" i="115"/>
  <c r="R297" i="115"/>
  <c r="Y53" i="104"/>
  <c r="Y55" i="104"/>
  <c r="Y54" i="104"/>
  <c r="Y56" i="104"/>
  <c r="Y52" i="104"/>
  <c r="AS191" i="107"/>
  <c r="AS190" i="107"/>
  <c r="AS189" i="107"/>
  <c r="X51" i="104"/>
  <c r="AQ183" i="107"/>
  <c r="AR183" i="107" s="1"/>
  <c r="AQ185" i="107"/>
  <c r="AR185" i="107" s="1"/>
  <c r="AQ184" i="107"/>
  <c r="X25" i="118" s="1"/>
  <c r="L146" i="104"/>
  <c r="L147" i="104"/>
  <c r="L148" i="104"/>
  <c r="L145" i="104"/>
  <c r="AM77" i="107"/>
  <c r="AM78" i="107"/>
  <c r="V50" i="104"/>
  <c r="T182" i="107"/>
  <c r="R182" i="115" s="1"/>
  <c r="AR184" i="107" l="1"/>
  <c r="Y27" i="118"/>
  <c r="AS199" i="107"/>
  <c r="R294" i="115"/>
  <c r="Y51" i="104"/>
  <c r="AS186" i="107"/>
  <c r="AS187" i="107"/>
  <c r="AS188" i="107"/>
  <c r="X50" i="104"/>
  <c r="AQ182" i="107"/>
  <c r="AR182" i="107" s="1"/>
  <c r="J143" i="104"/>
  <c r="J144" i="104"/>
  <c r="AW244" i="4"/>
  <c r="AP23" i="107"/>
  <c r="AP22" i="107"/>
  <c r="AP7" i="107"/>
  <c r="AP6" i="107"/>
  <c r="AP19" i="107"/>
  <c r="AP18" i="107"/>
  <c r="AP17" i="107"/>
  <c r="AP16" i="107"/>
  <c r="AP15" i="107"/>
  <c r="AP14" i="107"/>
  <c r="AP13" i="107"/>
  <c r="AP12" i="107"/>
  <c r="AP11" i="107"/>
  <c r="AP10" i="107"/>
  <c r="AP74" i="107"/>
  <c r="AP75" i="107"/>
  <c r="AP76" i="107"/>
  <c r="T178" i="107"/>
  <c r="T179" i="107"/>
  <c r="T180" i="107"/>
  <c r="R180" i="115" s="1"/>
  <c r="T181" i="107"/>
  <c r="R181" i="115" s="1"/>
  <c r="AE244" i="4"/>
  <c r="V47" i="104"/>
  <c r="V48" i="104"/>
  <c r="V49" i="104"/>
  <c r="J141" i="104"/>
  <c r="J142" i="104"/>
  <c r="J137" i="104"/>
  <c r="J138" i="104"/>
  <c r="J139" i="104"/>
  <c r="J140" i="104"/>
  <c r="AP72" i="107"/>
  <c r="AP73" i="107"/>
  <c r="T160" i="107"/>
  <c r="T172" i="107"/>
  <c r="T173" i="107"/>
  <c r="T170" i="107"/>
  <c r="T174" i="107"/>
  <c r="T171" i="107"/>
  <c r="T175" i="107"/>
  <c r="R173" i="115" s="1"/>
  <c r="T176" i="107"/>
  <c r="T177" i="107"/>
  <c r="T103" i="107"/>
  <c r="V45" i="104"/>
  <c r="V46" i="104"/>
  <c r="Y28" i="118" l="1"/>
  <c r="X27" i="118"/>
  <c r="Y13" i="118"/>
  <c r="R171" i="115"/>
  <c r="R172" i="115"/>
  <c r="R170" i="115"/>
  <c r="R287" i="115"/>
  <c r="R178" i="115"/>
  <c r="R292" i="115"/>
  <c r="R177" i="115"/>
  <c r="R291" i="115"/>
  <c r="R286" i="115"/>
  <c r="R176" i="115"/>
  <c r="R290" i="115"/>
  <c r="R175" i="115"/>
  <c r="R289" i="115"/>
  <c r="R174" i="115"/>
  <c r="R288" i="115"/>
  <c r="R179" i="115"/>
  <c r="R293" i="115"/>
  <c r="Y50" i="104"/>
  <c r="K7" i="80"/>
  <c r="AS183" i="107"/>
  <c r="AS185" i="107"/>
  <c r="AQ177" i="107"/>
  <c r="AR177" i="107" s="1"/>
  <c r="AQ175" i="107"/>
  <c r="AR175" i="107" s="1"/>
  <c r="AQ181" i="107"/>
  <c r="AR181" i="107" s="1"/>
  <c r="AQ171" i="107"/>
  <c r="AR171" i="107" s="1"/>
  <c r="AQ180" i="107"/>
  <c r="AR180" i="107" s="1"/>
  <c r="AQ176" i="107"/>
  <c r="AR176" i="107" s="1"/>
  <c r="AQ174" i="107"/>
  <c r="AR174" i="107" s="1"/>
  <c r="AQ179" i="107"/>
  <c r="AR179" i="107" s="1"/>
  <c r="AQ173" i="107"/>
  <c r="AR173" i="107" s="1"/>
  <c r="L143" i="104"/>
  <c r="L142" i="104"/>
  <c r="L141" i="104"/>
  <c r="X49" i="104"/>
  <c r="X46" i="104"/>
  <c r="X48" i="104"/>
  <c r="X45" i="104"/>
  <c r="X47" i="104"/>
  <c r="AQ178" i="107"/>
  <c r="AR178" i="107" s="1"/>
  <c r="AQ172" i="107"/>
  <c r="AR172" i="107" s="1"/>
  <c r="AQ170" i="107"/>
  <c r="AR170" i="107" s="1"/>
  <c r="L144" i="104"/>
  <c r="L139" i="104"/>
  <c r="L138" i="104"/>
  <c r="L137" i="104"/>
  <c r="L140" i="104"/>
  <c r="AM76" i="107"/>
  <c r="AM74" i="107"/>
  <c r="AM73" i="107"/>
  <c r="AM75" i="107"/>
  <c r="AM72" i="107"/>
  <c r="AQ160" i="107"/>
  <c r="AR160" i="107" s="1"/>
  <c r="AQ103" i="107"/>
  <c r="AR103" i="107" s="1"/>
  <c r="J119" i="104"/>
  <c r="J131" i="104"/>
  <c r="J132" i="104"/>
  <c r="J129" i="104"/>
  <c r="J133" i="104"/>
  <c r="J130" i="104"/>
  <c r="J134" i="104"/>
  <c r="J135" i="104"/>
  <c r="J136" i="104"/>
  <c r="J65" i="104"/>
  <c r="X13" i="118" l="1"/>
  <c r="X28" i="118"/>
  <c r="O8" i="117"/>
  <c r="AS184" i="107"/>
  <c r="Y47" i="104"/>
  <c r="Y45" i="104"/>
  <c r="Y48" i="104"/>
  <c r="Y46" i="104"/>
  <c r="Y49" i="104"/>
  <c r="AS182" i="107"/>
  <c r="L136" i="104"/>
  <c r="L131" i="104"/>
  <c r="L119" i="104"/>
  <c r="L135" i="104"/>
  <c r="L134" i="104"/>
  <c r="L129" i="104"/>
  <c r="L132" i="104"/>
  <c r="L130" i="104"/>
  <c r="L65" i="104"/>
  <c r="L133" i="104"/>
  <c r="AS175" i="107" l="1"/>
  <c r="AS174" i="107"/>
  <c r="AS173" i="107"/>
  <c r="AS103" i="107"/>
  <c r="AN103" i="107"/>
  <c r="AS160" i="107" l="1"/>
  <c r="AN160" i="107"/>
  <c r="T169" i="107"/>
  <c r="R169" i="115" s="1"/>
  <c r="R285" i="115" l="1"/>
  <c r="AS181" i="107"/>
  <c r="AS179" i="107"/>
  <c r="AS170" i="107"/>
  <c r="AS177" i="107"/>
  <c r="AQ169" i="107"/>
  <c r="AR169" i="107" s="1"/>
  <c r="AS171" i="107" l="1"/>
  <c r="AS180" i="107"/>
  <c r="AS172" i="107"/>
  <c r="AS176" i="107"/>
  <c r="AS178" i="107"/>
  <c r="J120" i="104"/>
  <c r="V44" i="104"/>
  <c r="X44" i="104" l="1"/>
  <c r="L120" i="104"/>
  <c r="AP71" i="107"/>
  <c r="M11" i="5" l="1"/>
  <c r="N11" i="5"/>
  <c r="Y44" i="104"/>
  <c r="L11" i="5"/>
  <c r="AM71" i="107"/>
  <c r="K11" i="5"/>
  <c r="J11" i="5"/>
  <c r="D2" i="112" a="1"/>
  <c r="L2" i="112" a="1"/>
  <c r="G11" i="5"/>
  <c r="I11" i="5"/>
  <c r="O11" i="5"/>
  <c r="H11" i="5"/>
  <c r="G5" i="5"/>
  <c r="F35" i="110" l="1"/>
  <c r="F36" i="110"/>
  <c r="F104" i="110"/>
  <c r="F105" i="110"/>
  <c r="F106" i="110"/>
  <c r="F107" i="110"/>
  <c r="F37" i="110"/>
  <c r="F109" i="110"/>
  <c r="F38" i="110"/>
  <c r="F113" i="110"/>
  <c r="F39" i="110"/>
  <c r="F40" i="110"/>
  <c r="F41" i="110"/>
  <c r="F42" i="110"/>
  <c r="F19" i="110"/>
  <c r="F43" i="110"/>
  <c r="F44" i="110"/>
  <c r="F45" i="110"/>
  <c r="F46" i="110"/>
  <c r="F47" i="110"/>
  <c r="F48" i="110"/>
  <c r="F49" i="110"/>
  <c r="F50" i="110"/>
  <c r="F51" i="110"/>
  <c r="F52" i="110"/>
  <c r="F53" i="110"/>
  <c r="F54" i="110"/>
  <c r="F55" i="110"/>
  <c r="F56" i="110"/>
  <c r="F57" i="110"/>
  <c r="F20" i="110"/>
  <c r="F58" i="110"/>
  <c r="F59" i="110"/>
  <c r="F60" i="110"/>
  <c r="F123" i="110"/>
  <c r="F124" i="110"/>
  <c r="F61" i="110"/>
  <c r="F62" i="110"/>
  <c r="F66" i="110"/>
  <c r="F21" i="110"/>
  <c r="F69" i="110"/>
  <c r="F70" i="110"/>
  <c r="F71" i="110"/>
  <c r="F72" i="110"/>
  <c r="F73" i="110"/>
  <c r="F74" i="110"/>
  <c r="F75" i="110"/>
  <c r="F77" i="110"/>
  <c r="F78" i="110"/>
  <c r="F79" i="110"/>
  <c r="F80" i="110"/>
  <c r="F22" i="110"/>
  <c r="F92" i="110"/>
  <c r="F93" i="110"/>
  <c r="F26" i="110"/>
  <c r="F137" i="110"/>
  <c r="F96" i="110"/>
  <c r="F97" i="110"/>
  <c r="F98" i="110"/>
  <c r="F99" i="110"/>
  <c r="F101" i="110"/>
  <c r="F102" i="110"/>
  <c r="F132" i="110"/>
  <c r="F119" i="110"/>
  <c r="F27" i="110"/>
  <c r="F103" i="110"/>
  <c r="F28" i="110"/>
  <c r="F4" i="110"/>
  <c r="F5" i="110"/>
  <c r="F120" i="110"/>
  <c r="F11" i="110"/>
  <c r="F12" i="110"/>
  <c r="F13" i="110"/>
  <c r="F108" i="110"/>
  <c r="F29" i="110"/>
  <c r="F133" i="110"/>
  <c r="F121" i="110"/>
  <c r="F30" i="110"/>
  <c r="F116" i="110"/>
  <c r="F125" i="110"/>
  <c r="F14" i="110"/>
  <c r="F15" i="110"/>
  <c r="F16" i="110"/>
  <c r="F17" i="110"/>
  <c r="F18" i="110"/>
  <c r="F128" i="110"/>
  <c r="F126" i="110"/>
  <c r="F122" i="110"/>
  <c r="F127" i="110"/>
  <c r="F139" i="110"/>
  <c r="F129" i="110"/>
  <c r="F130" i="110"/>
  <c r="F138" i="110"/>
  <c r="F81" i="110"/>
  <c r="F134" i="110"/>
  <c r="F135" i="110"/>
  <c r="F83" i="110"/>
  <c r="F84" i="110"/>
  <c r="F85" i="110"/>
  <c r="F23" i="110"/>
  <c r="F3" i="110"/>
  <c r="F131" i="110"/>
  <c r="F24" i="110"/>
  <c r="F25" i="110"/>
  <c r="F90" i="110"/>
  <c r="F91" i="110"/>
  <c r="F31" i="110"/>
  <c r="F32" i="110"/>
  <c r="F33" i="110"/>
  <c r="F117" i="110"/>
  <c r="F118" i="110"/>
  <c r="F136" i="110"/>
  <c r="F144" i="110"/>
  <c r="F9" i="110"/>
  <c r="F145" i="110"/>
  <c r="F110" i="110"/>
  <c r="F10" i="110"/>
  <c r="F87" i="110"/>
  <c r="F88" i="110"/>
  <c r="F111" i="110"/>
  <c r="F146" i="110"/>
  <c r="F112" i="110"/>
  <c r="F114" i="110"/>
  <c r="F115" i="110"/>
  <c r="F63" i="110"/>
  <c r="F64" i="110"/>
  <c r="F65" i="110"/>
  <c r="F67" i="110"/>
  <c r="F68" i="110"/>
  <c r="F76" i="110"/>
  <c r="F140" i="110"/>
  <c r="F141" i="110"/>
  <c r="F82" i="110"/>
  <c r="F86" i="110"/>
  <c r="F89" i="110"/>
  <c r="F142" i="110"/>
  <c r="F6" i="110"/>
  <c r="F7" i="110"/>
  <c r="F143" i="110"/>
  <c r="F94" i="110"/>
  <c r="F95" i="110"/>
  <c r="F8" i="110"/>
  <c r="F100" i="110"/>
  <c r="F34" i="110"/>
  <c r="T147" i="107"/>
  <c r="T148" i="107"/>
  <c r="T149" i="107"/>
  <c r="R147" i="115" s="1"/>
  <c r="T151" i="107"/>
  <c r="T152" i="107"/>
  <c r="R150" i="115" s="1"/>
  <c r="T150" i="107"/>
  <c r="T153" i="107"/>
  <c r="R151" i="115" s="1"/>
  <c r="T154" i="107"/>
  <c r="R152" i="115" s="1"/>
  <c r="T155" i="107"/>
  <c r="T156" i="107"/>
  <c r="T157" i="107"/>
  <c r="R155" i="115" s="1"/>
  <c r="T158" i="107"/>
  <c r="T159" i="107"/>
  <c r="T163" i="107"/>
  <c r="T164" i="107"/>
  <c r="T165" i="107"/>
  <c r="T166" i="107"/>
  <c r="T167" i="107"/>
  <c r="T168" i="107"/>
  <c r="T161" i="107"/>
  <c r="T162" i="107"/>
  <c r="AP66" i="107"/>
  <c r="AP67" i="107"/>
  <c r="AP68" i="107"/>
  <c r="AP69" i="107"/>
  <c r="AP70" i="107"/>
  <c r="R160" i="115" l="1"/>
  <c r="R165" i="115"/>
  <c r="R161" i="115"/>
  <c r="R164" i="115"/>
  <c r="R163" i="115"/>
  <c r="R156" i="115"/>
  <c r="R158" i="115"/>
  <c r="R167" i="115"/>
  <c r="R168" i="115"/>
  <c r="R166" i="115"/>
  <c r="R157" i="115"/>
  <c r="R159" i="115"/>
  <c r="R149" i="115"/>
  <c r="R154" i="115"/>
  <c r="R283" i="115"/>
  <c r="R153" i="115"/>
  <c r="R282" i="115"/>
  <c r="R280" i="115"/>
  <c r="R148" i="115"/>
  <c r="R281" i="115"/>
  <c r="R162" i="115"/>
  <c r="R284" i="115"/>
  <c r="AQ168" i="107"/>
  <c r="AR168" i="107" s="1"/>
  <c r="AQ167" i="107"/>
  <c r="AR167" i="107" s="1"/>
  <c r="AM66" i="107"/>
  <c r="AM67" i="107"/>
  <c r="AM68" i="107"/>
  <c r="AM70" i="107"/>
  <c r="AM69" i="107"/>
  <c r="AQ163" i="107"/>
  <c r="AR163" i="107" s="1"/>
  <c r="AQ162" i="107"/>
  <c r="AR162" i="107" s="1"/>
  <c r="AQ161" i="107"/>
  <c r="AR161" i="107" s="1"/>
  <c r="AQ166" i="107"/>
  <c r="AQ165" i="107"/>
  <c r="AR165" i="107" s="1"/>
  <c r="AQ159" i="107"/>
  <c r="AR159" i="107" s="1"/>
  <c r="AQ164" i="107"/>
  <c r="AR164" i="107" s="1"/>
  <c r="AQ154" i="107"/>
  <c r="AR154" i="107" s="1"/>
  <c r="AQ153" i="107"/>
  <c r="AR153" i="107" s="1"/>
  <c r="AQ157" i="107"/>
  <c r="AR157" i="107" s="1"/>
  <c r="AQ155" i="107"/>
  <c r="AR155" i="107" s="1"/>
  <c r="AQ150" i="107"/>
  <c r="AQ152" i="107"/>
  <c r="AR152" i="107" s="1"/>
  <c r="AQ156" i="107"/>
  <c r="AR156" i="107" s="1"/>
  <c r="AQ151" i="107"/>
  <c r="AR151" i="107" s="1"/>
  <c r="AQ148" i="107"/>
  <c r="AR148" i="107" s="1"/>
  <c r="AQ158" i="107"/>
  <c r="AR158" i="107" s="1"/>
  <c r="AQ149" i="107"/>
  <c r="AR149" i="107" s="1"/>
  <c r="AQ147" i="107"/>
  <c r="AR147" i="107" s="1"/>
  <c r="F1" i="110"/>
  <c r="W25" i="118" l="1"/>
  <c r="AR166" i="107"/>
  <c r="V25" i="118"/>
  <c r="AR150" i="107"/>
  <c r="J121" i="104"/>
  <c r="V41" i="104"/>
  <c r="V42" i="104"/>
  <c r="V43" i="104"/>
  <c r="J113" i="104"/>
  <c r="J114" i="104"/>
  <c r="J124" i="104"/>
  <c r="J117" i="104"/>
  <c r="J109" i="104"/>
  <c r="J118" i="104"/>
  <c r="J125" i="104"/>
  <c r="J112" i="104"/>
  <c r="J123" i="104"/>
  <c r="J126" i="104"/>
  <c r="J127" i="104"/>
  <c r="J110" i="104"/>
  <c r="J122" i="104"/>
  <c r="J128" i="104"/>
  <c r="AE422" i="107"/>
  <c r="R422" i="107"/>
  <c r="T146" i="107"/>
  <c r="R146" i="115" s="1"/>
  <c r="T144" i="107"/>
  <c r="T145" i="107"/>
  <c r="T143" i="107"/>
  <c r="T142" i="107"/>
  <c r="T141" i="107"/>
  <c r="T140" i="107"/>
  <c r="T139" i="107"/>
  <c r="T138" i="107"/>
  <c r="T137" i="107"/>
  <c r="T134" i="107"/>
  <c r="T133" i="107"/>
  <c r="T136" i="107"/>
  <c r="T135" i="107"/>
  <c r="T132" i="107"/>
  <c r="T131" i="107"/>
  <c r="T130" i="107"/>
  <c r="T129" i="107"/>
  <c r="T128" i="107"/>
  <c r="T127" i="107"/>
  <c r="T126" i="107"/>
  <c r="T116" i="107"/>
  <c r="T125" i="107"/>
  <c r="T124" i="107"/>
  <c r="T115" i="107"/>
  <c r="R113" i="115" s="1"/>
  <c r="T114" i="107"/>
  <c r="T113" i="107"/>
  <c r="T112" i="107"/>
  <c r="T111" i="107"/>
  <c r="T110" i="107"/>
  <c r="T109" i="107"/>
  <c r="T108" i="107"/>
  <c r="T107" i="107"/>
  <c r="T106" i="107"/>
  <c r="T105" i="107"/>
  <c r="R103" i="115" s="1"/>
  <c r="T104" i="107"/>
  <c r="T102" i="107"/>
  <c r="R100" i="115" s="1"/>
  <c r="T101" i="107"/>
  <c r="T100" i="107"/>
  <c r="T99" i="107"/>
  <c r="T98" i="107"/>
  <c r="T97" i="107"/>
  <c r="T96" i="107"/>
  <c r="T95" i="107"/>
  <c r="T94" i="107"/>
  <c r="T93" i="107"/>
  <c r="T92" i="107"/>
  <c r="R90" i="115" s="1"/>
  <c r="T91" i="107"/>
  <c r="R89" i="115" s="1"/>
  <c r="T90" i="107"/>
  <c r="R88" i="115" s="1"/>
  <c r="T89" i="107"/>
  <c r="T88" i="107"/>
  <c r="T87" i="107"/>
  <c r="T86" i="107"/>
  <c r="T85" i="107"/>
  <c r="T84" i="107"/>
  <c r="T123" i="107"/>
  <c r="T122" i="107"/>
  <c r="T121" i="107"/>
  <c r="T120" i="107"/>
  <c r="T83" i="107"/>
  <c r="T119" i="107"/>
  <c r="T118" i="107"/>
  <c r="T82" i="107"/>
  <c r="T117" i="107"/>
  <c r="T81" i="107"/>
  <c r="T80" i="107"/>
  <c r="T79" i="107"/>
  <c r="T78" i="107"/>
  <c r="T77" i="107"/>
  <c r="T76" i="107"/>
  <c r="T75" i="107"/>
  <c r="R73" i="115" s="1"/>
  <c r="T74" i="107"/>
  <c r="T73" i="107"/>
  <c r="R71" i="115" s="1"/>
  <c r="T72" i="107"/>
  <c r="T71" i="107"/>
  <c r="T70" i="107"/>
  <c r="T69" i="107"/>
  <c r="T68" i="107"/>
  <c r="T67" i="107"/>
  <c r="T66" i="107"/>
  <c r="AP65" i="107"/>
  <c r="T65" i="107"/>
  <c r="AP64" i="107"/>
  <c r="T64" i="107"/>
  <c r="AP63" i="107"/>
  <c r="T63" i="107"/>
  <c r="AP62" i="107"/>
  <c r="T62" i="107"/>
  <c r="AP61" i="107"/>
  <c r="T61" i="107"/>
  <c r="AP60" i="107"/>
  <c r="T60" i="107"/>
  <c r="AP59" i="107"/>
  <c r="T59" i="107"/>
  <c r="AP58" i="107"/>
  <c r="T58" i="107"/>
  <c r="T57" i="107"/>
  <c r="T56" i="107"/>
  <c r="T55" i="107"/>
  <c r="T54" i="107"/>
  <c r="AP53" i="107"/>
  <c r="T53" i="107"/>
  <c r="AP52" i="107"/>
  <c r="T52" i="107"/>
  <c r="AP51" i="107"/>
  <c r="T51" i="107"/>
  <c r="AP50" i="107"/>
  <c r="T50" i="107"/>
  <c r="AP49" i="107"/>
  <c r="T49" i="107"/>
  <c r="AP47" i="107"/>
  <c r="T47" i="107"/>
  <c r="AP48" i="107"/>
  <c r="T48" i="107"/>
  <c r="AP46" i="107"/>
  <c r="T46" i="107"/>
  <c r="AP45" i="107"/>
  <c r="T45" i="107"/>
  <c r="R43" i="115" s="1"/>
  <c r="AP44" i="107"/>
  <c r="T44" i="107"/>
  <c r="R42" i="115" s="1"/>
  <c r="AP43" i="107"/>
  <c r="T43" i="107"/>
  <c r="R41" i="115" s="1"/>
  <c r="T42" i="107"/>
  <c r="AP41" i="107"/>
  <c r="T41" i="107"/>
  <c r="AP40" i="107"/>
  <c r="T40" i="107"/>
  <c r="R38" i="115" s="1"/>
  <c r="AP39" i="107"/>
  <c r="T39" i="107"/>
  <c r="AP38" i="107"/>
  <c r="T38" i="107"/>
  <c r="R36" i="115" s="1"/>
  <c r="AP37" i="107"/>
  <c r="T37" i="107"/>
  <c r="R35" i="115" s="1"/>
  <c r="AP36" i="107"/>
  <c r="T36" i="107"/>
  <c r="T5" i="107"/>
  <c r="AQ5" i="107" s="1"/>
  <c r="AP21" i="107"/>
  <c r="T21" i="107"/>
  <c r="AP20" i="107"/>
  <c r="T20" i="107"/>
  <c r="AP8" i="107"/>
  <c r="T8" i="107"/>
  <c r="AP35" i="107"/>
  <c r="T35" i="107"/>
  <c r="AP34" i="107"/>
  <c r="T34" i="107"/>
  <c r="AP33" i="107"/>
  <c r="T33" i="107"/>
  <c r="AP32" i="107"/>
  <c r="T32" i="107"/>
  <c r="AP31" i="107"/>
  <c r="T31" i="107"/>
  <c r="AP30" i="107"/>
  <c r="T30" i="107"/>
  <c r="AP29" i="107"/>
  <c r="T29" i="107"/>
  <c r="AP28" i="107"/>
  <c r="T28" i="107"/>
  <c r="AP27" i="107"/>
  <c r="T27" i="107"/>
  <c r="AP26" i="107"/>
  <c r="T26" i="107"/>
  <c r="AP25" i="107"/>
  <c r="T25" i="107"/>
  <c r="AP24" i="107"/>
  <c r="T24" i="107"/>
  <c r="T23" i="107"/>
  <c r="T22" i="107"/>
  <c r="T7" i="107"/>
  <c r="T6" i="107"/>
  <c r="T19" i="107"/>
  <c r="T18" i="107"/>
  <c r="T17" i="107"/>
  <c r="T16" i="107"/>
  <c r="T15" i="107"/>
  <c r="T14" i="107"/>
  <c r="T13" i="107"/>
  <c r="T12" i="107"/>
  <c r="T11" i="107"/>
  <c r="T10" i="107"/>
  <c r="T9" i="107"/>
  <c r="AR5" i="107" l="1"/>
  <c r="V27" i="118"/>
  <c r="W27" i="118"/>
  <c r="T3" i="107"/>
  <c r="R117" i="115"/>
  <c r="R3" i="115"/>
  <c r="R7" i="115"/>
  <c r="R15" i="115"/>
  <c r="R22" i="115"/>
  <c r="R118" i="115"/>
  <c r="R114" i="115"/>
  <c r="R135" i="115"/>
  <c r="R123" i="115"/>
  <c r="R13" i="115"/>
  <c r="R24" i="115"/>
  <c r="R94" i="115"/>
  <c r="R126" i="115"/>
  <c r="R78" i="115"/>
  <c r="R9" i="115"/>
  <c r="R12" i="115"/>
  <c r="R87" i="115"/>
  <c r="R116" i="115"/>
  <c r="R74" i="115"/>
  <c r="R91" i="115"/>
  <c r="R50" i="115"/>
  <c r="R125" i="115"/>
  <c r="R138" i="115"/>
  <c r="R83" i="115"/>
  <c r="R95" i="115"/>
  <c r="R139" i="115"/>
  <c r="R79" i="115"/>
  <c r="R84" i="115"/>
  <c r="R96" i="115"/>
  <c r="R109" i="115"/>
  <c r="R140" i="115"/>
  <c r="R11" i="115"/>
  <c r="R23" i="115"/>
  <c r="R119" i="115"/>
  <c r="R92" i="115"/>
  <c r="R124" i="115"/>
  <c r="R44" i="115"/>
  <c r="R120" i="115"/>
  <c r="R93" i="115"/>
  <c r="R14" i="115"/>
  <c r="R39" i="115"/>
  <c r="R45" i="115"/>
  <c r="R59" i="115"/>
  <c r="R16" i="115"/>
  <c r="R40" i="115"/>
  <c r="R46" i="115"/>
  <c r="R52" i="115"/>
  <c r="R60" i="115"/>
  <c r="R85" i="115"/>
  <c r="R97" i="115"/>
  <c r="R110" i="115"/>
  <c r="R129" i="115"/>
  <c r="R141" i="115"/>
  <c r="R8" i="115"/>
  <c r="R6" i="115"/>
  <c r="R53" i="115"/>
  <c r="R80" i="115"/>
  <c r="R86" i="115"/>
  <c r="R98" i="115"/>
  <c r="R143" i="115"/>
  <c r="R145" i="115"/>
  <c r="R47" i="115"/>
  <c r="R54" i="115"/>
  <c r="R99" i="115"/>
  <c r="R134" i="115"/>
  <c r="R48" i="115"/>
  <c r="R121" i="115"/>
  <c r="R122" i="115"/>
  <c r="R49" i="115"/>
  <c r="R246" i="115"/>
  <c r="R57" i="115"/>
  <c r="R266" i="115"/>
  <c r="R63" i="115"/>
  <c r="R270" i="115"/>
  <c r="R104" i="115"/>
  <c r="R133" i="115"/>
  <c r="R275" i="115"/>
  <c r="R33" i="115"/>
  <c r="R262" i="115"/>
  <c r="R28" i="115"/>
  <c r="R257" i="115"/>
  <c r="R132" i="115"/>
  <c r="R274" i="115"/>
  <c r="R37" i="115"/>
  <c r="R20" i="115"/>
  <c r="R252" i="115"/>
  <c r="R29" i="115"/>
  <c r="R258" i="115"/>
  <c r="R75" i="115"/>
  <c r="R105" i="115"/>
  <c r="R136" i="115"/>
  <c r="R276" i="115"/>
  <c r="R19" i="115"/>
  <c r="R251" i="115"/>
  <c r="R58" i="115"/>
  <c r="R267" i="115"/>
  <c r="R64" i="115"/>
  <c r="R76" i="115"/>
  <c r="R106" i="115"/>
  <c r="R137" i="115"/>
  <c r="R277" i="115"/>
  <c r="R21" i="115"/>
  <c r="R253" i="115"/>
  <c r="R30" i="115"/>
  <c r="R259" i="115"/>
  <c r="R65" i="115"/>
  <c r="R77" i="115"/>
  <c r="R82" i="115"/>
  <c r="R107" i="115"/>
  <c r="R51" i="115"/>
  <c r="R66" i="115"/>
  <c r="R108" i="115"/>
  <c r="R127" i="115"/>
  <c r="R271" i="115"/>
  <c r="R17" i="115"/>
  <c r="R249" i="115"/>
  <c r="R31" i="115"/>
  <c r="R260" i="115"/>
  <c r="R67" i="115"/>
  <c r="R128" i="115"/>
  <c r="R272" i="115"/>
  <c r="R10" i="115"/>
  <c r="R68" i="115"/>
  <c r="R25" i="115"/>
  <c r="R254" i="115"/>
  <c r="R34" i="115"/>
  <c r="R263" i="115"/>
  <c r="R4" i="115"/>
  <c r="R247" i="115"/>
  <c r="R26" i="115"/>
  <c r="R255" i="115"/>
  <c r="R32" i="115"/>
  <c r="R261" i="115"/>
  <c r="R69" i="115"/>
  <c r="R111" i="115"/>
  <c r="R5" i="115"/>
  <c r="R248" i="115"/>
  <c r="R61" i="115"/>
  <c r="R268" i="115"/>
  <c r="R70" i="115"/>
  <c r="R115" i="115"/>
  <c r="R101" i="115"/>
  <c r="R112" i="115"/>
  <c r="R142" i="115"/>
  <c r="R278" i="115"/>
  <c r="R144" i="115"/>
  <c r="R279" i="115"/>
  <c r="R27" i="115"/>
  <c r="R256" i="115"/>
  <c r="R55" i="115"/>
  <c r="R264" i="115"/>
  <c r="R18" i="115"/>
  <c r="R250" i="115"/>
  <c r="R56" i="115"/>
  <c r="R265" i="115"/>
  <c r="R62" i="115"/>
  <c r="R269" i="115"/>
  <c r="R72" i="115"/>
  <c r="R81" i="115"/>
  <c r="R102" i="115"/>
  <c r="R131" i="115"/>
  <c r="R273" i="115"/>
  <c r="R130" i="115"/>
  <c r="T422" i="107"/>
  <c r="AS157" i="107"/>
  <c r="AS156" i="107"/>
  <c r="AS151" i="107"/>
  <c r="AS153" i="107"/>
  <c r="AS148" i="107"/>
  <c r="AS154" i="107"/>
  <c r="AS169" i="107"/>
  <c r="AS155" i="107"/>
  <c r="AS159" i="107"/>
  <c r="AS164" i="107"/>
  <c r="AS158" i="107"/>
  <c r="AS147" i="107"/>
  <c r="AS168" i="107"/>
  <c r="AS163" i="107"/>
  <c r="AS165" i="107"/>
  <c r="AS162" i="107"/>
  <c r="AS149" i="107"/>
  <c r="AS161" i="107"/>
  <c r="AS167" i="107"/>
  <c r="AS152" i="107"/>
  <c r="AQ14" i="107"/>
  <c r="AQ16" i="107"/>
  <c r="AQ11" i="107"/>
  <c r="AQ13" i="107"/>
  <c r="AQ15" i="107"/>
  <c r="X43" i="104"/>
  <c r="X42" i="104"/>
  <c r="X41" i="104"/>
  <c r="AQ12" i="107"/>
  <c r="AQ9" i="107"/>
  <c r="AQ10" i="107"/>
  <c r="L124" i="104"/>
  <c r="L121" i="104"/>
  <c r="L118" i="104"/>
  <c r="L128" i="104"/>
  <c r="L114" i="104"/>
  <c r="L125" i="104"/>
  <c r="L122" i="104"/>
  <c r="L113" i="104"/>
  <c r="L112" i="104"/>
  <c r="L109" i="104"/>
  <c r="L110" i="104"/>
  <c r="L117" i="104"/>
  <c r="L127" i="104"/>
  <c r="L123" i="104"/>
  <c r="L126" i="104"/>
  <c r="AM32" i="107"/>
  <c r="AM29" i="107"/>
  <c r="AM30" i="107"/>
  <c r="AM33" i="107"/>
  <c r="AM38" i="107"/>
  <c r="AM44" i="107"/>
  <c r="AM50" i="107"/>
  <c r="AM60" i="107"/>
  <c r="AM7" i="107"/>
  <c r="AM22" i="107"/>
  <c r="AM34" i="107"/>
  <c r="AM31" i="107"/>
  <c r="AM18" i="107"/>
  <c r="AM19" i="107"/>
  <c r="AM6" i="107"/>
  <c r="AM23" i="107"/>
  <c r="AM35" i="107"/>
  <c r="AM39" i="107"/>
  <c r="AM45" i="107"/>
  <c r="AM51" i="107"/>
  <c r="AM61" i="107"/>
  <c r="AM16" i="107"/>
  <c r="AM24" i="107"/>
  <c r="AM8" i="107"/>
  <c r="AM59" i="107"/>
  <c r="AM17" i="107"/>
  <c r="AM14" i="107"/>
  <c r="AM15" i="107"/>
  <c r="AM20" i="107"/>
  <c r="AM40" i="107"/>
  <c r="AM46" i="107"/>
  <c r="AM52" i="107"/>
  <c r="AM54" i="107"/>
  <c r="AM62" i="107"/>
  <c r="AM65" i="107"/>
  <c r="AM25" i="107"/>
  <c r="AM21" i="107"/>
  <c r="AM55" i="107"/>
  <c r="AM13" i="107"/>
  <c r="AM11" i="107"/>
  <c r="AM12" i="107"/>
  <c r="AM26" i="107"/>
  <c r="AM41" i="107"/>
  <c r="AM48" i="107"/>
  <c r="AM53" i="107"/>
  <c r="AM56" i="107"/>
  <c r="AM63" i="107"/>
  <c r="AM37" i="107"/>
  <c r="AM43" i="107"/>
  <c r="AM49" i="107"/>
  <c r="AM10" i="107"/>
  <c r="AM27" i="107"/>
  <c r="AM57" i="107"/>
  <c r="AM28" i="107"/>
  <c r="AM36" i="107"/>
  <c r="AM42" i="107"/>
  <c r="AR42" i="107" s="1"/>
  <c r="AM47" i="107"/>
  <c r="AM58" i="107"/>
  <c r="AM64" i="107"/>
  <c r="AM9" i="107"/>
  <c r="AN164" i="107"/>
  <c r="AN166" i="107"/>
  <c r="AN163" i="107"/>
  <c r="AN165" i="107"/>
  <c r="AN162" i="107"/>
  <c r="AN161" i="107"/>
  <c r="AN159" i="107"/>
  <c r="AQ109" i="107"/>
  <c r="AR109" i="107" s="1"/>
  <c r="AQ129" i="107"/>
  <c r="AR129" i="107" s="1"/>
  <c r="AQ135" i="107"/>
  <c r="AR135" i="107" s="1"/>
  <c r="AQ144" i="107"/>
  <c r="AR144" i="107" s="1"/>
  <c r="AQ74" i="107"/>
  <c r="AR74" i="107" s="1"/>
  <c r="AQ78" i="107"/>
  <c r="AR78" i="107" s="1"/>
  <c r="AQ95" i="107"/>
  <c r="AR95" i="107" s="1"/>
  <c r="AQ131" i="107"/>
  <c r="AR131" i="107" s="1"/>
  <c r="AQ133" i="107"/>
  <c r="AR133" i="107" s="1"/>
  <c r="AQ139" i="107"/>
  <c r="AR139" i="107" s="1"/>
  <c r="AQ143" i="107"/>
  <c r="AR143" i="107" s="1"/>
  <c r="AQ100" i="107"/>
  <c r="AR100" i="107" s="1"/>
  <c r="AQ105" i="107"/>
  <c r="AR105" i="107" s="1"/>
  <c r="AQ125" i="107"/>
  <c r="AR125" i="107" s="1"/>
  <c r="AQ76" i="107"/>
  <c r="AR76" i="107" s="1"/>
  <c r="AQ108" i="107"/>
  <c r="AR108" i="107" s="1"/>
  <c r="AQ75" i="107"/>
  <c r="AR75" i="107" s="1"/>
  <c r="AQ96" i="107"/>
  <c r="AR96" i="107" s="1"/>
  <c r="AQ88" i="107"/>
  <c r="AR88" i="107" s="1"/>
  <c r="AQ92" i="107"/>
  <c r="AR92" i="107" s="1"/>
  <c r="AQ87" i="107"/>
  <c r="AR87" i="107" s="1"/>
  <c r="AQ91" i="107"/>
  <c r="AR91" i="107" s="1"/>
  <c r="AQ84" i="107"/>
  <c r="AR84" i="107" s="1"/>
  <c r="AQ113" i="107"/>
  <c r="AR113" i="107" s="1"/>
  <c r="AQ72" i="107"/>
  <c r="AR72" i="107" s="1"/>
  <c r="AQ137" i="107"/>
  <c r="AR137" i="107" s="1"/>
  <c r="AQ141" i="107"/>
  <c r="AR141" i="107" s="1"/>
  <c r="AQ90" i="107"/>
  <c r="AR90" i="107" s="1"/>
  <c r="AQ112" i="107"/>
  <c r="AR112" i="107" s="1"/>
  <c r="AQ127" i="107"/>
  <c r="AR127" i="107" s="1"/>
  <c r="AQ128" i="107"/>
  <c r="AR128" i="107" s="1"/>
  <c r="AQ132" i="107"/>
  <c r="AR132" i="107" s="1"/>
  <c r="AQ134" i="107"/>
  <c r="AR134" i="107" s="1"/>
  <c r="AQ140" i="107"/>
  <c r="AR140" i="107" s="1"/>
  <c r="AQ145" i="107"/>
  <c r="AR145" i="107" s="1"/>
  <c r="AQ81" i="107"/>
  <c r="AR81" i="107" s="1"/>
  <c r="AQ119" i="107"/>
  <c r="AR119" i="107" s="1"/>
  <c r="AQ122" i="107"/>
  <c r="AR122" i="107" s="1"/>
  <c r="AQ86" i="107"/>
  <c r="AR86" i="107" s="1"/>
  <c r="AQ80" i="107"/>
  <c r="AR80" i="107" s="1"/>
  <c r="AQ118" i="107"/>
  <c r="AR118" i="107" s="1"/>
  <c r="AQ121" i="107"/>
  <c r="AR121" i="107" s="1"/>
  <c r="AQ85" i="107"/>
  <c r="AR85" i="107" s="1"/>
  <c r="AQ97" i="107"/>
  <c r="AR97" i="107" s="1"/>
  <c r="AQ101" i="107"/>
  <c r="AR101" i="107" s="1"/>
  <c r="AQ106" i="107"/>
  <c r="AR106" i="107" s="1"/>
  <c r="AQ110" i="107"/>
  <c r="AR110" i="107" s="1"/>
  <c r="AQ114" i="107"/>
  <c r="AR114" i="107" s="1"/>
  <c r="AQ116" i="107"/>
  <c r="AR116" i="107" s="1"/>
  <c r="AQ82" i="107"/>
  <c r="AR82" i="107" s="1"/>
  <c r="AQ120" i="107"/>
  <c r="AR120" i="107" s="1"/>
  <c r="AQ117" i="107"/>
  <c r="AR117" i="107" s="1"/>
  <c r="AQ83" i="107"/>
  <c r="AR83" i="107" s="1"/>
  <c r="AQ123" i="107"/>
  <c r="AR123" i="107" s="1"/>
  <c r="AQ99" i="107"/>
  <c r="AR99" i="107" s="1"/>
  <c r="AQ104" i="107"/>
  <c r="AR104" i="107" s="1"/>
  <c r="AQ124" i="107"/>
  <c r="AR124" i="107" s="1"/>
  <c r="AQ79" i="107"/>
  <c r="AR79" i="107" s="1"/>
  <c r="AQ89" i="107"/>
  <c r="AR89" i="107" s="1"/>
  <c r="AQ93" i="107"/>
  <c r="AR93" i="107" s="1"/>
  <c r="AQ98" i="107"/>
  <c r="AR98" i="107" s="1"/>
  <c r="AQ102" i="107"/>
  <c r="AR102" i="107" s="1"/>
  <c r="AQ107" i="107"/>
  <c r="AR107" i="107" s="1"/>
  <c r="AQ111" i="107"/>
  <c r="AR111" i="107" s="1"/>
  <c r="AQ115" i="107"/>
  <c r="AR115" i="107" s="1"/>
  <c r="AQ126" i="107"/>
  <c r="AR126" i="107" s="1"/>
  <c r="AQ73" i="107"/>
  <c r="AR73" i="107" s="1"/>
  <c r="AQ77" i="107"/>
  <c r="AR77" i="107" s="1"/>
  <c r="AQ94" i="107"/>
  <c r="AR94" i="107" s="1"/>
  <c r="AQ130" i="107"/>
  <c r="AR130" i="107" s="1"/>
  <c r="AQ136" i="107"/>
  <c r="AR136" i="107" s="1"/>
  <c r="AQ138" i="107"/>
  <c r="AR138" i="107" s="1"/>
  <c r="AQ142" i="107"/>
  <c r="AR142" i="107" s="1"/>
  <c r="AQ146" i="107"/>
  <c r="AR146" i="107" s="1"/>
  <c r="AN157" i="107"/>
  <c r="AN158" i="107"/>
  <c r="AN153" i="107"/>
  <c r="AN154" i="107"/>
  <c r="AN156" i="107"/>
  <c r="AH2" i="112" a="1"/>
  <c r="U2" i="112" a="1"/>
  <c r="AN155" i="107"/>
  <c r="AN152" i="107"/>
  <c r="AN151" i="107"/>
  <c r="AN150" i="107"/>
  <c r="AN149" i="107"/>
  <c r="AN147" i="107"/>
  <c r="AN148" i="107"/>
  <c r="AQ59" i="107"/>
  <c r="AQ24" i="107"/>
  <c r="AQ56" i="107"/>
  <c r="AQ47" i="107"/>
  <c r="AQ64" i="107"/>
  <c r="AQ41" i="107"/>
  <c r="AQ48" i="107"/>
  <c r="AQ61" i="107"/>
  <c r="AQ62" i="107"/>
  <c r="AQ53" i="107"/>
  <c r="AQ39" i="107"/>
  <c r="AQ60" i="107"/>
  <c r="AQ29" i="107"/>
  <c r="AQ20" i="107"/>
  <c r="AQ71" i="107"/>
  <c r="AR71" i="107" s="1"/>
  <c r="AQ52" i="107"/>
  <c r="AQ27" i="107"/>
  <c r="AQ22" i="107"/>
  <c r="AQ19" i="107"/>
  <c r="AQ65" i="107"/>
  <c r="AQ66" i="107"/>
  <c r="AR66" i="107" s="1"/>
  <c r="AQ70" i="107"/>
  <c r="AR70" i="107" s="1"/>
  <c r="AQ26" i="107"/>
  <c r="AQ69" i="107"/>
  <c r="AR69" i="107" s="1"/>
  <c r="AQ40" i="107"/>
  <c r="AQ38" i="107"/>
  <c r="AQ17" i="107"/>
  <c r="AQ46" i="107"/>
  <c r="AQ37" i="107"/>
  <c r="AQ67" i="107"/>
  <c r="AR67" i="107" s="1"/>
  <c r="AQ18" i="107"/>
  <c r="AQ36" i="107"/>
  <c r="AQ68" i="107"/>
  <c r="AR68" i="107" s="1"/>
  <c r="AQ28" i="107"/>
  <c r="AQ44" i="107"/>
  <c r="AQ50" i="107"/>
  <c r="AQ32" i="107"/>
  <c r="AQ63" i="107"/>
  <c r="AQ6" i="107"/>
  <c r="AQ54" i="107"/>
  <c r="AQ57" i="107"/>
  <c r="AQ8" i="107"/>
  <c r="AQ21" i="107"/>
  <c r="AQ55" i="107"/>
  <c r="AQ58" i="107"/>
  <c r="AQ31" i="107"/>
  <c r="AQ7" i="107"/>
  <c r="AQ30" i="107"/>
  <c r="AQ51" i="107"/>
  <c r="AQ45" i="107"/>
  <c r="AQ23" i="107"/>
  <c r="AQ25" i="107"/>
  <c r="AQ33" i="107"/>
  <c r="AQ35" i="107"/>
  <c r="AQ34" i="107"/>
  <c r="AQ43" i="107"/>
  <c r="AQ49" i="107"/>
  <c r="S426" i="107" l="1"/>
  <c r="AR9" i="107"/>
  <c r="AR10" i="107"/>
  <c r="AR12" i="107"/>
  <c r="AR11" i="107"/>
  <c r="AR14" i="107"/>
  <c r="AR16" i="107"/>
  <c r="K25" i="118"/>
  <c r="AR15" i="107"/>
  <c r="AR64" i="107"/>
  <c r="AR63" i="107"/>
  <c r="AR65" i="107"/>
  <c r="AR24" i="107"/>
  <c r="AR34" i="107"/>
  <c r="AR58" i="107"/>
  <c r="AR56" i="107"/>
  <c r="AR62" i="107"/>
  <c r="AR22" i="107"/>
  <c r="AR47" i="107"/>
  <c r="AR53" i="107"/>
  <c r="AR54" i="107"/>
  <c r="AR61" i="107"/>
  <c r="AR7" i="107"/>
  <c r="AR48" i="107"/>
  <c r="AR52" i="107"/>
  <c r="AR51" i="107"/>
  <c r="AR60" i="107"/>
  <c r="AR36" i="107"/>
  <c r="AR41" i="107"/>
  <c r="AR46" i="107"/>
  <c r="AR45" i="107"/>
  <c r="AR50" i="107"/>
  <c r="AR28" i="107"/>
  <c r="AR26" i="107"/>
  <c r="AR40" i="107"/>
  <c r="AR39" i="107"/>
  <c r="AR44" i="107"/>
  <c r="AR57" i="107"/>
  <c r="AR20" i="107"/>
  <c r="AR35" i="107"/>
  <c r="AR38" i="107"/>
  <c r="AR27" i="107"/>
  <c r="AR23" i="107"/>
  <c r="AR33" i="107"/>
  <c r="AR13" i="107"/>
  <c r="AR6" i="107"/>
  <c r="AR30" i="107"/>
  <c r="AR49" i="107"/>
  <c r="AR55" i="107"/>
  <c r="AR17" i="107"/>
  <c r="AR19" i="107"/>
  <c r="AR29" i="107"/>
  <c r="AR43" i="107"/>
  <c r="AR21" i="107"/>
  <c r="AR59" i="107"/>
  <c r="AR18" i="107"/>
  <c r="AR32" i="107"/>
  <c r="AR37" i="107"/>
  <c r="AR25" i="107"/>
  <c r="AR8" i="107"/>
  <c r="AR31" i="107"/>
  <c r="P25" i="118"/>
  <c r="L25" i="118"/>
  <c r="L27" i="118" s="1"/>
  <c r="AM3" i="107"/>
  <c r="AN3" i="107" s="1"/>
  <c r="N25" i="118"/>
  <c r="N27" i="118" s="1"/>
  <c r="Q25" i="118"/>
  <c r="O25" i="118"/>
  <c r="M25" i="118"/>
  <c r="M27" i="118" s="1"/>
  <c r="T25" i="118"/>
  <c r="U25" i="118"/>
  <c r="R25" i="118"/>
  <c r="S25" i="118"/>
  <c r="AS150" i="107"/>
  <c r="AS166" i="107"/>
  <c r="AQ3" i="107"/>
  <c r="Y41" i="104"/>
  <c r="Y43" i="104"/>
  <c r="Y42" i="104"/>
  <c r="AC3" i="112"/>
  <c r="AR3" i="112"/>
  <c r="AC16" i="112"/>
  <c r="AQ16" i="112"/>
  <c r="Z16" i="112"/>
  <c r="AN16" i="112"/>
  <c r="Z15" i="112"/>
  <c r="AM15" i="112"/>
  <c r="AR4" i="112"/>
  <c r="W6" i="112"/>
  <c r="Z7" i="112"/>
  <c r="AC8" i="112"/>
  <c r="AM8" i="112"/>
  <c r="AD8" i="112"/>
  <c r="AJ13" i="112"/>
  <c r="AL9" i="112"/>
  <c r="AM9" i="112"/>
  <c r="AM16" i="112"/>
  <c r="W9" i="112"/>
  <c r="AP8" i="112"/>
  <c r="V9" i="112"/>
  <c r="AO8" i="112"/>
  <c r="AE8" i="112"/>
  <c r="AN8" i="112"/>
  <c r="X14" i="112"/>
  <c r="Y15" i="112"/>
  <c r="AC11" i="112"/>
  <c r="AR6" i="112"/>
  <c r="V6" i="112"/>
  <c r="AR5" i="112"/>
  <c r="AC5" i="112"/>
  <c r="AO5" i="112"/>
  <c r="AB4" i="112"/>
  <c r="AN4" i="112"/>
  <c r="AK9" i="112"/>
  <c r="AC9" i="112"/>
  <c r="V11" i="112"/>
  <c r="Y12" i="112"/>
  <c r="AP11" i="112"/>
  <c r="Z12" i="112"/>
  <c r="Z4" i="112"/>
  <c r="AO12" i="112"/>
  <c r="AP12" i="112"/>
  <c r="AR9" i="112"/>
  <c r="AA5" i="112"/>
  <c r="AM5" i="112"/>
  <c r="Z5" i="112"/>
  <c r="AL5" i="112"/>
  <c r="Y5" i="112"/>
  <c r="AK5" i="112"/>
  <c r="AA4" i="112"/>
  <c r="AL14" i="112"/>
  <c r="V13" i="112"/>
  <c r="AL13" i="112"/>
  <c r="AE11" i="112"/>
  <c r="AL12" i="112"/>
  <c r="AM11" i="112"/>
  <c r="W12" i="112"/>
  <c r="AC14" i="112"/>
  <c r="AD14" i="112"/>
  <c r="AQ14" i="112"/>
  <c r="AO6" i="112"/>
  <c r="Z3" i="112"/>
  <c r="Y3" i="112"/>
  <c r="AN15" i="112"/>
  <c r="Z9" i="112"/>
  <c r="AR8" i="112"/>
  <c r="AN12" i="112"/>
  <c r="AB14" i="112"/>
  <c r="AI16" i="112"/>
  <c r="AD12" i="112"/>
  <c r="AJ3" i="112"/>
  <c r="AL16" i="112"/>
  <c r="W16" i="112"/>
  <c r="AE6" i="112"/>
  <c r="AC4" i="112"/>
  <c r="W7" i="112"/>
  <c r="AA14" i="112"/>
  <c r="W3" i="112"/>
  <c r="X15" i="112"/>
  <c r="V14" i="112"/>
  <c r="AK15" i="112"/>
  <c r="AJ15" i="112"/>
  <c r="W8" i="112"/>
  <c r="AD16" i="112"/>
  <c r="AP3" i="112"/>
  <c r="AA16" i="112"/>
  <c r="AO16" i="112"/>
  <c r="AA15" i="112"/>
  <c r="AO15" i="112"/>
  <c r="AD3" i="112"/>
  <c r="AL10" i="112"/>
  <c r="AE10" i="112"/>
  <c r="X12" i="112"/>
  <c r="AA13" i="112"/>
  <c r="AQ12" i="112"/>
  <c r="AB13" i="112"/>
  <c r="AD6" i="112"/>
  <c r="AP13" i="112"/>
  <c r="AQ13" i="112"/>
  <c r="AQ8" i="112"/>
  <c r="Y4" i="112"/>
  <c r="AL4" i="112"/>
  <c r="X4" i="112"/>
  <c r="AK4" i="112"/>
  <c r="W4" i="112"/>
  <c r="AJ4" i="112"/>
  <c r="W14" i="112"/>
  <c r="Y14" i="112"/>
  <c r="Z13" i="112"/>
  <c r="AR13" i="112"/>
  <c r="X9" i="112"/>
  <c r="AR14" i="112"/>
  <c r="AN3" i="112"/>
  <c r="AM3" i="112"/>
  <c r="AL3" i="112"/>
  <c r="AA10" i="112"/>
  <c r="AI11" i="112"/>
  <c r="AI10" i="112"/>
  <c r="Y8" i="112"/>
  <c r="AC10" i="112"/>
  <c r="Y13" i="112"/>
  <c r="AE15" i="112"/>
  <c r="V16" i="112"/>
  <c r="AR15" i="112"/>
  <c r="AN5" i="112"/>
  <c r="X16" i="112"/>
  <c r="AK16" i="112"/>
  <c r="AJ16" i="112"/>
  <c r="AK12" i="112"/>
  <c r="AP6" i="112"/>
  <c r="AD5" i="112"/>
  <c r="AP5" i="112"/>
  <c r="AP4" i="112"/>
  <c r="AO13" i="112"/>
  <c r="AD15" i="112"/>
  <c r="AK3" i="112"/>
  <c r="X3" i="112"/>
  <c r="AI3" i="112"/>
  <c r="AA3" i="112"/>
  <c r="V15" i="112"/>
  <c r="AE14" i="112"/>
  <c r="AI15" i="112"/>
  <c r="AI8" i="112"/>
  <c r="AQ3" i="112"/>
  <c r="AB16" i="112"/>
  <c r="AP16" i="112"/>
  <c r="AB15" i="112"/>
  <c r="AP15" i="112"/>
  <c r="AE3" i="112"/>
  <c r="AO14" i="112"/>
  <c r="AP14" i="112"/>
  <c r="AC15" i="112"/>
  <c r="V3" i="112"/>
  <c r="AI4" i="112"/>
  <c r="V4" i="112"/>
  <c r="W15" i="112"/>
  <c r="AB3" i="112"/>
  <c r="AI5" i="112"/>
  <c r="AB11" i="112"/>
  <c r="AE13" i="112"/>
  <c r="AJ14" i="112"/>
  <c r="AD13" i="112"/>
  <c r="AI14" i="112"/>
  <c r="AC13" i="112"/>
  <c r="AR12" i="112"/>
  <c r="AO4" i="112"/>
  <c r="AM14" i="112"/>
  <c r="W13" i="112"/>
  <c r="AM13" i="112"/>
  <c r="V12" i="112"/>
  <c r="AM12" i="112"/>
  <c r="Z14" i="112"/>
  <c r="AL11" i="112"/>
  <c r="AQ15" i="112"/>
  <c r="AE16" i="112"/>
  <c r="W5" i="112"/>
  <c r="AJ5" i="112"/>
  <c r="X5" i="112"/>
  <c r="Y16" i="112"/>
  <c r="AI6" i="112"/>
  <c r="AJ6" i="112"/>
  <c r="Z10" i="112"/>
  <c r="AC12" i="112"/>
  <c r="AI13" i="112"/>
  <c r="AB12" i="112"/>
  <c r="AR11" i="112"/>
  <c r="AA12" i="112"/>
  <c r="AQ11" i="112"/>
  <c r="AB10" i="112"/>
  <c r="AJ11" i="112"/>
  <c r="AA9" i="112"/>
  <c r="AJ10" i="112"/>
  <c r="Z8" i="112"/>
  <c r="AI9" i="112"/>
  <c r="AD10" i="112"/>
  <c r="AQ7" i="112"/>
  <c r="AR16" i="112"/>
  <c r="V5" i="112"/>
  <c r="Y6" i="112"/>
  <c r="AK6" i="112"/>
  <c r="Z6" i="112"/>
  <c r="AM4" i="112"/>
  <c r="AJ7" i="112"/>
  <c r="AK7" i="112"/>
  <c r="V8" i="112"/>
  <c r="AA11" i="112"/>
  <c r="AR10" i="112"/>
  <c r="Z11" i="112"/>
  <c r="AQ10" i="112"/>
  <c r="Y11" i="112"/>
  <c r="AP10" i="112"/>
  <c r="V7" i="112"/>
  <c r="AQ6" i="112"/>
  <c r="AE5" i="112"/>
  <c r="AQ5" i="112"/>
  <c r="AD4" i="112"/>
  <c r="AQ4" i="112"/>
  <c r="X7" i="112"/>
  <c r="AE4" i="112"/>
  <c r="X6" i="112"/>
  <c r="AA7" i="112"/>
  <c r="AL7" i="112"/>
  <c r="AB7" i="112"/>
  <c r="AP7" i="112"/>
  <c r="AK8" i="112"/>
  <c r="AN14" i="112"/>
  <c r="AJ12" i="112"/>
  <c r="V10" i="112"/>
  <c r="Y10" i="112"/>
  <c r="W10" i="112"/>
  <c r="AA6" i="112"/>
  <c r="AK11" i="112"/>
  <c r="AR7" i="112"/>
  <c r="X11" i="112"/>
  <c r="AE7" i="112"/>
  <c r="AC7" i="112"/>
  <c r="AL15" i="112"/>
  <c r="AB9" i="112"/>
  <c r="AJ8" i="112"/>
  <c r="AO3" i="112"/>
  <c r="AQ9" i="112"/>
  <c r="AO9" i="112"/>
  <c r="AN13" i="112"/>
  <c r="Y7" i="112"/>
  <c r="AM10" i="112"/>
  <c r="AO7" i="112"/>
  <c r="AM7" i="112"/>
  <c r="AK10" i="112"/>
  <c r="AA8" i="112"/>
  <c r="AN11" i="112"/>
  <c r="AN6" i="112"/>
  <c r="AL6" i="112"/>
  <c r="AE12" i="112"/>
  <c r="AB8" i="112"/>
  <c r="X10" i="112"/>
  <c r="Y9" i="112"/>
  <c r="AN10" i="112"/>
  <c r="AD7" i="112"/>
  <c r="AK13" i="112"/>
  <c r="AO11" i="112"/>
  <c r="AJ9" i="112"/>
  <c r="AB5" i="112"/>
  <c r="AN9" i="112"/>
  <c r="AN7" i="112"/>
  <c r="AO10" i="112"/>
  <c r="X13" i="112"/>
  <c r="AI7" i="112"/>
  <c r="AC6" i="112"/>
  <c r="AL8" i="112"/>
  <c r="AD9" i="112"/>
  <c r="AE9" i="112"/>
  <c r="AB6" i="112"/>
  <c r="W11" i="112"/>
  <c r="AP9" i="112"/>
  <c r="AD11" i="112"/>
  <c r="AK14" i="112"/>
  <c r="X8" i="112"/>
  <c r="AI12" i="112"/>
  <c r="AM6" i="112"/>
  <c r="AL1" i="107"/>
  <c r="AL422" i="107"/>
  <c r="AQ422" i="107"/>
  <c r="AD25" i="118" l="1"/>
  <c r="K27" i="118"/>
  <c r="T27" i="118"/>
  <c r="O27" i="118"/>
  <c r="Q27" i="118"/>
  <c r="P27" i="118"/>
  <c r="S27" i="118"/>
  <c r="R27" i="118"/>
  <c r="U27" i="118"/>
  <c r="AE25" i="118"/>
  <c r="AE27" i="118" s="1"/>
  <c r="W13" i="118"/>
  <c r="W28" i="118"/>
  <c r="AF25" i="118"/>
  <c r="AF27" i="118" s="1"/>
  <c r="V28" i="118"/>
  <c r="V13" i="118"/>
  <c r="AS91" i="107"/>
  <c r="AS123" i="107"/>
  <c r="AS130" i="107"/>
  <c r="AS131" i="107"/>
  <c r="AS111" i="107"/>
  <c r="AS105" i="107"/>
  <c r="AS93" i="107"/>
  <c r="AS85" i="107"/>
  <c r="AS59" i="107"/>
  <c r="AS125" i="107"/>
  <c r="AS114" i="107"/>
  <c r="AS46" i="107"/>
  <c r="AS133" i="107"/>
  <c r="AS141" i="107"/>
  <c r="AS113" i="107"/>
  <c r="AS136" i="107"/>
  <c r="AS116" i="107"/>
  <c r="AS124" i="107"/>
  <c r="AS92" i="107"/>
  <c r="AS99" i="107"/>
  <c r="AS107" i="107"/>
  <c r="AS144" i="107"/>
  <c r="AS95" i="107"/>
  <c r="AS137" i="107"/>
  <c r="AS19" i="107"/>
  <c r="AS89" i="107"/>
  <c r="AS31" i="107"/>
  <c r="AS87" i="107"/>
  <c r="AS110" i="107"/>
  <c r="AS63" i="107"/>
  <c r="AS126" i="107"/>
  <c r="AS30" i="107"/>
  <c r="AS86" i="107"/>
  <c r="AS139" i="107"/>
  <c r="AS106" i="107"/>
  <c r="AS56" i="107"/>
  <c r="AS88" i="107"/>
  <c r="AS100" i="107"/>
  <c r="AS52" i="107"/>
  <c r="AS132" i="107"/>
  <c r="AS112" i="107"/>
  <c r="AS128" i="107"/>
  <c r="AS142" i="107"/>
  <c r="AS94" i="107"/>
  <c r="AS39" i="107"/>
  <c r="AS98" i="107"/>
  <c r="AS145" i="107"/>
  <c r="AS122" i="107"/>
  <c r="AS127" i="107"/>
  <c r="AS84" i="107"/>
  <c r="AS121" i="107"/>
  <c r="AS54" i="107"/>
  <c r="AS115" i="107"/>
  <c r="AS101" i="107"/>
  <c r="AS17" i="107"/>
  <c r="AS57" i="107"/>
  <c r="AS146" i="107"/>
  <c r="AS37" i="107"/>
  <c r="AS40" i="107"/>
  <c r="AS96" i="107"/>
  <c r="AS129" i="107"/>
  <c r="AS109" i="107"/>
  <c r="AS140" i="107"/>
  <c r="AS138" i="107"/>
  <c r="AS134" i="107"/>
  <c r="AS97" i="107"/>
  <c r="AS90" i="107"/>
  <c r="AS32" i="107"/>
  <c r="AS143" i="107"/>
  <c r="AS102" i="107"/>
  <c r="AN77" i="107"/>
  <c r="AS77" i="107"/>
  <c r="AN44" i="107"/>
  <c r="AS44" i="107"/>
  <c r="AN43" i="107"/>
  <c r="AS43" i="107"/>
  <c r="AN7" i="107"/>
  <c r="AS7" i="107"/>
  <c r="AN60" i="107"/>
  <c r="AS60" i="107"/>
  <c r="AN71" i="107"/>
  <c r="AS71" i="107"/>
  <c r="AN5" i="107"/>
  <c r="AN55" i="107"/>
  <c r="AS55" i="107"/>
  <c r="AN80" i="107"/>
  <c r="AS80" i="107"/>
  <c r="AN69" i="107"/>
  <c r="AS69" i="107"/>
  <c r="AN24" i="107"/>
  <c r="AS24" i="107"/>
  <c r="AN76" i="107"/>
  <c r="AS76" i="107"/>
  <c r="AN29" i="107"/>
  <c r="AS29" i="107"/>
  <c r="AN66" i="107"/>
  <c r="AS66" i="107"/>
  <c r="AN53" i="107"/>
  <c r="AS53" i="107"/>
  <c r="AN45" i="107"/>
  <c r="AS45" i="107"/>
  <c r="AN81" i="107"/>
  <c r="AS81" i="107"/>
  <c r="AN73" i="107"/>
  <c r="AS73" i="107"/>
  <c r="AN83" i="107"/>
  <c r="AS83" i="107"/>
  <c r="AN61" i="107"/>
  <c r="AS61" i="107"/>
  <c r="AN48" i="107"/>
  <c r="AS48" i="107"/>
  <c r="AN13" i="107"/>
  <c r="AS13" i="107"/>
  <c r="AN50" i="107"/>
  <c r="AS50" i="107"/>
  <c r="AN75" i="107"/>
  <c r="AS75" i="107"/>
  <c r="AN68" i="107"/>
  <c r="AS68" i="107"/>
  <c r="AN120" i="107"/>
  <c r="AS120" i="107"/>
  <c r="AN25" i="107"/>
  <c r="AS25" i="107"/>
  <c r="AN11" i="107"/>
  <c r="AS11" i="107"/>
  <c r="AN117" i="107"/>
  <c r="AS117" i="107"/>
  <c r="AN72" i="107"/>
  <c r="AS72" i="107"/>
  <c r="AN62" i="107"/>
  <c r="AS62" i="107"/>
  <c r="AN118" i="107"/>
  <c r="AS118" i="107"/>
  <c r="AN79" i="107"/>
  <c r="AS79" i="107"/>
  <c r="AN27" i="107"/>
  <c r="AS27" i="107"/>
  <c r="AN70" i="107"/>
  <c r="AS70" i="107"/>
  <c r="AN65" i="107"/>
  <c r="AS65" i="107"/>
  <c r="AN67" i="107"/>
  <c r="AS67" i="107"/>
  <c r="AN82" i="107"/>
  <c r="AS82" i="107"/>
  <c r="AN51" i="107"/>
  <c r="AS51" i="107"/>
  <c r="AN16" i="107"/>
  <c r="AS16" i="107"/>
  <c r="AN38" i="107"/>
  <c r="AS38" i="107"/>
  <c r="AN22" i="107"/>
  <c r="AS22" i="107"/>
  <c r="AN74" i="107"/>
  <c r="AS74" i="107"/>
  <c r="AN47" i="107"/>
  <c r="AS47" i="107"/>
  <c r="AN49" i="107"/>
  <c r="AS49" i="107"/>
  <c r="AN119" i="107"/>
  <c r="AS119" i="107"/>
  <c r="AN41" i="107"/>
  <c r="AS41" i="107"/>
  <c r="AN15" i="107"/>
  <c r="AS15" i="107"/>
  <c r="AN23" i="107"/>
  <c r="AS23" i="107"/>
  <c r="AN21" i="107"/>
  <c r="AS21" i="107"/>
  <c r="AN58" i="107"/>
  <c r="AS58" i="107"/>
  <c r="U15" i="112"/>
  <c r="U10" i="112"/>
  <c r="U6" i="112"/>
  <c r="U14" i="112"/>
  <c r="U8" i="112"/>
  <c r="U9" i="112"/>
  <c r="U13" i="112"/>
  <c r="U16" i="112"/>
  <c r="U4" i="112"/>
  <c r="U5" i="112"/>
  <c r="U11" i="112"/>
  <c r="U7" i="112"/>
  <c r="U12" i="112"/>
  <c r="AH13" i="112"/>
  <c r="AH12" i="112"/>
  <c r="AH10" i="112"/>
  <c r="AH5" i="112"/>
  <c r="AH4" i="112"/>
  <c r="AH14" i="112"/>
  <c r="AH7" i="112"/>
  <c r="AH6" i="112"/>
  <c r="AH9" i="112"/>
  <c r="U3" i="112"/>
  <c r="AH8" i="112"/>
  <c r="AH15" i="112"/>
  <c r="AH3" i="112"/>
  <c r="AH11" i="112"/>
  <c r="AH16" i="112"/>
  <c r="AN143" i="107"/>
  <c r="AN145" i="107"/>
  <c r="AN146" i="107"/>
  <c r="AN144" i="107"/>
  <c r="AN140" i="107"/>
  <c r="AN138" i="107"/>
  <c r="AN141" i="107"/>
  <c r="AN139" i="107"/>
  <c r="AN142" i="107"/>
  <c r="AN137" i="107"/>
  <c r="AN134" i="107"/>
  <c r="AN130" i="107"/>
  <c r="AN131" i="107"/>
  <c r="AN132" i="107"/>
  <c r="AN133" i="107"/>
  <c r="AN129" i="107"/>
  <c r="AN135" i="107"/>
  <c r="AN136" i="107"/>
  <c r="AN128" i="107"/>
  <c r="AN127" i="107"/>
  <c r="AN114" i="107"/>
  <c r="AN113" i="107"/>
  <c r="AN126" i="107"/>
  <c r="AN124" i="107"/>
  <c r="AN115" i="107"/>
  <c r="AN116" i="107"/>
  <c r="AN125" i="107"/>
  <c r="AN111" i="107"/>
  <c r="AN112" i="107"/>
  <c r="AN109" i="107"/>
  <c r="AN110" i="107"/>
  <c r="AN108" i="107"/>
  <c r="AN107" i="107"/>
  <c r="AN105" i="107"/>
  <c r="AN106" i="107"/>
  <c r="AN102" i="107"/>
  <c r="AN101" i="107"/>
  <c r="AN97" i="107"/>
  <c r="AN99" i="107"/>
  <c r="AN98" i="107"/>
  <c r="AN100" i="107"/>
  <c r="AN95" i="107"/>
  <c r="AN96" i="107"/>
  <c r="AN93" i="107"/>
  <c r="AN92" i="107"/>
  <c r="AN94" i="107"/>
  <c r="AN91" i="107"/>
  <c r="AN89" i="107"/>
  <c r="AN90" i="107"/>
  <c r="AN123" i="107"/>
  <c r="AN86" i="107"/>
  <c r="AN88" i="107"/>
  <c r="AN87" i="107"/>
  <c r="AN84" i="107"/>
  <c r="AN85" i="107"/>
  <c r="AN122" i="107"/>
  <c r="AN121" i="107"/>
  <c r="AN52" i="107"/>
  <c r="AN42" i="107"/>
  <c r="AN63" i="107"/>
  <c r="AN31" i="107"/>
  <c r="AN56" i="107"/>
  <c r="AN19" i="107"/>
  <c r="AN40" i="107"/>
  <c r="AN39" i="107"/>
  <c r="AN17" i="107"/>
  <c r="AN37" i="107"/>
  <c r="AN59" i="107"/>
  <c r="AN57" i="107"/>
  <c r="AN32" i="107"/>
  <c r="AN30" i="107"/>
  <c r="AN54" i="107"/>
  <c r="AN46" i="107"/>
  <c r="AN64" i="107"/>
  <c r="AN26" i="107"/>
  <c r="AD27" i="118" l="1"/>
  <c r="AD28" i="118" s="1"/>
  <c r="O27" i="116"/>
  <c r="O25" i="116"/>
  <c r="P28" i="118"/>
  <c r="R28" i="118"/>
  <c r="R13" i="118"/>
  <c r="AS108" i="107"/>
  <c r="AS135" i="107"/>
  <c r="AS5" i="107"/>
  <c r="AN14" i="107"/>
  <c r="AS14" i="107"/>
  <c r="AN35" i="107"/>
  <c r="AS35" i="107"/>
  <c r="AN18" i="107"/>
  <c r="AS18" i="107"/>
  <c r="AN20" i="107"/>
  <c r="AS20" i="107"/>
  <c r="AN34" i="107"/>
  <c r="AS34" i="107"/>
  <c r="AN78" i="107"/>
  <c r="AS78" i="107"/>
  <c r="AN36" i="107"/>
  <c r="AS36" i="107"/>
  <c r="AN12" i="107"/>
  <c r="AS12" i="107"/>
  <c r="AN33" i="107"/>
  <c r="AS33" i="107"/>
  <c r="AN9" i="107"/>
  <c r="AN6" i="107"/>
  <c r="AN28" i="107"/>
  <c r="AN10" i="107"/>
  <c r="AS26" i="107"/>
  <c r="AS64" i="107"/>
  <c r="K13" i="118" l="1"/>
  <c r="K28" i="118"/>
  <c r="S28" i="118"/>
  <c r="P13" i="118"/>
  <c r="T28" i="118"/>
  <c r="T13" i="118"/>
  <c r="Q28" i="118"/>
  <c r="Q13" i="118"/>
  <c r="N13" i="118"/>
  <c r="N28" i="118"/>
  <c r="U28" i="118"/>
  <c r="U13" i="118"/>
  <c r="AS104" i="107"/>
  <c r="AN104" i="107"/>
  <c r="AO3" i="107"/>
  <c r="AO422" i="107"/>
  <c r="AS28" i="107"/>
  <c r="AS6" i="107"/>
  <c r="S13" i="118" l="1"/>
  <c r="M28" i="118"/>
  <c r="M13" i="118"/>
  <c r="AR3" i="107"/>
  <c r="AS3" i="107" s="1"/>
  <c r="AS8" i="107"/>
  <c r="AN8" i="107"/>
  <c r="AS10" i="107"/>
  <c r="AM422" i="107"/>
  <c r="AR422" i="107" l="1"/>
  <c r="AS9" i="107"/>
  <c r="O13" i="118" l="1"/>
  <c r="O28" i="118"/>
  <c r="AF28" i="118"/>
  <c r="AF13" i="118"/>
  <c r="AE28" i="118"/>
  <c r="AE13" i="118"/>
  <c r="L28" i="118"/>
  <c r="L13" i="118"/>
  <c r="G4" i="97" a="1"/>
  <c r="G10" i="84"/>
  <c r="G2" i="97" l="1"/>
  <c r="L18" i="97"/>
  <c r="J18" i="97"/>
  <c r="N18" i="97"/>
  <c r="Q18" i="97" a="1"/>
  <c r="K18" i="97"/>
  <c r="O18" i="97"/>
  <c r="J115" i="104"/>
  <c r="J105" i="104"/>
  <c r="J106" i="104"/>
  <c r="J107" i="104"/>
  <c r="J116" i="104"/>
  <c r="J111" i="104"/>
  <c r="J108" i="104"/>
  <c r="V39" i="104"/>
  <c r="V40" i="104"/>
  <c r="L115" i="104" l="1"/>
  <c r="X40" i="104"/>
  <c r="X39" i="104"/>
  <c r="R18" i="97"/>
  <c r="P18" i="97"/>
  <c r="M18" i="97"/>
  <c r="S18" i="97"/>
  <c r="L105" i="104"/>
  <c r="L116" i="104"/>
  <c r="L111" i="104"/>
  <c r="L106" i="104"/>
  <c r="L107" i="104"/>
  <c r="L108" i="104"/>
  <c r="J16" i="97"/>
  <c r="Q16" i="97" a="1"/>
  <c r="K16" i="97"/>
  <c r="L16" i="97"/>
  <c r="O16" i="97"/>
  <c r="N16" i="97"/>
  <c r="Q17" i="97" a="1"/>
  <c r="J14" i="97"/>
  <c r="Q14" i="97" a="1"/>
  <c r="O14" i="97"/>
  <c r="L14" i="97"/>
  <c r="N14" i="97"/>
  <c r="K14" i="97"/>
  <c r="J15" i="97"/>
  <c r="Q15" i="97" a="1"/>
  <c r="L15" i="97"/>
  <c r="K15" i="97"/>
  <c r="O15" i="97"/>
  <c r="N15" i="97"/>
  <c r="J13" i="97"/>
  <c r="Q13" i="97" a="1"/>
  <c r="K13" i="97"/>
  <c r="N13" i="97"/>
  <c r="L13" i="97"/>
  <c r="O13" i="97"/>
  <c r="H2" i="97"/>
  <c r="Q12" i="97" a="1"/>
  <c r="Q10" i="97" a="1"/>
  <c r="Q6" i="97" a="1"/>
  <c r="Q9" i="97" a="1"/>
  <c r="Q5" i="97" a="1"/>
  <c r="Q8" i="97" a="1"/>
  <c r="Q11" i="97" a="1"/>
  <c r="Q7" i="97" a="1"/>
  <c r="Q4" i="97" a="1"/>
  <c r="V38" i="104"/>
  <c r="J98" i="104"/>
  <c r="J99" i="104"/>
  <c r="J100" i="104"/>
  <c r="J101" i="104"/>
  <c r="J103" i="104"/>
  <c r="J102" i="104"/>
  <c r="J104" i="104"/>
  <c r="Y39" i="104" l="1"/>
  <c r="Y40" i="104"/>
  <c r="X38" i="104"/>
  <c r="Q2" i="97"/>
  <c r="L104" i="104"/>
  <c r="L102" i="104"/>
  <c r="L103" i="104"/>
  <c r="L101" i="104"/>
  <c r="L100" i="104"/>
  <c r="L99" i="104"/>
  <c r="L98" i="104"/>
  <c r="M16" i="97"/>
  <c r="P13" i="97"/>
  <c r="M13" i="97"/>
  <c r="P15" i="97"/>
  <c r="M15" i="97"/>
  <c r="R16" i="97"/>
  <c r="S16" i="97"/>
  <c r="P14" i="97"/>
  <c r="R15" i="97"/>
  <c r="S15" i="97"/>
  <c r="P16" i="97"/>
  <c r="S13" i="97"/>
  <c r="R13" i="97"/>
  <c r="M14" i="97"/>
  <c r="S14" i="97"/>
  <c r="R14" i="97"/>
  <c r="J97" i="104"/>
  <c r="J94" i="104"/>
  <c r="J95" i="104"/>
  <c r="J96" i="104"/>
  <c r="Y38" i="104" l="1"/>
  <c r="L96" i="104"/>
  <c r="L95" i="104"/>
  <c r="L94" i="104"/>
  <c r="L97" i="104"/>
  <c r="K10" i="80" l="1"/>
  <c r="V36" i="104"/>
  <c r="J88" i="104"/>
  <c r="J89" i="104"/>
  <c r="J91" i="104"/>
  <c r="J90" i="104"/>
  <c r="J93" i="104"/>
  <c r="J92" i="104"/>
  <c r="J83" i="104"/>
  <c r="J84" i="104"/>
  <c r="J82" i="104"/>
  <c r="J85" i="104"/>
  <c r="J81" i="104"/>
  <c r="J87" i="104"/>
  <c r="J86" i="104"/>
  <c r="V31" i="104"/>
  <c r="V37" i="104"/>
  <c r="J67" i="104"/>
  <c r="J79" i="104"/>
  <c r="J69" i="104"/>
  <c r="J68" i="104"/>
  <c r="J70" i="104"/>
  <c r="J71" i="104"/>
  <c r="J76" i="104"/>
  <c r="J77" i="104"/>
  <c r="J72" i="104"/>
  <c r="J73" i="104"/>
  <c r="J74" i="104"/>
  <c r="J75" i="104"/>
  <c r="J78" i="104"/>
  <c r="J80" i="104"/>
  <c r="V35" i="104"/>
  <c r="V30" i="104"/>
  <c r="J66" i="104"/>
  <c r="V25" i="104"/>
  <c r="V29" i="104"/>
  <c r="V28" i="104"/>
  <c r="V32" i="104"/>
  <c r="V33" i="104"/>
  <c r="V34" i="104"/>
  <c r="J58" i="104"/>
  <c r="J54" i="104"/>
  <c r="J51" i="104"/>
  <c r="J52" i="104"/>
  <c r="J53" i="104"/>
  <c r="J55" i="104"/>
  <c r="J56" i="104"/>
  <c r="J57" i="104"/>
  <c r="J59" i="104"/>
  <c r="J60" i="104"/>
  <c r="J61" i="104"/>
  <c r="J62" i="104"/>
  <c r="J63" i="104"/>
  <c r="J64" i="104"/>
  <c r="J46" i="104"/>
  <c r="V24" i="104"/>
  <c r="V27" i="104"/>
  <c r="V26" i="104"/>
  <c r="J48" i="104"/>
  <c r="J47" i="104"/>
  <c r="J49" i="104"/>
  <c r="J50" i="104"/>
  <c r="J45" i="104"/>
  <c r="V20" i="104"/>
  <c r="V22" i="104"/>
  <c r="V21" i="104"/>
  <c r="V23" i="104"/>
  <c r="J17" i="97"/>
  <c r="O17" i="97"/>
  <c r="J43" i="104"/>
  <c r="J44" i="104"/>
  <c r="L58" i="104" l="1"/>
  <c r="L46" i="104"/>
  <c r="L83" i="104"/>
  <c r="L84" i="104"/>
  <c r="L54" i="104"/>
  <c r="X20" i="104"/>
  <c r="X24" i="104"/>
  <c r="X36" i="104"/>
  <c r="X34" i="104"/>
  <c r="X33" i="104"/>
  <c r="X32" i="104"/>
  <c r="X31" i="104"/>
  <c r="X29" i="104"/>
  <c r="X25" i="104"/>
  <c r="X35" i="104"/>
  <c r="X28" i="104"/>
  <c r="X23" i="104"/>
  <c r="X21" i="104"/>
  <c r="X26" i="104"/>
  <c r="X30" i="104"/>
  <c r="X37" i="104"/>
  <c r="X22" i="104"/>
  <c r="X27" i="104"/>
  <c r="N17" i="97"/>
  <c r="S17" i="97" s="1"/>
  <c r="L51" i="104"/>
  <c r="L69" i="104"/>
  <c r="L89" i="104"/>
  <c r="L64" i="104"/>
  <c r="L80" i="104"/>
  <c r="L79" i="104"/>
  <c r="L88" i="104"/>
  <c r="L63" i="104"/>
  <c r="L78" i="104"/>
  <c r="L67" i="104"/>
  <c r="L44" i="104"/>
  <c r="L45" i="104"/>
  <c r="L50" i="104"/>
  <c r="L59" i="104"/>
  <c r="L72" i="104"/>
  <c r="L87" i="104"/>
  <c r="L43" i="104"/>
  <c r="L49" i="104"/>
  <c r="L57" i="104"/>
  <c r="L77" i="104"/>
  <c r="L81" i="104"/>
  <c r="L62" i="104"/>
  <c r="L74" i="104"/>
  <c r="L47" i="104"/>
  <c r="L56" i="104"/>
  <c r="L76" i="104"/>
  <c r="L85" i="104"/>
  <c r="L92" i="104"/>
  <c r="L75" i="104"/>
  <c r="L60" i="104"/>
  <c r="L73" i="104"/>
  <c r="L48" i="104"/>
  <c r="L55" i="104"/>
  <c r="L71" i="104"/>
  <c r="L82" i="104"/>
  <c r="L93" i="104"/>
  <c r="L86" i="104"/>
  <c r="L53" i="104"/>
  <c r="L70" i="104"/>
  <c r="L90" i="104"/>
  <c r="L61" i="104"/>
  <c r="L52" i="104"/>
  <c r="L66" i="104"/>
  <c r="L68" i="104"/>
  <c r="L91" i="104"/>
  <c r="O9" i="97"/>
  <c r="O10" i="97"/>
  <c r="O6" i="117" l="1"/>
  <c r="O7" i="117"/>
  <c r="Y31" i="104"/>
  <c r="Y27" i="104"/>
  <c r="Y32" i="104"/>
  <c r="Y22" i="104"/>
  <c r="Y33" i="104"/>
  <c r="Y30" i="104"/>
  <c r="Y36" i="104"/>
  <c r="Y37" i="104"/>
  <c r="Y26" i="104"/>
  <c r="Y24" i="104"/>
  <c r="Y34" i="104"/>
  <c r="Y21" i="104"/>
  <c r="Y20" i="104"/>
  <c r="Y23" i="104"/>
  <c r="Y28" i="104"/>
  <c r="Y35" i="104"/>
  <c r="Y25" i="104"/>
  <c r="Y29" i="104"/>
  <c r="R17" i="97"/>
  <c r="P17" i="97"/>
  <c r="N9" i="97"/>
  <c r="R9" i="97" s="1"/>
  <c r="N10" i="97"/>
  <c r="R10" i="97" s="1"/>
  <c r="J10" i="97"/>
  <c r="J9" i="97"/>
  <c r="J42" i="104"/>
  <c r="J41" i="104"/>
  <c r="P3" i="5"/>
  <c r="E5" i="116" l="1"/>
  <c r="L41" i="104"/>
  <c r="L42" i="104"/>
  <c r="L17" i="97"/>
  <c r="K17" i="97"/>
  <c r="S9" i="97"/>
  <c r="P9" i="97"/>
  <c r="P10" i="97"/>
  <c r="S10" i="97"/>
  <c r="J38" i="104"/>
  <c r="J39" i="104"/>
  <c r="J40" i="104"/>
  <c r="J37" i="104"/>
  <c r="J36" i="104"/>
  <c r="K9" i="97" l="1"/>
  <c r="L37" i="104"/>
  <c r="L39" i="104"/>
  <c r="L38" i="104"/>
  <c r="L40" i="104"/>
  <c r="L36" i="104"/>
  <c r="M17" i="97"/>
  <c r="K10" i="97"/>
  <c r="L10" i="97" l="1"/>
  <c r="M10" i="97" s="1"/>
  <c r="L9" i="97" l="1"/>
  <c r="M9" i="97" s="1"/>
  <c r="J31" i="104" l="1"/>
  <c r="V19" i="104"/>
  <c r="J32" i="104"/>
  <c r="J33" i="104"/>
  <c r="J34" i="104"/>
  <c r="J35" i="104"/>
  <c r="J30" i="104"/>
  <c r="J27" i="104"/>
  <c r="J26" i="104"/>
  <c r="J25" i="104"/>
  <c r="J29" i="104"/>
  <c r="J28" i="104"/>
  <c r="L31" i="104" l="1"/>
  <c r="X19" i="104"/>
  <c r="L29" i="104"/>
  <c r="L25" i="104"/>
  <c r="L26" i="104"/>
  <c r="L30" i="104"/>
  <c r="L28" i="104"/>
  <c r="L35" i="104"/>
  <c r="L27" i="104"/>
  <c r="L34" i="104"/>
  <c r="L33" i="104"/>
  <c r="L32" i="104"/>
  <c r="J8" i="84"/>
  <c r="J23" i="104"/>
  <c r="J24" i="104"/>
  <c r="J11" i="97"/>
  <c r="O11" i="97"/>
  <c r="V15" i="104"/>
  <c r="V17" i="104"/>
  <c r="V18" i="104"/>
  <c r="J22" i="104"/>
  <c r="J21" i="104"/>
  <c r="O12" i="97"/>
  <c r="J19" i="104"/>
  <c r="J20" i="104"/>
  <c r="V13" i="104"/>
  <c r="V14" i="104"/>
  <c r="V16" i="104"/>
  <c r="J14" i="104"/>
  <c r="J16" i="104"/>
  <c r="J15" i="104"/>
  <c r="J17" i="104"/>
  <c r="J18" i="104"/>
  <c r="O5" i="117" l="1"/>
  <c r="Y19" i="104"/>
  <c r="X16" i="104"/>
  <c r="X18" i="104"/>
  <c r="X14" i="104"/>
  <c r="X13" i="104"/>
  <c r="X17" i="104"/>
  <c r="X15" i="104"/>
  <c r="L23" i="104"/>
  <c r="L21" i="104"/>
  <c r="L17" i="104"/>
  <c r="L19" i="104"/>
  <c r="L14" i="104"/>
  <c r="L22" i="104"/>
  <c r="L24" i="104"/>
  <c r="L15" i="104"/>
  <c r="L16" i="104"/>
  <c r="L18" i="104"/>
  <c r="L20" i="104"/>
  <c r="N11" i="97"/>
  <c r="S11" i="97" s="1"/>
  <c r="O7" i="97"/>
  <c r="O8" i="97"/>
  <c r="N8" i="97"/>
  <c r="J8" i="97"/>
  <c r="J7" i="97"/>
  <c r="N12" i="97"/>
  <c r="V11" i="104"/>
  <c r="V12" i="104"/>
  <c r="J8" i="104"/>
  <c r="J9" i="104"/>
  <c r="J10" i="104"/>
  <c r="J11" i="104"/>
  <c r="J12" i="104"/>
  <c r="J13" i="104"/>
  <c r="J5" i="104"/>
  <c r="J6" i="104"/>
  <c r="J7" i="104"/>
  <c r="J4" i="104"/>
  <c r="J2" i="104" s="1"/>
  <c r="O6" i="97"/>
  <c r="Y15" i="104" l="1"/>
  <c r="Y17" i="104"/>
  <c r="Y13" i="104"/>
  <c r="Y14" i="104"/>
  <c r="Y18" i="104"/>
  <c r="Y16" i="104"/>
  <c r="X11" i="104"/>
  <c r="X12" i="104"/>
  <c r="L6" i="104"/>
  <c r="L5" i="104"/>
  <c r="L9" i="104"/>
  <c r="L13" i="104"/>
  <c r="L10" i="104"/>
  <c r="L12" i="104"/>
  <c r="L7" i="104"/>
  <c r="L11" i="104"/>
  <c r="L8" i="104"/>
  <c r="L4" i="104"/>
  <c r="L2" i="104" s="1"/>
  <c r="R11" i="97"/>
  <c r="P11" i="97"/>
  <c r="R12" i="97"/>
  <c r="P12" i="97"/>
  <c r="J12" i="97"/>
  <c r="S12" i="97" s="1"/>
  <c r="N7" i="97"/>
  <c r="S7" i="97" s="1"/>
  <c r="R8" i="97"/>
  <c r="J6" i="97"/>
  <c r="P8" i="97"/>
  <c r="N6" i="97"/>
  <c r="K12" i="97"/>
  <c r="V9" i="104"/>
  <c r="V10" i="104"/>
  <c r="S429" i="107" l="1"/>
  <c r="S431" i="107" s="1"/>
  <c r="S6" i="97"/>
  <c r="O4" i="117"/>
  <c r="O2" i="117" s="1"/>
  <c r="Y12" i="104"/>
  <c r="Y11" i="104"/>
  <c r="X9" i="104"/>
  <c r="X10" i="104"/>
  <c r="K11" i="97"/>
  <c r="P7" i="97"/>
  <c r="R7" i="97"/>
  <c r="K8" i="97"/>
  <c r="K7" i="97"/>
  <c r="P6" i="97"/>
  <c r="R6" i="97"/>
  <c r="K6" i="97"/>
  <c r="L11" i="97"/>
  <c r="V4" i="104"/>
  <c r="V8" i="104"/>
  <c r="V7" i="104"/>
  <c r="V6" i="104"/>
  <c r="V5" i="104"/>
  <c r="V2" i="104" l="1"/>
  <c r="Y10" i="104"/>
  <c r="Y9" i="104"/>
  <c r="X4" i="104"/>
  <c r="X7" i="104"/>
  <c r="Y7" i="104" s="1"/>
  <c r="X6" i="104"/>
  <c r="X8" i="104"/>
  <c r="M11" i="97"/>
  <c r="L8" i="97"/>
  <c r="M8" i="97" s="1"/>
  <c r="X5" i="104"/>
  <c r="G1" i="104"/>
  <c r="AG429" i="107" l="1"/>
  <c r="AG431" i="107" s="1"/>
  <c r="X2" i="104"/>
  <c r="Y6" i="104"/>
  <c r="Y8" i="104"/>
  <c r="Y5" i="104"/>
  <c r="Y4" i="104"/>
  <c r="L7" i="97"/>
  <c r="M7" i="97" s="1"/>
  <c r="L12" i="97" l="1"/>
  <c r="M12" i="97" s="1"/>
  <c r="L6" i="97"/>
  <c r="M6" i="97" s="1"/>
  <c r="E4" i="97" a="1"/>
  <c r="AK246" i="4"/>
  <c r="S244" i="4" l="1"/>
  <c r="D10" i="5"/>
  <c r="C10" i="116" s="1"/>
  <c r="D7" i="116"/>
  <c r="E7" i="116"/>
  <c r="E17" i="116" s="1"/>
  <c r="G7" i="5"/>
  <c r="H7" i="5"/>
  <c r="K7" i="5"/>
  <c r="L7" i="5"/>
  <c r="I7" i="5"/>
  <c r="J7" i="5"/>
  <c r="M7" i="5"/>
  <c r="N7" i="5"/>
  <c r="O7" i="5"/>
  <c r="O5" i="97"/>
  <c r="O4" i="97"/>
  <c r="AB244" i="4"/>
  <c r="P21" i="5"/>
  <c r="C4" i="97" a="1"/>
  <c r="D17" i="97" l="1"/>
  <c r="B12" i="97"/>
  <c r="B11" i="97"/>
  <c r="D16" i="97"/>
  <c r="D15" i="97"/>
  <c r="D14" i="97"/>
  <c r="D13" i="97"/>
  <c r="D12" i="97"/>
  <c r="D11" i="97"/>
  <c r="B17" i="97"/>
  <c r="B16" i="97"/>
  <c r="B15" i="97"/>
  <c r="B14" i="97"/>
  <c r="B13" i="97"/>
  <c r="D11" i="5"/>
  <c r="W11" i="5" s="1"/>
  <c r="AC252" i="4" s="1"/>
  <c r="AC251" i="4" s="1"/>
  <c r="F11" i="5" s="1"/>
  <c r="E11" i="116" s="1"/>
  <c r="AY244" i="4"/>
  <c r="B2" i="112" a="1"/>
  <c r="N5" i="97"/>
  <c r="P5" i="97" s="1"/>
  <c r="J5" i="97"/>
  <c r="N4" i="97"/>
  <c r="O2" i="97"/>
  <c r="J4" i="97"/>
  <c r="D10" i="97"/>
  <c r="B10" i="97"/>
  <c r="D9" i="97"/>
  <c r="B9" i="97"/>
  <c r="D8" i="97"/>
  <c r="B7" i="97"/>
  <c r="B8" i="97"/>
  <c r="D7" i="97"/>
  <c r="D6" i="97"/>
  <c r="B6" i="97"/>
  <c r="D5" i="97"/>
  <c r="B5" i="97"/>
  <c r="R36" i="81"/>
  <c r="L8" i="81"/>
  <c r="L9" i="81"/>
  <c r="AD244" i="4"/>
  <c r="C5" i="116" l="1"/>
  <c r="C18" i="116" s="1"/>
  <c r="AY245" i="4"/>
  <c r="N2" i="97"/>
  <c r="N1" i="97" s="1"/>
  <c r="N4" i="112"/>
  <c r="O4" i="112"/>
  <c r="O16" i="112"/>
  <c r="P4" i="112"/>
  <c r="Q4" i="112"/>
  <c r="O6" i="112"/>
  <c r="M8" i="112"/>
  <c r="R9" i="112"/>
  <c r="P11" i="112"/>
  <c r="N13" i="112"/>
  <c r="L15" i="112"/>
  <c r="Q16" i="112"/>
  <c r="F4" i="112"/>
  <c r="F6" i="112"/>
  <c r="F8" i="112"/>
  <c r="F10" i="112"/>
  <c r="F12" i="112"/>
  <c r="F14" i="112"/>
  <c r="F16" i="112"/>
  <c r="G16" i="112"/>
  <c r="L5" i="112"/>
  <c r="M10" i="112"/>
  <c r="P13" i="112"/>
  <c r="M3" i="112"/>
  <c r="H8" i="112"/>
  <c r="H14" i="112"/>
  <c r="M5" i="112"/>
  <c r="P8" i="112"/>
  <c r="L12" i="112"/>
  <c r="O15" i="112"/>
  <c r="I4" i="112"/>
  <c r="I8" i="112"/>
  <c r="I12" i="112"/>
  <c r="I16" i="112"/>
  <c r="L7" i="112"/>
  <c r="O10" i="112"/>
  <c r="R13" i="112"/>
  <c r="O3" i="112"/>
  <c r="J6" i="112"/>
  <c r="J10" i="112"/>
  <c r="J16" i="112"/>
  <c r="O5" i="112"/>
  <c r="P10" i="112"/>
  <c r="L14" i="112"/>
  <c r="P3" i="112"/>
  <c r="E7" i="112"/>
  <c r="E9" i="112"/>
  <c r="E13" i="112"/>
  <c r="E3" i="112"/>
  <c r="N7" i="112"/>
  <c r="O12" i="112"/>
  <c r="Q3" i="112"/>
  <c r="F7" i="112"/>
  <c r="F13" i="112"/>
  <c r="F3" i="112"/>
  <c r="L4" i="112"/>
  <c r="M9" i="112"/>
  <c r="P12" i="112"/>
  <c r="N14" i="112"/>
  <c r="R3" i="112"/>
  <c r="G7" i="112"/>
  <c r="G11" i="112"/>
  <c r="G15" i="112"/>
  <c r="R5" i="112"/>
  <c r="N9" i="112"/>
  <c r="L11" i="112"/>
  <c r="M16" i="112"/>
  <c r="H5" i="112"/>
  <c r="H9" i="112"/>
  <c r="H13" i="112"/>
  <c r="H3" i="112"/>
  <c r="Q7" i="112"/>
  <c r="R12" i="112"/>
  <c r="N16" i="112"/>
  <c r="I5" i="112"/>
  <c r="I7" i="112"/>
  <c r="I9" i="112"/>
  <c r="I11" i="112"/>
  <c r="I13" i="112"/>
  <c r="I15" i="112"/>
  <c r="I3" i="112"/>
  <c r="M6" i="112"/>
  <c r="R7" i="112"/>
  <c r="P9" i="112"/>
  <c r="N11" i="112"/>
  <c r="L13" i="112"/>
  <c r="Q14" i="112"/>
  <c r="J5" i="112"/>
  <c r="J7" i="112"/>
  <c r="R4" i="112"/>
  <c r="P6" i="112"/>
  <c r="N8" i="112"/>
  <c r="L10" i="112"/>
  <c r="Q11" i="112"/>
  <c r="O13" i="112"/>
  <c r="M15" i="112"/>
  <c r="R16" i="112"/>
  <c r="G4" i="112"/>
  <c r="G6" i="112"/>
  <c r="G8" i="112"/>
  <c r="G10" i="112"/>
  <c r="G12" i="112"/>
  <c r="G14" i="112"/>
  <c r="Q6" i="112"/>
  <c r="O8" i="112"/>
  <c r="R11" i="112"/>
  <c r="N15" i="112"/>
  <c r="H4" i="112"/>
  <c r="H6" i="112"/>
  <c r="H10" i="112"/>
  <c r="H12" i="112"/>
  <c r="H16" i="112"/>
  <c r="R6" i="112"/>
  <c r="N10" i="112"/>
  <c r="Q13" i="112"/>
  <c r="N3" i="112"/>
  <c r="I6" i="112"/>
  <c r="I10" i="112"/>
  <c r="I14" i="112"/>
  <c r="N5" i="112"/>
  <c r="Q8" i="112"/>
  <c r="M12" i="112"/>
  <c r="P15" i="112"/>
  <c r="J4" i="112"/>
  <c r="J8" i="112"/>
  <c r="J12" i="112"/>
  <c r="J14" i="112"/>
  <c r="M7" i="112"/>
  <c r="R8" i="112"/>
  <c r="N12" i="112"/>
  <c r="Q15" i="112"/>
  <c r="E5" i="112"/>
  <c r="E11" i="112"/>
  <c r="E15" i="112"/>
  <c r="P5" i="112"/>
  <c r="L9" i="112"/>
  <c r="Q10" i="112"/>
  <c r="M14" i="112"/>
  <c r="R15" i="112"/>
  <c r="F5" i="112"/>
  <c r="F9" i="112"/>
  <c r="F11" i="112"/>
  <c r="F15" i="112"/>
  <c r="Q5" i="112"/>
  <c r="O7" i="112"/>
  <c r="R10" i="112"/>
  <c r="L16" i="112"/>
  <c r="G5" i="112"/>
  <c r="G9" i="112"/>
  <c r="G13" i="112"/>
  <c r="G3" i="112"/>
  <c r="M4" i="112"/>
  <c r="P7" i="112"/>
  <c r="Q12" i="112"/>
  <c r="O14" i="112"/>
  <c r="L3" i="112"/>
  <c r="H7" i="112"/>
  <c r="H11" i="112"/>
  <c r="H15" i="112"/>
  <c r="L6" i="112"/>
  <c r="O9" i="112"/>
  <c r="M11" i="112"/>
  <c r="P14" i="112"/>
  <c r="Q9" i="112"/>
  <c r="J13" i="112"/>
  <c r="E14" i="112"/>
  <c r="J15" i="112"/>
  <c r="E10" i="112"/>
  <c r="E12" i="112"/>
  <c r="O11" i="112"/>
  <c r="M13" i="112"/>
  <c r="J3" i="112"/>
  <c r="E6" i="112"/>
  <c r="E8" i="112"/>
  <c r="N6" i="112"/>
  <c r="R14" i="112"/>
  <c r="E16" i="112"/>
  <c r="P16" i="112"/>
  <c r="E4" i="112"/>
  <c r="J9" i="112"/>
  <c r="J11" i="112"/>
  <c r="L8" i="112"/>
  <c r="D14" i="112"/>
  <c r="C13" i="112"/>
  <c r="C11" i="112"/>
  <c r="D5" i="112"/>
  <c r="D9" i="112"/>
  <c r="D12" i="112"/>
  <c r="C14" i="112"/>
  <c r="D6" i="112"/>
  <c r="D13" i="112"/>
  <c r="C8" i="112"/>
  <c r="C10" i="112"/>
  <c r="D10" i="112"/>
  <c r="D4" i="112"/>
  <c r="D7" i="112"/>
  <c r="C15" i="112"/>
  <c r="D16" i="112"/>
  <c r="C4" i="112"/>
  <c r="C16" i="112"/>
  <c r="C7" i="112"/>
  <c r="D8" i="112"/>
  <c r="C9" i="112"/>
  <c r="D15" i="112"/>
  <c r="D11" i="112"/>
  <c r="C5" i="112"/>
  <c r="C3" i="112"/>
  <c r="C6" i="112"/>
  <c r="C12" i="112"/>
  <c r="J2" i="97"/>
  <c r="P4" i="97"/>
  <c r="S5" i="97"/>
  <c r="R5" i="97"/>
  <c r="S4" i="97"/>
  <c r="R4" i="97"/>
  <c r="L10" i="81"/>
  <c r="C11" i="116" l="1"/>
  <c r="BO244" i="4"/>
  <c r="S2" i="97"/>
  <c r="R2" i="97"/>
  <c r="D3" i="112"/>
  <c r="K5" i="97"/>
  <c r="K4" i="97"/>
  <c r="K2" i="97" l="1"/>
  <c r="P2" i="97" s="1"/>
  <c r="C7" i="116"/>
  <c r="C17" i="116" s="1"/>
  <c r="D7" i="84"/>
  <c r="F8" i="81"/>
  <c r="O7" i="116" l="1"/>
  <c r="P7" i="5"/>
  <c r="BP244" i="4"/>
  <c r="BO245" i="4" s="1"/>
  <c r="L5" i="97"/>
  <c r="M5" i="97" s="1"/>
  <c r="L4" i="97"/>
  <c r="G7" i="84"/>
  <c r="L2" i="97" l="1"/>
  <c r="M2" i="97" s="1"/>
  <c r="M4" i="97"/>
  <c r="CQ244" i="4"/>
  <c r="CP244" i="4"/>
  <c r="CR244" i="4"/>
  <c r="G6" i="5"/>
  <c r="G16" i="5" l="1"/>
  <c r="CS244" i="4"/>
  <c r="CO244" i="4" l="1"/>
  <c r="CM244" i="4"/>
  <c r="CL244" i="4"/>
  <c r="CG244" i="4" l="1"/>
  <c r="CN244" i="4" l="1"/>
  <c r="BL244" i="4" l="1"/>
  <c r="E2" i="97" l="1"/>
  <c r="R27" i="80"/>
  <c r="BJ246" i="4"/>
  <c r="R9" i="80"/>
  <c r="D8" i="84" s="1"/>
  <c r="G15" i="84"/>
  <c r="D12" i="84"/>
  <c r="J11" i="84"/>
  <c r="D10" i="84"/>
  <c r="J9" i="84"/>
  <c r="G8" i="84"/>
  <c r="F7" i="81"/>
  <c r="F10" i="81" s="1"/>
  <c r="AG711" i="80"/>
  <c r="G30" i="80"/>
  <c r="AS265" i="4" s="1"/>
  <c r="O19" i="80"/>
  <c r="N19" i="80"/>
  <c r="O266" i="4" s="1"/>
  <c r="H19" i="80"/>
  <c r="K12" i="80" s="1"/>
  <c r="AL288" i="4"/>
  <c r="BK281" i="4"/>
  <c r="BK282" i="4" s="1"/>
  <c r="AT261" i="4"/>
  <c r="AD261" i="4"/>
  <c r="K5" i="80" s="1"/>
  <c r="BG244" i="4"/>
  <c r="BC244" i="4"/>
  <c r="BA244" i="4"/>
  <c r="AA244" i="4"/>
  <c r="T244" i="4"/>
  <c r="T255" i="4" s="1"/>
  <c r="P22" i="5"/>
  <c r="AS260" i="4" l="1"/>
  <c r="G12" i="84"/>
  <c r="G13" i="84"/>
  <c r="J7" i="84"/>
  <c r="AK244" i="4"/>
  <c r="O6" i="5"/>
  <c r="Z244" i="4"/>
  <c r="AX244" i="4"/>
  <c r="AX255" i="4" s="1"/>
  <c r="E19" i="5" a="1"/>
  <c r="D19" i="116" s="1"/>
  <c r="M19" i="5" a="1"/>
  <c r="Y244" i="4"/>
  <c r="H5" i="5"/>
  <c r="J19" i="5" a="1"/>
  <c r="N19" i="5" a="1"/>
  <c r="K19" i="5" a="1"/>
  <c r="F19" i="5" a="1"/>
  <c r="E19" i="116" s="1"/>
  <c r="H10" i="5"/>
  <c r="O19" i="5" a="1"/>
  <c r="M10" i="5"/>
  <c r="G10" i="5"/>
  <c r="I19" i="5" a="1"/>
  <c r="G19" i="5" a="1"/>
  <c r="L19" i="5" a="1"/>
  <c r="N10" i="5"/>
  <c r="F10" i="5"/>
  <c r="E10" i="116" s="1"/>
  <c r="L10" i="5"/>
  <c r="O10" i="5"/>
  <c r="E10" i="5"/>
  <c r="D10" i="116" s="1"/>
  <c r="K10" i="5"/>
  <c r="J10" i="5"/>
  <c r="G21" i="5" a="1"/>
  <c r="I5" i="5"/>
  <c r="J5" i="5"/>
  <c r="M5" i="5"/>
  <c r="H19" i="5" a="1"/>
  <c r="K5" i="5"/>
  <c r="O5" i="5"/>
  <c r="L5" i="5"/>
  <c r="H20" i="5" a="1"/>
  <c r="M21" i="5" a="1"/>
  <c r="I21" i="5" a="1"/>
  <c r="N20" i="5" a="1"/>
  <c r="N21" i="5" a="1"/>
  <c r="K20" i="5" a="1"/>
  <c r="J21" i="5" a="1"/>
  <c r="E20" i="5" a="1"/>
  <c r="D20" i="116" s="1"/>
  <c r="O20" i="5" a="1"/>
  <c r="L20" i="5" a="1"/>
  <c r="K21" i="5" a="1"/>
  <c r="F20" i="5" a="1"/>
  <c r="E20" i="116" s="1"/>
  <c r="E21" i="5" a="1"/>
  <c r="D21" i="116" s="1"/>
  <c r="O21" i="5" a="1"/>
  <c r="G20" i="5" a="1"/>
  <c r="I20" i="5" a="1"/>
  <c r="H21" i="5" a="1"/>
  <c r="M20" i="5" a="1"/>
  <c r="L21" i="5" a="1"/>
  <c r="D4" i="97"/>
  <c r="D2" i="97" s="1"/>
  <c r="J20" i="5" a="1"/>
  <c r="F21" i="5" a="1"/>
  <c r="E21" i="116" s="1"/>
  <c r="E18" i="116" l="1"/>
  <c r="D5" i="116"/>
  <c r="D17" i="116" s="1"/>
  <c r="AS262" i="4"/>
  <c r="AS268" i="4" s="1"/>
  <c r="J17" i="5"/>
  <c r="AK245" i="4"/>
  <c r="D9" i="84"/>
  <c r="J18" i="5"/>
  <c r="G11" i="84"/>
  <c r="O12" i="5"/>
  <c r="AC260" i="4"/>
  <c r="AC262" i="4" s="1"/>
  <c r="AC268" i="4" s="1"/>
  <c r="N245" i="4"/>
  <c r="BJ245" i="4"/>
  <c r="E6" i="116"/>
  <c r="H6" i="5"/>
  <c r="C6" i="116"/>
  <c r="D6" i="84"/>
  <c r="O24" i="5"/>
  <c r="H18" i="5"/>
  <c r="G18" i="5"/>
  <c r="O8" i="5"/>
  <c r="O9" i="5" s="1"/>
  <c r="O17" i="5"/>
  <c r="E18" i="5"/>
  <c r="M18" i="5"/>
  <c r="D6" i="116"/>
  <c r="D15" i="116" s="1"/>
  <c r="O15" i="5"/>
  <c r="F18" i="5"/>
  <c r="L18" i="5"/>
  <c r="O16" i="5"/>
  <c r="O18" i="5"/>
  <c r="K18" i="5"/>
  <c r="N5" i="5"/>
  <c r="BB244" i="4"/>
  <c r="D18" i="5"/>
  <c r="P19" i="5"/>
  <c r="Q1" i="97" s="1"/>
  <c r="B4" i="97"/>
  <c r="B2" i="97" s="1"/>
  <c r="BZ244" i="4"/>
  <c r="I10" i="5"/>
  <c r="Q10" i="5"/>
  <c r="CA244" i="4"/>
  <c r="E15" i="116" l="1"/>
  <c r="E28" i="116"/>
  <c r="E12" i="116"/>
  <c r="E13" i="116" s="1"/>
  <c r="E24" i="116"/>
  <c r="E8" i="116"/>
  <c r="E9" i="116" s="1"/>
  <c r="E16" i="116"/>
  <c r="D18" i="116"/>
  <c r="D16" i="116"/>
  <c r="D8" i="116"/>
  <c r="D9" i="116" s="1"/>
  <c r="D28" i="116"/>
  <c r="D24" i="116"/>
  <c r="D11" i="116"/>
  <c r="AC255" i="4"/>
  <c r="O260" i="4" s="1"/>
  <c r="O262" i="4" s="1"/>
  <c r="O269" i="4" s="1"/>
  <c r="C8" i="116"/>
  <c r="C9" i="116" s="1"/>
  <c r="C12" i="116"/>
  <c r="C13" i="116" s="1"/>
  <c r="C16" i="116"/>
  <c r="O13" i="5"/>
  <c r="O28" i="5"/>
  <c r="O29" i="5" s="1"/>
  <c r="O19" i="116"/>
  <c r="C24" i="116"/>
  <c r="C15" i="116"/>
  <c r="O10" i="116"/>
  <c r="P5" i="5"/>
  <c r="O1" i="97"/>
  <c r="P20" i="5"/>
  <c r="Q5" i="5"/>
  <c r="D12" i="5"/>
  <c r="D8" i="5"/>
  <c r="F16" i="5"/>
  <c r="J6" i="84"/>
  <c r="J10" i="84" s="1"/>
  <c r="J12" i="84" s="1"/>
  <c r="CB245" i="4"/>
  <c r="AA245" i="4"/>
  <c r="K6" i="5"/>
  <c r="L6" i="5"/>
  <c r="M6" i="5"/>
  <c r="I6" i="5"/>
  <c r="J6" i="5"/>
  <c r="D16" i="5"/>
  <c r="D24" i="5"/>
  <c r="D15" i="5"/>
  <c r="CB244" i="4"/>
  <c r="BN244" i="4"/>
  <c r="BS244" i="4"/>
  <c r="F15" i="5"/>
  <c r="F24" i="5"/>
  <c r="AL244" i="4"/>
  <c r="BL245" i="4"/>
  <c r="BM256" i="4" s="1"/>
  <c r="N18" i="5"/>
  <c r="D17" i="5"/>
  <c r="P10" i="5"/>
  <c r="I18" i="5"/>
  <c r="H15" i="5"/>
  <c r="H24" i="5"/>
  <c r="H16" i="5"/>
  <c r="G15" i="5"/>
  <c r="G24" i="5"/>
  <c r="D12" i="116" l="1"/>
  <c r="D13" i="116" s="1"/>
  <c r="O11" i="116"/>
  <c r="E12" i="5"/>
  <c r="E28" i="5" s="1"/>
  <c r="E29" i="5" s="1"/>
  <c r="D28" i="5"/>
  <c r="D29" i="5" s="1"/>
  <c r="C28" i="116"/>
  <c r="R5" i="5"/>
  <c r="P18" i="5"/>
  <c r="J16" i="5"/>
  <c r="I16" i="5"/>
  <c r="D9" i="5"/>
  <c r="BS245" i="4"/>
  <c r="D13" i="5"/>
  <c r="H8" i="5"/>
  <c r="H9" i="5" s="1"/>
  <c r="F12" i="5"/>
  <c r="J15" i="5"/>
  <c r="H12" i="5"/>
  <c r="G12" i="5"/>
  <c r="G28" i="5" s="1"/>
  <c r="G29" i="5" s="1"/>
  <c r="AD245" i="4"/>
  <c r="P245" i="4"/>
  <c r="Q6" i="5"/>
  <c r="N6" i="5"/>
  <c r="E17" i="5"/>
  <c r="J24" i="5"/>
  <c r="K24" i="5"/>
  <c r="K15" i="5"/>
  <c r="K16" i="5"/>
  <c r="G8" i="5"/>
  <c r="I15" i="5"/>
  <c r="I24" i="5"/>
  <c r="G17" i="5"/>
  <c r="F17" i="5"/>
  <c r="F8" i="5"/>
  <c r="F9" i="5" s="1"/>
  <c r="H17" i="5"/>
  <c r="BW244" i="4"/>
  <c r="E24" i="5"/>
  <c r="E15" i="5"/>
  <c r="E16" i="5"/>
  <c r="D11" i="84"/>
  <c r="D13" i="84" s="1"/>
  <c r="R10" i="5"/>
  <c r="M24" i="5"/>
  <c r="M16" i="5"/>
  <c r="M15" i="5"/>
  <c r="L15" i="5"/>
  <c r="L16" i="5"/>
  <c r="L24" i="5"/>
  <c r="E13" i="5" l="1"/>
  <c r="O6" i="116"/>
  <c r="O24" i="116" s="1"/>
  <c r="F13" i="5"/>
  <c r="F28" i="5"/>
  <c r="F29" i="5" s="1"/>
  <c r="H13" i="5"/>
  <c r="H28" i="5"/>
  <c r="H29" i="5" s="1"/>
  <c r="G9" i="5"/>
  <c r="G13" i="5"/>
  <c r="Q7" i="5"/>
  <c r="L12" i="5"/>
  <c r="L28" i="5" s="1"/>
  <c r="L29" i="5" s="1"/>
  <c r="K12" i="5"/>
  <c r="I12" i="5"/>
  <c r="I28" i="5" s="1"/>
  <c r="I29" i="5" s="1"/>
  <c r="AM244" i="4"/>
  <c r="I8" i="5"/>
  <c r="CG245" i="4"/>
  <c r="N24" i="5"/>
  <c r="N16" i="5"/>
  <c r="P6" i="5"/>
  <c r="K1" i="97" s="1"/>
  <c r="N15" i="5"/>
  <c r="I17" i="5"/>
  <c r="J8" i="5"/>
  <c r="J9" i="5" s="1"/>
  <c r="K17" i="5"/>
  <c r="K8" i="5"/>
  <c r="K9" i="5" s="1"/>
  <c r="BX244" i="4"/>
  <c r="BY244" i="4"/>
  <c r="L8" i="5"/>
  <c r="M8" i="5"/>
  <c r="M9" i="5" s="1"/>
  <c r="L17" i="5"/>
  <c r="M17" i="5"/>
  <c r="K13" i="5" l="1"/>
  <c r="K28" i="5"/>
  <c r="K29" i="5" s="1"/>
  <c r="BY245" i="4"/>
  <c r="L9" i="5"/>
  <c r="L13" i="5"/>
  <c r="I9" i="5"/>
  <c r="I13" i="5"/>
  <c r="R6" i="5"/>
  <c r="N12" i="5"/>
  <c r="N28" i="5" s="1"/>
  <c r="N29" i="5" s="1"/>
  <c r="P24" i="5"/>
  <c r="P15" i="5"/>
  <c r="P16" i="5"/>
  <c r="CF244" i="4"/>
  <c r="N17" i="5"/>
  <c r="N8" i="5"/>
  <c r="P8" i="5" s="1"/>
  <c r="P9" i="5" s="1"/>
  <c r="CF245" i="4" l="1"/>
  <c r="R7" i="5"/>
  <c r="P17" i="5"/>
  <c r="N9" i="5"/>
  <c r="N13" i="5"/>
  <c r="G6" i="84" l="1"/>
  <c r="G14" i="84" s="1"/>
  <c r="G16" i="84" s="1"/>
  <c r="J12" i="5"/>
  <c r="J28" i="5" s="1"/>
  <c r="J29" i="5" s="1"/>
  <c r="J13" i="5" l="1"/>
  <c r="O5" i="116" l="1"/>
  <c r="O18" i="116" l="1"/>
  <c r="O17" i="116"/>
  <c r="O12" i="116" l="1"/>
  <c r="O8" i="116"/>
  <c r="O9" i="116" s="1"/>
  <c r="O16" i="116"/>
  <c r="O15" i="116"/>
  <c r="O13" i="116" l="1"/>
  <c r="O28" i="116"/>
  <c r="B6" i="107" l="1"/>
  <c r="B7" i="107" l="1"/>
  <c r="B8" i="107" s="1"/>
  <c r="B9" i="107" l="1"/>
  <c r="B10" i="107" s="1"/>
  <c r="B11" i="107" s="1"/>
  <c r="B9" i="115" l="1"/>
  <c r="B12" i="107"/>
  <c r="B13" i="107" l="1"/>
  <c r="B14" i="107" s="1"/>
  <c r="B15" i="107" s="1"/>
  <c r="B16" i="107" s="1"/>
  <c r="B17" i="107" s="1"/>
  <c r="B18" i="107" s="1"/>
  <c r="B19" i="107" s="1"/>
  <c r="B20" i="107" s="1"/>
  <c r="B21" i="107" s="1"/>
  <c r="B22" i="107" s="1"/>
  <c r="B23" i="107" s="1"/>
  <c r="B24" i="107" s="1"/>
  <c r="B10" i="115"/>
  <c r="B25" i="107" l="1"/>
  <c r="B26" i="107" l="1"/>
  <c r="B27" i="107" l="1"/>
  <c r="B28" i="107" l="1"/>
  <c r="B26" i="115" s="1"/>
  <c r="B29" i="107" l="1"/>
  <c r="B27" i="115" s="1"/>
  <c r="B30" i="107" l="1"/>
  <c r="B28" i="115" s="1"/>
  <c r="B31" i="107" l="1"/>
  <c r="B29" i="115" s="1"/>
  <c r="B32" i="107" l="1"/>
  <c r="B30" i="115" s="1"/>
  <c r="B33" i="107" l="1"/>
  <c r="B31" i="115" s="1"/>
  <c r="B34" i="107" l="1"/>
  <c r="B32" i="115" s="1"/>
  <c r="B35" i="107" l="1"/>
  <c r="B33" i="115" s="1"/>
  <c r="B36" i="107" l="1"/>
  <c r="B37" i="107" l="1"/>
  <c r="B34" i="115"/>
  <c r="B11" i="115" l="1"/>
  <c r="B38" i="107"/>
  <c r="B35" i="115"/>
  <c r="B12" i="115" l="1"/>
  <c r="B39" i="107"/>
  <c r="B36" i="115"/>
  <c r="B13" i="115" l="1"/>
  <c r="B37" i="115"/>
  <c r="B14" i="115" l="1"/>
  <c r="B3" i="115" l="1"/>
  <c r="B4" i="115" l="1"/>
  <c r="B5" i="115" l="1"/>
  <c r="B6" i="115" l="1"/>
  <c r="B7" i="115" l="1"/>
  <c r="B15" i="115" l="1"/>
  <c r="B8" i="115" l="1"/>
  <c r="B16" i="115" l="1"/>
  <c r="B17" i="115" l="1"/>
  <c r="B18" i="115" l="1"/>
  <c r="B19" i="115" l="1"/>
  <c r="B20" i="115" l="1"/>
  <c r="B21" i="115" l="1"/>
  <c r="B22" i="115" l="1"/>
  <c r="B23" i="115" l="1"/>
  <c r="B24" i="115" l="1"/>
  <c r="B25" i="115" l="1"/>
  <c r="B40" i="107" l="1"/>
  <c r="B38" i="115" s="1"/>
  <c r="B41" i="107" l="1"/>
  <c r="B39" i="115" s="1"/>
  <c r="B42" i="107" l="1"/>
  <c r="B40" i="115" s="1"/>
  <c r="B43" i="107" l="1"/>
  <c r="B41" i="115" s="1"/>
  <c r="B44" i="107" l="1"/>
  <c r="B42" i="115" s="1"/>
  <c r="B45" i="107" l="1"/>
  <c r="B43" i="115" s="1"/>
  <c r="B46" i="107" l="1"/>
  <c r="B44" i="115" s="1"/>
  <c r="B47" i="107" l="1"/>
  <c r="B45" i="115" s="1"/>
  <c r="B48" i="107" l="1"/>
  <c r="B46" i="115" s="1"/>
  <c r="B49" i="107" l="1"/>
  <c r="B47" i="115" s="1"/>
  <c r="B50" i="107" l="1"/>
  <c r="B48" i="115" s="1"/>
  <c r="B51" i="107" l="1"/>
  <c r="B49" i="115" s="1"/>
  <c r="B52" i="107" l="1"/>
  <c r="B50" i="115" s="1"/>
  <c r="B53" i="107" l="1"/>
  <c r="B51" i="115" s="1"/>
  <c r="B54" i="107" l="1"/>
  <c r="B52" i="115" s="1"/>
  <c r="B55" i="107" l="1"/>
  <c r="B53" i="115" s="1"/>
  <c r="B56" i="107" l="1"/>
  <c r="B54" i="115" s="1"/>
  <c r="B57" i="107" l="1"/>
  <c r="B55" i="115" s="1"/>
  <c r="B58" i="107" l="1"/>
  <c r="B56" i="115" s="1"/>
  <c r="B59" i="107" l="1"/>
  <c r="B57" i="115" s="1"/>
  <c r="B60" i="107" l="1"/>
  <c r="B58" i="115" s="1"/>
  <c r="B61" i="107" l="1"/>
  <c r="B59" i="115" s="1"/>
  <c r="B62" i="107" l="1"/>
  <c r="B60" i="115" s="1"/>
  <c r="B63" i="107" l="1"/>
  <c r="B61" i="115" s="1"/>
  <c r="B64" i="107" l="1"/>
  <c r="B62" i="115" s="1"/>
  <c r="B65" i="107" l="1"/>
  <c r="B63" i="115" s="1"/>
  <c r="B66" i="107" l="1"/>
  <c r="B64" i="115" s="1"/>
  <c r="B67" i="107" l="1"/>
  <c r="B65" i="115" s="1"/>
  <c r="B68" i="107" l="1"/>
  <c r="B66" i="115" s="1"/>
  <c r="B69" i="107" l="1"/>
  <c r="B67" i="115" s="1"/>
  <c r="B70" i="107" l="1"/>
  <c r="B68" i="115" s="1"/>
  <c r="B71" i="107" l="1"/>
  <c r="B69" i="115" s="1"/>
  <c r="B72" i="107" l="1"/>
  <c r="B70" i="115" s="1"/>
  <c r="B73" i="107" l="1"/>
  <c r="B71" i="115" s="1"/>
  <c r="B74" i="107" l="1"/>
  <c r="B72" i="115" s="1"/>
  <c r="B75" i="107" l="1"/>
  <c r="B73" i="115" s="1"/>
  <c r="B76" i="107" l="1"/>
  <c r="B74" i="115" s="1"/>
  <c r="B77" i="107" l="1"/>
  <c r="B75" i="115" s="1"/>
  <c r="B78" i="107" l="1"/>
  <c r="B76" i="115" s="1"/>
  <c r="B79" i="107" l="1"/>
  <c r="B77" i="115" s="1"/>
  <c r="B80" i="107" l="1"/>
  <c r="B78" i="115" s="1"/>
  <c r="B81" i="107" l="1"/>
  <c r="B79" i="115" s="1"/>
  <c r="B82" i="107" l="1"/>
  <c r="B80" i="115" s="1"/>
  <c r="B83" i="107" l="1"/>
  <c r="B81" i="115" s="1"/>
  <c r="B84" i="107" l="1"/>
  <c r="B82" i="115" s="1"/>
  <c r="B85" i="107" l="1"/>
  <c r="B83" i="115" s="1"/>
  <c r="B86" i="107" l="1"/>
  <c r="B84" i="115" s="1"/>
  <c r="B87" i="107" l="1"/>
  <c r="B85" i="115" s="1"/>
  <c r="B88" i="107" l="1"/>
  <c r="B86" i="115" s="1"/>
  <c r="B89" i="107" l="1"/>
  <c r="B87" i="115" s="1"/>
  <c r="B90" i="107" l="1"/>
  <c r="B88" i="115" s="1"/>
  <c r="B91" i="107" l="1"/>
  <c r="B89" i="115" s="1"/>
  <c r="B92" i="107" l="1"/>
  <c r="B90" i="115" s="1"/>
  <c r="B93" i="107" l="1"/>
  <c r="B91" i="115" s="1"/>
  <c r="B94" i="107" l="1"/>
  <c r="B92" i="115" s="1"/>
  <c r="B95" i="107" l="1"/>
  <c r="B93" i="115" s="1"/>
  <c r="B96" i="107" l="1"/>
  <c r="B94" i="115" s="1"/>
  <c r="B97" i="107" l="1"/>
  <c r="B95" i="115" s="1"/>
  <c r="B98" i="107" l="1"/>
  <c r="B96" i="115" s="1"/>
  <c r="B99" i="107" l="1"/>
  <c r="B97" i="115" s="1"/>
  <c r="B100" i="107" l="1"/>
  <c r="B98" i="115" s="1"/>
  <c r="B101" i="107" l="1"/>
  <c r="B99" i="115" s="1"/>
  <c r="B102" i="107" l="1"/>
  <c r="B100" i="115" s="1"/>
  <c r="B103" i="107" l="1"/>
  <c r="B101" i="115" s="1"/>
  <c r="B104" i="107" l="1"/>
  <c r="B102" i="115" s="1"/>
  <c r="B105" i="107" l="1"/>
  <c r="B103" i="115" s="1"/>
  <c r="B106" i="107" l="1"/>
  <c r="B104" i="115" s="1"/>
  <c r="B107" i="107" l="1"/>
  <c r="B105" i="115" s="1"/>
  <c r="B108" i="107" l="1"/>
  <c r="B106" i="115" s="1"/>
  <c r="B109" i="107" l="1"/>
  <c r="B107" i="115" s="1"/>
  <c r="B110" i="107" l="1"/>
  <c r="B108" i="115" s="1"/>
  <c r="B111" i="107" l="1"/>
  <c r="B109" i="115" s="1"/>
  <c r="B112" i="107" l="1"/>
  <c r="B110" i="115" s="1"/>
  <c r="B113" i="107" l="1"/>
  <c r="B111" i="115" s="1"/>
  <c r="B114" i="107" l="1"/>
  <c r="B112" i="115" s="1"/>
  <c r="B115" i="107" l="1"/>
  <c r="B113" i="115" s="1"/>
  <c r="B116" i="107" l="1"/>
  <c r="B114" i="115" s="1"/>
  <c r="B117" i="107" l="1"/>
  <c r="B115" i="115" s="1"/>
  <c r="B118" i="107" l="1"/>
  <c r="B116" i="115" s="1"/>
  <c r="B119" i="107" l="1"/>
  <c r="B117" i="115" s="1"/>
  <c r="B120" i="107" l="1"/>
  <c r="B118" i="115" s="1"/>
  <c r="B121" i="107" l="1"/>
  <c r="B119" i="115" s="1"/>
  <c r="B122" i="107" l="1"/>
  <c r="B120" i="115" s="1"/>
  <c r="B123" i="107" l="1"/>
  <c r="B121" i="115" s="1"/>
  <c r="B124" i="107" l="1"/>
  <c r="B122" i="115" s="1"/>
  <c r="B125" i="107" l="1"/>
  <c r="B123" i="115" s="1"/>
  <c r="B126" i="107" l="1"/>
  <c r="B124" i="115" s="1"/>
  <c r="B127" i="107" l="1"/>
  <c r="B125" i="115" s="1"/>
  <c r="B128" i="107" l="1"/>
  <c r="B126" i="115" s="1"/>
  <c r="B129" i="107" l="1"/>
  <c r="B127" i="115" s="1"/>
  <c r="B130" i="107" l="1"/>
  <c r="B128" i="115" s="1"/>
  <c r="B131" i="107" l="1"/>
  <c r="B129" i="115" s="1"/>
  <c r="B132" i="107" l="1"/>
  <c r="B130" i="115" s="1"/>
  <c r="B133" i="107" l="1"/>
  <c r="B131" i="115" s="1"/>
  <c r="B134" i="107" l="1"/>
  <c r="B132" i="115" s="1"/>
  <c r="B135" i="107" l="1"/>
  <c r="B133" i="115" s="1"/>
  <c r="B136" i="107" l="1"/>
  <c r="B134" i="115" s="1"/>
  <c r="B137" i="107" l="1"/>
  <c r="B135" i="115" s="1"/>
  <c r="B138" i="107" l="1"/>
  <c r="B136" i="115" s="1"/>
  <c r="B139" i="107" l="1"/>
  <c r="B137" i="115" s="1"/>
  <c r="B140" i="107" l="1"/>
  <c r="B138" i="115" s="1"/>
  <c r="B141" i="107" l="1"/>
  <c r="B139" i="115" s="1"/>
  <c r="B142" i="107" l="1"/>
  <c r="B140" i="115" s="1"/>
  <c r="B143" i="107" l="1"/>
  <c r="B141" i="115" s="1"/>
  <c r="B144" i="107" l="1"/>
  <c r="B142" i="115" s="1"/>
  <c r="B145" i="107" l="1"/>
  <c r="B143" i="115" s="1"/>
  <c r="B146" i="107" l="1"/>
  <c r="B144" i="115" s="1"/>
  <c r="B147" i="107" l="1"/>
  <c r="B145" i="115" s="1"/>
  <c r="B148" i="107" l="1"/>
  <c r="B146" i="115" s="1"/>
  <c r="B149" i="107" l="1"/>
  <c r="B147" i="115" s="1"/>
  <c r="B150" i="107" l="1"/>
  <c r="B148" i="115" s="1"/>
  <c r="B151" i="107" l="1"/>
  <c r="B149" i="115" s="1"/>
  <c r="B152" i="107" l="1"/>
  <c r="B150" i="115" s="1"/>
  <c r="B153" i="107" l="1"/>
  <c r="B151" i="115" s="1"/>
  <c r="B154" i="107" l="1"/>
  <c r="B152" i="115" s="1"/>
  <c r="B155" i="107" l="1"/>
  <c r="B153" i="115" s="1"/>
  <c r="B156" i="107" l="1"/>
  <c r="B154" i="115" s="1"/>
  <c r="B157" i="107" l="1"/>
  <c r="B155" i="115" s="1"/>
  <c r="B158" i="107" l="1"/>
  <c r="B156" i="115" s="1"/>
  <c r="B159" i="107" l="1"/>
  <c r="B157" i="115" s="1"/>
  <c r="B160" i="107" l="1"/>
  <c r="B158" i="115" s="1"/>
  <c r="B161" i="107" l="1"/>
  <c r="B159" i="115" s="1"/>
  <c r="B162" i="107" l="1"/>
  <c r="B160" i="115" s="1"/>
  <c r="B163" i="107" l="1"/>
  <c r="B161" i="115" s="1"/>
  <c r="B164" i="107" l="1"/>
  <c r="B162" i="115" s="1"/>
  <c r="B165" i="107" l="1"/>
  <c r="B163" i="115" s="1"/>
  <c r="B166" i="107" l="1"/>
  <c r="B164" i="115" s="1"/>
  <c r="B167" i="107" l="1"/>
  <c r="B165" i="115" s="1"/>
  <c r="B168" i="107" l="1"/>
  <c r="B166" i="115" s="1"/>
  <c r="B169" i="107" l="1"/>
  <c r="B167" i="115" s="1"/>
  <c r="B170" i="107" l="1"/>
  <c r="B168" i="115" s="1"/>
  <c r="B171" i="107" l="1"/>
  <c r="B169" i="115" s="1"/>
  <c r="B172" i="107" l="1"/>
  <c r="B170" i="115" s="1"/>
  <c r="B173" i="107" l="1"/>
  <c r="B171" i="115" s="1"/>
  <c r="B174" i="107" l="1"/>
  <c r="B172" i="115" s="1"/>
  <c r="B175" i="107" l="1"/>
  <c r="B173" i="115" s="1"/>
  <c r="B176" i="107" l="1"/>
  <c r="B174" i="115" s="1"/>
  <c r="B177" i="107" l="1"/>
  <c r="B175" i="115" s="1"/>
  <c r="B178" i="107" l="1"/>
  <c r="B176" i="115" s="1"/>
  <c r="B179" i="107" l="1"/>
  <c r="B177" i="115" s="1"/>
  <c r="B180" i="107" l="1"/>
  <c r="B178" i="115" s="1"/>
  <c r="B181" i="107" l="1"/>
  <c r="B179" i="115" s="1"/>
  <c r="B182" i="107" l="1"/>
  <c r="B180" i="115" s="1"/>
  <c r="B183" i="107" l="1"/>
  <c r="B181" i="115" s="1"/>
  <c r="B184" i="107" l="1"/>
  <c r="B182" i="115" s="1"/>
  <c r="B185" i="107" l="1"/>
  <c r="B183" i="115" s="1"/>
  <c r="B186" i="107" l="1"/>
  <c r="B184" i="115" s="1"/>
  <c r="B187" i="107" l="1"/>
  <c r="B185" i="115" s="1"/>
  <c r="B188" i="107" l="1"/>
  <c r="B186" i="115" s="1"/>
  <c r="B189" i="107" l="1"/>
  <c r="B187" i="115" s="1"/>
  <c r="B190" i="107" l="1"/>
  <c r="B188" i="115" s="1"/>
  <c r="B191" i="107" l="1"/>
  <c r="B189" i="115" s="1"/>
  <c r="B192" i="107" l="1"/>
  <c r="B190" i="115" s="1"/>
  <c r="B193" i="107" l="1"/>
  <c r="B191" i="115" s="1"/>
  <c r="B194" i="107" l="1"/>
  <c r="B192" i="115" s="1"/>
  <c r="B195" i="107" l="1"/>
  <c r="B193" i="115" s="1"/>
  <c r="B196" i="107" l="1"/>
  <c r="B194" i="115" s="1"/>
  <c r="B197" i="107" l="1"/>
  <c r="B195" i="115" s="1"/>
  <c r="B198" i="107" l="1"/>
  <c r="B196" i="115" s="1"/>
  <c r="B199" i="107" l="1"/>
  <c r="B197" i="115" s="1"/>
  <c r="B200" i="107" l="1"/>
  <c r="B198" i="115" s="1"/>
  <c r="B201" i="107" l="1"/>
  <c r="B199" i="115" s="1"/>
  <c r="B202" i="107" l="1"/>
  <c r="B200" i="115" s="1"/>
  <c r="B203" i="107" l="1"/>
  <c r="B201" i="115" s="1"/>
  <c r="B204" i="107" l="1"/>
  <c r="B202" i="115" s="1"/>
  <c r="B205" i="107" l="1"/>
  <c r="B203" i="115" s="1"/>
  <c r="B206" i="107" l="1"/>
  <c r="B204" i="115" s="1"/>
  <c r="B207" i="107" l="1"/>
  <c r="B205" i="115" s="1"/>
  <c r="B208" i="107" l="1"/>
  <c r="B206" i="115" s="1"/>
  <c r="B209" i="107" l="1"/>
  <c r="B207" i="115" s="1"/>
  <c r="B210" i="107" l="1"/>
  <c r="B208" i="115" s="1"/>
  <c r="B211" i="107" l="1"/>
  <c r="B209" i="115" s="1"/>
  <c r="B212" i="107" l="1"/>
  <c r="B210" i="115" l="1"/>
  <c r="B213" i="107"/>
  <c r="B214" i="107" s="1"/>
  <c r="B215" i="107" s="1"/>
  <c r="B216" i="107" s="1"/>
  <c r="B217" i="107" s="1"/>
  <c r="B218" i="107" s="1"/>
  <c r="B219" i="107" s="1"/>
  <c r="B220" i="107" s="1"/>
  <c r="B221" i="107" s="1"/>
  <c r="B222" i="107" s="1"/>
  <c r="B223" i="107" s="1"/>
  <c r="B224" i="107" s="1"/>
  <c r="B225" i="107" s="1"/>
  <c r="B226" i="107" s="1"/>
  <c r="B227" i="107" s="1"/>
  <c r="B228" i="107" s="1"/>
  <c r="B229" i="107" s="1"/>
  <c r="B230" i="107" s="1"/>
  <c r="B231" i="107" s="1"/>
  <c r="B232" i="107" s="1"/>
  <c r="B233" i="107" s="1"/>
  <c r="B234" i="107" s="1"/>
  <c r="B235" i="107" s="1"/>
  <c r="B236" i="107" s="1"/>
  <c r="B237" i="107" s="1"/>
  <c r="B238" i="107" s="1"/>
  <c r="B239" i="107" s="1"/>
  <c r="B240" i="107" s="1"/>
  <c r="B241" i="107" s="1"/>
  <c r="B242" i="107" s="1"/>
  <c r="B243" i="107" s="1"/>
  <c r="B244" i="107" s="1"/>
  <c r="B245" i="107" s="1"/>
  <c r="B246" i="107" s="1"/>
  <c r="B247" i="107" s="1"/>
  <c r="B248" i="107" s="1"/>
  <c r="B249" i="107" s="1"/>
  <c r="B250" i="107" s="1"/>
  <c r="B251" i="107" s="1"/>
  <c r="B252" i="107" s="1"/>
  <c r="B253" i="107" s="1"/>
  <c r="B254" i="107" s="1"/>
  <c r="B255" i="107" s="1"/>
  <c r="B256" i="107" s="1"/>
  <c r="B257" i="107" s="1"/>
  <c r="B258" i="107" s="1"/>
  <c r="B259" i="107" s="1"/>
  <c r="B260" i="107" s="1"/>
  <c r="B261" i="107" s="1"/>
  <c r="B262" i="107" s="1"/>
  <c r="B263" i="107" s="1"/>
  <c r="B264" i="107" s="1"/>
  <c r="B265" i="107" s="1"/>
  <c r="B266" i="107" s="1"/>
  <c r="B267" i="107" s="1"/>
  <c r="B268" i="107" s="1"/>
  <c r="B269" i="107" s="1"/>
  <c r="B270" i="107" s="1"/>
  <c r="B271" i="107" s="1"/>
  <c r="B272" i="107" s="1"/>
  <c r="B273" i="107" s="1"/>
  <c r="B274" i="107" s="1"/>
  <c r="B275" i="107" s="1"/>
  <c r="B276" i="107" s="1"/>
  <c r="B277" i="107" s="1"/>
  <c r="B278" i="107" s="1"/>
  <c r="B279" i="107" s="1"/>
  <c r="B280" i="107" s="1"/>
  <c r="B281" i="107" s="1"/>
  <c r="B282" i="107" s="1"/>
  <c r="B283" i="107" s="1"/>
  <c r="B284" i="107" s="1"/>
  <c r="B285" i="107" s="1"/>
  <c r="B286" i="107" s="1"/>
  <c r="B287" i="107" s="1"/>
  <c r="B288" i="107" s="1"/>
  <c r="B289" i="107" s="1"/>
  <c r="B290" i="107" s="1"/>
  <c r="B291" i="107" s="1"/>
  <c r="B292" i="107" s="1"/>
  <c r="B293" i="107" s="1"/>
  <c r="B294" i="107" s="1"/>
  <c r="B295" i="107" s="1"/>
  <c r="B296" i="107" s="1"/>
  <c r="B297" i="107" s="1"/>
  <c r="B298" i="107" s="1"/>
  <c r="B299" i="107" s="1"/>
  <c r="B300" i="107" s="1"/>
  <c r="B301" i="107" s="1"/>
  <c r="B302" i="107" s="1"/>
  <c r="B303" i="107" s="1"/>
  <c r="B304" i="107" s="1"/>
  <c r="B305" i="107" s="1"/>
  <c r="B306" i="107" s="1"/>
  <c r="B307" i="107" s="1"/>
  <c r="B308" i="107" s="1"/>
  <c r="B309" i="107" s="1"/>
  <c r="B310" i="107" s="1"/>
  <c r="B311" i="107" s="1"/>
  <c r="B312" i="107" s="1"/>
  <c r="B313" i="107" s="1"/>
  <c r="B314" i="107" s="1"/>
  <c r="B315" i="107" s="1"/>
  <c r="B316" i="107" s="1"/>
  <c r="B317" i="107" s="1"/>
  <c r="B318" i="107" s="1"/>
  <c r="B319" i="107" s="1"/>
  <c r="B320" i="107" s="1"/>
  <c r="B321" i="107" s="1"/>
  <c r="B322" i="107" s="1"/>
  <c r="B323" i="107" s="1"/>
  <c r="B324" i="107" s="1"/>
  <c r="B325" i="107" s="1"/>
  <c r="B326" i="107" s="1"/>
  <c r="B327" i="107" s="1"/>
  <c r="B328" i="107" s="1"/>
  <c r="B329" i="107" s="1"/>
  <c r="B330" i="107" s="1"/>
  <c r="B331" i="107" s="1"/>
  <c r="B332" i="107" s="1"/>
  <c r="B333" i="107" s="1"/>
  <c r="B334" i="107" s="1"/>
  <c r="B335" i="107" s="1"/>
  <c r="B336" i="107" s="1"/>
  <c r="B337" i="107" s="1"/>
  <c r="B338" i="107" s="1"/>
  <c r="B339" i="107" s="1"/>
  <c r="B340" i="107" s="1"/>
  <c r="B341" i="107" s="1"/>
  <c r="B342" i="107" s="1"/>
  <c r="B343" i="107" s="1"/>
  <c r="B344" i="107" s="1"/>
  <c r="B345" i="107" s="1"/>
  <c r="B346" i="107" s="1"/>
  <c r="B347" i="107" s="1"/>
  <c r="B348" i="107" s="1"/>
  <c r="B349" i="107" s="1"/>
  <c r="B350" i="107" s="1"/>
  <c r="B351" i="107" s="1"/>
  <c r="B352" i="107" s="1"/>
  <c r="B353" i="107" s="1"/>
  <c r="B354" i="107" s="1"/>
  <c r="B355" i="107" s="1"/>
  <c r="B356" i="107" s="1"/>
  <c r="B357" i="107" s="1"/>
  <c r="B358" i="107" s="1"/>
  <c r="B359" i="107" s="1"/>
  <c r="B360" i="107" s="1"/>
  <c r="B361" i="107" s="1"/>
  <c r="B362" i="107" s="1"/>
  <c r="B363" i="107" s="1"/>
  <c r="B364" i="107" s="1"/>
  <c r="B365" i="107" s="1"/>
  <c r="B366" i="107" s="1"/>
  <c r="B367" i="107" s="1"/>
  <c r="B368" i="107" s="1"/>
  <c r="B369" i="107" s="1"/>
  <c r="B370" i="107" s="1"/>
  <c r="B371" i="107" s="1"/>
  <c r="B372" i="107" s="1"/>
  <c r="B373" i="107" s="1"/>
  <c r="B374" i="107" s="1"/>
  <c r="B375" i="107" s="1"/>
  <c r="B376" i="107" s="1"/>
  <c r="B377" i="107" s="1"/>
  <c r="B378" i="107" s="1"/>
  <c r="B379" i="107" s="1"/>
  <c r="B380" i="107" s="1"/>
  <c r="B381" i="107" s="1"/>
  <c r="B382" i="107" s="1"/>
  <c r="B383" i="107" s="1"/>
  <c r="B384" i="107" s="1"/>
  <c r="B385" i="107" s="1"/>
  <c r="B386" i="107" s="1"/>
  <c r="B387" i="107" s="1"/>
  <c r="B388" i="107" s="1"/>
  <c r="B389" i="107" s="1"/>
  <c r="B390" i="107" s="1"/>
  <c r="B391" i="107" s="1"/>
  <c r="B392" i="107" s="1"/>
  <c r="B393" i="107" s="1"/>
  <c r="B394" i="107" s="1"/>
  <c r="B395" i="107" s="1"/>
  <c r="B396" i="107" s="1"/>
  <c r="B397" i="107" s="1"/>
  <c r="B398" i="107" s="1"/>
  <c r="B399" i="107" s="1"/>
  <c r="B400" i="107" s="1"/>
  <c r="B401" i="107" s="1"/>
  <c r="B402" i="107" s="1"/>
  <c r="B403" i="107" s="1"/>
  <c r="B404" i="107" s="1"/>
  <c r="B405" i="107" s="1"/>
  <c r="B406" i="107" s="1"/>
  <c r="B407" i="107" s="1"/>
  <c r="B408" i="107" s="1"/>
  <c r="B409" i="107" s="1"/>
  <c r="B410" i="107" s="1"/>
  <c r="B411" i="107" s="1"/>
  <c r="B412" i="107" s="1"/>
  <c r="B413" i="107" s="1"/>
  <c r="B414" i="107" s="1"/>
  <c r="B415" i="107" s="1"/>
  <c r="B416" i="107" s="1"/>
  <c r="B211" i="115" l="1"/>
  <c r="B212" i="115"/>
  <c r="B213" i="115" l="1"/>
  <c r="B214" i="115" l="1"/>
  <c r="B215" i="115" l="1"/>
  <c r="B216" i="115" l="1"/>
  <c r="B217" i="115" l="1"/>
  <c r="B218" i="115" l="1"/>
  <c r="B219" i="115" l="1"/>
  <c r="B220" i="115" l="1"/>
  <c r="B221" i="115" l="1"/>
  <c r="B222" i="115" l="1"/>
  <c r="B223" i="115" l="1"/>
  <c r="B224" i="115" l="1"/>
  <c r="B225" i="115" l="1"/>
  <c r="B226" i="115" l="1"/>
  <c r="B227" i="115" l="1"/>
  <c r="B228" i="115" l="1"/>
  <c r="B229" i="115" l="1"/>
  <c r="B230" i="115" l="1"/>
  <c r="B231" i="115" l="1"/>
  <c r="B232" i="115" l="1"/>
  <c r="B233" i="115" l="1"/>
  <c r="B234" i="115" l="1"/>
  <c r="B235" i="115" l="1"/>
  <c r="B236" i="115" l="1"/>
  <c r="B237" i="115" l="1"/>
  <c r="B238" i="115" l="1"/>
  <c r="B239" i="115" l="1"/>
  <c r="B240" i="115" l="1"/>
  <c r="B241" i="115" l="1"/>
  <c r="B242" i="115" l="1"/>
  <c r="B243" i="115" l="1"/>
  <c r="B244" i="115" l="1"/>
  <c r="B245" i="115" l="1"/>
  <c r="B246" i="115" l="1"/>
  <c r="B247" i="115" l="1"/>
  <c r="B248" i="115" l="1"/>
  <c r="B249" i="115" l="1"/>
  <c r="B250" i="115" l="1"/>
  <c r="B251" i="115" l="1"/>
  <c r="B252" i="115" l="1"/>
  <c r="B253" i="115" l="1"/>
  <c r="B254" i="115" l="1"/>
  <c r="B255" i="115" l="1"/>
  <c r="B256" i="115" l="1"/>
  <c r="B257" i="115" l="1"/>
  <c r="B258" i="115" l="1"/>
  <c r="B259" i="115" l="1"/>
  <c r="B260" i="115" l="1"/>
  <c r="B261" i="115" l="1"/>
  <c r="B262" i="115" l="1"/>
  <c r="B263" i="115" l="1"/>
  <c r="B264" i="115" l="1"/>
  <c r="B265" i="115" l="1"/>
  <c r="B266" i="115" l="1"/>
  <c r="B267" i="115" l="1"/>
  <c r="B268" i="115" l="1"/>
  <c r="B269" i="115" l="1"/>
  <c r="B270" i="115" l="1"/>
  <c r="B271" i="115" l="1"/>
  <c r="B272" i="115" l="1"/>
  <c r="B273" i="115" l="1"/>
  <c r="B274" i="115" l="1"/>
  <c r="B275" i="115" l="1"/>
  <c r="B276" i="115" l="1"/>
  <c r="B277" i="115" l="1"/>
  <c r="B278" i="115" l="1"/>
  <c r="B279" i="115" l="1"/>
  <c r="B280" i="115" l="1"/>
  <c r="B281" i="115" l="1"/>
  <c r="B282" i="115" l="1"/>
  <c r="B283" i="115" l="1"/>
  <c r="B284" i="115" l="1"/>
  <c r="B285" i="115" l="1"/>
  <c r="B286" i="115" l="1"/>
  <c r="B287" i="115" l="1"/>
  <c r="B288" i="115" l="1"/>
  <c r="B289" i="115" l="1"/>
  <c r="B290" i="115" l="1"/>
  <c r="B291" i="115" l="1"/>
  <c r="B292" i="115" l="1"/>
  <c r="B293" i="115" l="1"/>
  <c r="B294" i="115" l="1"/>
  <c r="B295" i="115" l="1"/>
  <c r="B296" i="115" l="1"/>
  <c r="B297" i="115" l="1"/>
  <c r="B298" i="115" l="1"/>
  <c r="B299" i="115" l="1"/>
  <c r="B300" i="115" l="1"/>
  <c r="B301" i="115" l="1"/>
  <c r="B302" i="115" l="1"/>
  <c r="B303" i="115" l="1"/>
  <c r="B304" i="115" l="1"/>
  <c r="B305" i="115" l="1"/>
  <c r="B306" i="115" l="1"/>
  <c r="B307" i="115" l="1"/>
  <c r="B308" i="115" l="1"/>
  <c r="B309" i="115" l="1"/>
  <c r="B310" i="115" l="1"/>
  <c r="B311" i="115" l="1"/>
  <c r="B312" i="115" l="1"/>
  <c r="B313" i="115" l="1"/>
  <c r="B314" i="115" l="1"/>
  <c r="B315" i="115" l="1"/>
  <c r="B316" i="115" l="1"/>
  <c r="B317" i="115" l="1"/>
  <c r="B318" i="115" l="1"/>
  <c r="B319" i="115" l="1"/>
  <c r="B320" i="115" l="1"/>
  <c r="B321" i="115" l="1"/>
  <c r="B322" i="115" l="1"/>
  <c r="B323" i="115" l="1"/>
  <c r="B324" i="115" l="1"/>
  <c r="B325" i="115" l="1"/>
  <c r="B326" i="115" l="1"/>
  <c r="B327" i="115" l="1"/>
  <c r="B328" i="115" l="1"/>
  <c r="B329" i="115" l="1"/>
  <c r="B330" i="115" l="1"/>
  <c r="B331" i="115" l="1"/>
  <c r="B332" i="115" l="1"/>
  <c r="B333" i="115" l="1"/>
  <c r="B334" i="115" l="1"/>
  <c r="B335" i="115" l="1"/>
  <c r="B336" i="115" l="1"/>
  <c r="B337" i="115" l="1"/>
  <c r="B338" i="115" l="1"/>
  <c r="B339" i="115" l="1"/>
  <c r="B340" i="115" l="1"/>
  <c r="B341" i="115" l="1"/>
  <c r="B342" i="115" l="1"/>
  <c r="B343" i="115" l="1"/>
  <c r="B344" i="115" l="1"/>
  <c r="B345" i="115" l="1"/>
  <c r="B346" i="115" l="1"/>
  <c r="B347" i="115" l="1"/>
  <c r="B348" i="115" l="1"/>
  <c r="B349" i="115" l="1"/>
  <c r="B350" i="115" l="1"/>
  <c r="B351" i="115" l="1"/>
  <c r="B352" i="115" l="1"/>
  <c r="B353" i="115" l="1"/>
  <c r="B354" i="115" l="1"/>
  <c r="B355" i="115" l="1"/>
  <c r="B356" i="115" l="1"/>
  <c r="B357" i="115" l="1"/>
  <c r="B358" i="115" l="1"/>
  <c r="B359" i="115" l="1"/>
  <c r="B360" i="115" l="1"/>
  <c r="B361" i="115" l="1"/>
  <c r="B362" i="115" l="1"/>
  <c r="B363" i="115" l="1"/>
  <c r="B364" i="115" l="1"/>
  <c r="B365" i="115" l="1"/>
  <c r="B366" i="115" l="1"/>
  <c r="B367" i="115" l="1"/>
  <c r="B368" i="115" l="1"/>
  <c r="B369" i="115" l="1"/>
  <c r="B370" i="115" l="1"/>
  <c r="B371" i="115" l="1"/>
  <c r="B372" i="115" l="1"/>
  <c r="B373" i="115" l="1"/>
  <c r="B374" i="115" l="1"/>
  <c r="B375" i="115" l="1"/>
  <c r="B376" i="115" l="1"/>
  <c r="B377" i="115" l="1"/>
  <c r="B378" i="115" l="1"/>
  <c r="B379" i="115" l="1"/>
  <c r="B380" i="115" l="1"/>
  <c r="B381" i="115" l="1"/>
  <c r="B382" i="115" l="1"/>
  <c r="B383" i="115" l="1"/>
  <c r="P11" i="5"/>
  <c r="M12" i="5"/>
  <c r="M28" i="5" s="1"/>
  <c r="M29" i="5" s="1"/>
  <c r="P12" i="5" l="1"/>
  <c r="P28" i="5" s="1"/>
  <c r="P29" i="5" s="1"/>
  <c r="M13" i="5"/>
  <c r="L1" i="97" l="1"/>
  <c r="P13" i="5"/>
  <c r="M1" i="9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A79057-B4CB-4FCE-A3E4-3F56BE73166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etails!$B$4:$BN$1980" type="102" refreshedVersion="8" minRefreshableVersion="5">
    <extLst>
      <ext xmlns:x15="http://schemas.microsoft.com/office/spreadsheetml/2010/11/main" uri="{DE250136-89BD-433C-8126-D09CA5730AF9}">
        <x15:connection id="Range-3c0ce2b5-7498-409b-938e-e65f70856903">
          <x15:rangePr sourceName="_xlcn.WorksheetConnection_DetailsB4BN1980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<sst xmlns="http://schemas.openxmlformats.org/spreadsheetml/2006/main" count="22138" uniqueCount="4168">
  <si>
    <t>Quantity (MT)</t>
  </si>
  <si>
    <t>Sales</t>
  </si>
  <si>
    <t>Purchases</t>
  </si>
  <si>
    <t>Transportation Charges</t>
  </si>
  <si>
    <t>Transport Charges (%)</t>
  </si>
  <si>
    <t>Receivable</t>
  </si>
  <si>
    <t>DSO (Days)</t>
  </si>
  <si>
    <t>Revenue Per Kg</t>
  </si>
  <si>
    <t>Purchase Cost Per Kg</t>
  </si>
  <si>
    <t>Transportation Charges Per Kg</t>
  </si>
  <si>
    <t>No. of Transactions</t>
  </si>
  <si>
    <t>No. of Sellers (Aggregators)</t>
  </si>
  <si>
    <t>No. of Buyers (Recyclers)</t>
  </si>
  <si>
    <t>Full Sales Returns (Nos)</t>
  </si>
  <si>
    <t>Date</t>
  </si>
  <si>
    <t>Month</t>
  </si>
  <si>
    <t>Quarter</t>
  </si>
  <si>
    <t>GST Reg No.</t>
  </si>
  <si>
    <t>P V No.</t>
  </si>
  <si>
    <t>P V Date</t>
  </si>
  <si>
    <t>Vendor Invoice No.</t>
  </si>
  <si>
    <t>Vendor Invoice Date</t>
  </si>
  <si>
    <t>Debit Note No.</t>
  </si>
  <si>
    <t>Debit Note Date.</t>
  </si>
  <si>
    <t>Debit Note No. 2</t>
  </si>
  <si>
    <t>Debit Note Date. 2</t>
  </si>
  <si>
    <t>Supplier Name</t>
  </si>
  <si>
    <t>Location (Origin)</t>
  </si>
  <si>
    <t>State (Origin)</t>
  </si>
  <si>
    <t>Transporter Name</t>
  </si>
  <si>
    <t>Vehicle No.</t>
  </si>
  <si>
    <t>LR NO/BILL NO</t>
  </si>
  <si>
    <t>J V No.</t>
  </si>
  <si>
    <t>JV Date</t>
  </si>
  <si>
    <t>Material</t>
  </si>
  <si>
    <t>Material-Short Form</t>
  </si>
  <si>
    <t>Qty (Kg)</t>
  </si>
  <si>
    <t>Price/Kg</t>
  </si>
  <si>
    <t>Purchase Price</t>
  </si>
  <si>
    <t>Logistics cost</t>
  </si>
  <si>
    <t>Logistics Provision</t>
  </si>
  <si>
    <t>Total Logistics Cost</t>
  </si>
  <si>
    <t>Cost/Kg.</t>
  </si>
  <si>
    <t>Full Debit Note</t>
  </si>
  <si>
    <t>Total Cost</t>
  </si>
  <si>
    <t>Inv. No.</t>
  </si>
  <si>
    <t>Inv. Date</t>
  </si>
  <si>
    <t>Buyer Name</t>
  </si>
  <si>
    <t>Location (Destination)</t>
  </si>
  <si>
    <t>State (Destination)</t>
  </si>
  <si>
    <t>Qty(Kg)</t>
  </si>
  <si>
    <t>Rate/Kg</t>
  </si>
  <si>
    <t>Amount</t>
  </si>
  <si>
    <t>Qty Check</t>
  </si>
  <si>
    <t>Net Revenue</t>
  </si>
  <si>
    <t>Margin</t>
  </si>
  <si>
    <t>Check</t>
  </si>
  <si>
    <t>Remarks</t>
  </si>
  <si>
    <t>Total</t>
  </si>
  <si>
    <t>Net Sales As per report</t>
  </si>
  <si>
    <t>Net Purchase as per report</t>
  </si>
  <si>
    <t>As per ZOHO</t>
  </si>
  <si>
    <t>Variance</t>
  </si>
  <si>
    <t>Debit note on logistic cost</t>
  </si>
  <si>
    <t>Reamrks - Margin</t>
  </si>
  <si>
    <t>Bills in report not in P&amp;L</t>
  </si>
  <si>
    <t>Bills in P&amp;L not in report</t>
  </si>
  <si>
    <t>Sales  in report not in P&amp;L</t>
  </si>
  <si>
    <t>Sales  in P&amp;L not in report</t>
  </si>
  <si>
    <t>Credit Note Date</t>
  </si>
  <si>
    <t>Credit Note Number</t>
  </si>
  <si>
    <t>Customer Name</t>
  </si>
  <si>
    <t>SubTotal</t>
  </si>
  <si>
    <t>Final Variance</t>
  </si>
  <si>
    <t>G.Total</t>
  </si>
  <si>
    <t>As Per Report</t>
  </si>
  <si>
    <t>SO Number</t>
  </si>
  <si>
    <t>Bils in Report &amp; P&amp;L , Sale yet to be done</t>
  </si>
  <si>
    <t>Qty</t>
  </si>
  <si>
    <t>Reconciliation</t>
  </si>
  <si>
    <t>Debit Note Date</t>
  </si>
  <si>
    <t>Debit  Note Number</t>
  </si>
  <si>
    <t>Net Logistic Cost as per report</t>
  </si>
  <si>
    <t>Particulars</t>
  </si>
  <si>
    <t xml:space="preserve">As per ZOHO </t>
  </si>
  <si>
    <t>JV Number</t>
  </si>
  <si>
    <t>Opening Provision</t>
  </si>
  <si>
    <t>Accounted in FY 23-24</t>
  </si>
  <si>
    <t>Closing Provision</t>
  </si>
  <si>
    <t>Sales - Reconciliation</t>
  </si>
  <si>
    <t>Net Revenue as per MIS Report</t>
  </si>
  <si>
    <t>Revenue as per P&amp;L Report (Zoho Books)</t>
  </si>
  <si>
    <t>Purchases - Reconciliation</t>
  </si>
  <si>
    <t>Net Purchases as per MIS Report</t>
  </si>
  <si>
    <t>Logistic Cost- Reconciliation</t>
  </si>
  <si>
    <t>Net Logistic as per MIS Report</t>
  </si>
  <si>
    <t>Logistic Cost as per P&amp;L Report (Zoho Books)</t>
  </si>
  <si>
    <t>Final - Variance</t>
  </si>
  <si>
    <t>Cost  as per P&amp;L Report (Zoho Books)</t>
  </si>
  <si>
    <t>NO DN value</t>
  </si>
  <si>
    <t>Margin (%)</t>
  </si>
  <si>
    <t>Margin Bucket</t>
  </si>
  <si>
    <t>Basic Customs Duty</t>
  </si>
  <si>
    <t>Return Qty</t>
  </si>
  <si>
    <t>Net Qty</t>
  </si>
  <si>
    <t>Divertion/Internal</t>
  </si>
  <si>
    <t>Return Type</t>
  </si>
  <si>
    <t>Regular</t>
  </si>
  <si>
    <t xml:space="preserve"> </t>
  </si>
  <si>
    <t>Bill Date</t>
  </si>
  <si>
    <t>Bill Number</t>
  </si>
  <si>
    <t>PurchaseOrder</t>
  </si>
  <si>
    <t>Vendor Name</t>
  </si>
  <si>
    <t xml:space="preserve"> Provision for Credit Notes from Aggregators as on 31st Mar-2024</t>
  </si>
  <si>
    <t>Provision for Credit Notes from Aggregators as on 31st Mar-2024</t>
  </si>
  <si>
    <t>Accounted in FY 2024-25</t>
  </si>
  <si>
    <t>CN Amount</t>
  </si>
  <si>
    <t>Provision for Debit Notes from Customers as on 31st Mar-2024</t>
  </si>
  <si>
    <t xml:space="preserve"> Provision for Debit Notes from Customers as on 31st Mar-2024</t>
  </si>
  <si>
    <t>DN &amp; CN Provision</t>
  </si>
  <si>
    <t>CN &amp; DN Checks</t>
  </si>
  <si>
    <t>Actaul CN</t>
  </si>
  <si>
    <t>Actual DN</t>
  </si>
  <si>
    <t>Credit Note No:1</t>
  </si>
  <si>
    <t>CN Date. No:1</t>
  </si>
  <si>
    <t>Credit Note No:2</t>
  </si>
  <si>
    <t>CN Date. No:2</t>
  </si>
  <si>
    <t>Remarks @ Inception</t>
  </si>
  <si>
    <t>Full Credit Notes</t>
  </si>
  <si>
    <t>Last year bills considered this year</t>
  </si>
  <si>
    <t>Qty Reco</t>
  </si>
  <si>
    <t>FY 2024-25</t>
  </si>
  <si>
    <t>Date : DN to Buyer</t>
  </si>
  <si>
    <t>DN to Buyer</t>
  </si>
  <si>
    <t>DN to Customer</t>
  </si>
  <si>
    <t>Credit Notes from Customers</t>
  </si>
  <si>
    <t>Sales Details</t>
  </si>
  <si>
    <t>Debit Notes to Suppliers</t>
  </si>
  <si>
    <t>Logistic Details of the transaction</t>
  </si>
  <si>
    <t>Purchase Details</t>
  </si>
  <si>
    <t xml:space="preserve">Buyer GST Number </t>
  </si>
  <si>
    <t>Fy 2023-24 DN to Customers</t>
  </si>
  <si>
    <t>DN Provision in Zoho FY 23-24</t>
  </si>
  <si>
    <t>CN Provision in Zoho FY 23-24</t>
  </si>
  <si>
    <t>Revenue</t>
  </si>
  <si>
    <t>Margin(%</t>
  </si>
  <si>
    <t>Debit Notes</t>
  </si>
  <si>
    <t>Sale Value</t>
  </si>
  <si>
    <t>DN to Sale(%)</t>
  </si>
  <si>
    <t>Total CN in FY 2024-25</t>
  </si>
  <si>
    <t>No of transactions</t>
  </si>
  <si>
    <t>Avg Tran Value</t>
  </si>
  <si>
    <t>Category (Material)</t>
  </si>
  <si>
    <t>Avg.Price/kg</t>
  </si>
  <si>
    <t>Supplier Type</t>
  </si>
  <si>
    <t>FY 2023-24 Logistics</t>
  </si>
  <si>
    <t>Total CN of FY 2023-24</t>
  </si>
  <si>
    <t>Credit Notes issued in FY-25 pertaining to FY-24</t>
  </si>
  <si>
    <t>Debit Notes issued in FY-25 pertaining to FY-24</t>
  </si>
  <si>
    <t>Logistic Bills issued in FY-25 pertaining to FY-24</t>
  </si>
  <si>
    <t>Logistic Provision in Zoho FY 23-24</t>
  </si>
  <si>
    <t>Cost</t>
  </si>
  <si>
    <t>Without Provisions</t>
  </si>
  <si>
    <t>With GST</t>
  </si>
  <si>
    <t>Vendor PAN No</t>
  </si>
  <si>
    <t>Customer PAN No</t>
  </si>
  <si>
    <t>Shipment ID</t>
  </si>
  <si>
    <t>JV for last year Bills</t>
  </si>
  <si>
    <t>JV for Last year Bills</t>
  </si>
  <si>
    <t>Count Recyclers</t>
  </si>
  <si>
    <t>Count Supplier Name</t>
  </si>
  <si>
    <t>Week No:</t>
  </si>
  <si>
    <t>Broad Category</t>
  </si>
  <si>
    <t>POC Name</t>
  </si>
  <si>
    <t>FY 2025-26</t>
  </si>
  <si>
    <t>FY 2024-25 bills considered ths year</t>
  </si>
  <si>
    <t>Customer ID</t>
  </si>
  <si>
    <t>FY 24-25 Logistic Bills accounted Fy 25-26</t>
  </si>
  <si>
    <t>Fy 2024-25 Logistic Provision Reversal</t>
  </si>
  <si>
    <t>Total CN(Inc.Provisions)</t>
  </si>
  <si>
    <t>Total DN(Inc.Provisions)</t>
  </si>
  <si>
    <t>LMI @ Inception</t>
  </si>
  <si>
    <t>Gross Margin</t>
  </si>
  <si>
    <t>Recykal Margin</t>
  </si>
  <si>
    <t>Net Margin</t>
  </si>
  <si>
    <t>Margin Buckets</t>
  </si>
  <si>
    <t>Actual Credit Note</t>
  </si>
  <si>
    <t>Actual Debit Note</t>
  </si>
  <si>
    <t>Provision for CN</t>
  </si>
  <si>
    <t>Provision for DN</t>
  </si>
  <si>
    <t>Total CN in FY 2025-26</t>
  </si>
  <si>
    <t>Total CN of FY 2024-25</t>
  </si>
  <si>
    <t xml:space="preserve">Sales </t>
  </si>
  <si>
    <t>Credit Note</t>
  </si>
  <si>
    <t>Debit Note</t>
  </si>
  <si>
    <t>Financials with GST</t>
  </si>
  <si>
    <t>BLACK GOLD RECYCLING PRIVATE LIMITED</t>
  </si>
  <si>
    <t>Gujarat</t>
  </si>
  <si>
    <t>24AAMCB5608A1Z3</t>
  </si>
  <si>
    <t>GJ</t>
  </si>
  <si>
    <t>WOODEN PALLETS</t>
  </si>
  <si>
    <t>GJ12BW6741</t>
  </si>
  <si>
    <t>GJ12BY7428</t>
  </si>
  <si>
    <t>Corrugated Cardboard Scrap</t>
  </si>
  <si>
    <t>WASTE PAPER BOXES/CORRUGATED BOXES</t>
  </si>
  <si>
    <t>HDPE MIX SMALL BAGS</t>
  </si>
  <si>
    <t>STARCH 500KG EMPTY BAGS</t>
  </si>
  <si>
    <t>PAPER CORES</t>
  </si>
  <si>
    <t>Plastic Scraps</t>
  </si>
  <si>
    <t>CF.SO Number</t>
  </si>
  <si>
    <t>Quantity</t>
  </si>
  <si>
    <t>Rate</t>
  </si>
  <si>
    <t>Item Total</t>
  </si>
  <si>
    <t>Sale Type</t>
  </si>
  <si>
    <t>Invoice Date</t>
  </si>
  <si>
    <t>Invoice Number</t>
  </si>
  <si>
    <t>Item Price</t>
  </si>
  <si>
    <t>Crecit Note</t>
  </si>
  <si>
    <t>Net Sale</t>
  </si>
  <si>
    <t>KALYANI FOUNDRY WORKS</t>
  </si>
  <si>
    <t>PRAJAPATI CASTING FOUNDRY PRIVATE LIMITED</t>
  </si>
  <si>
    <t>MPPUNE/0023</t>
  </si>
  <si>
    <t>MPPUNE/0024</t>
  </si>
  <si>
    <t>MPPUNE/0025</t>
  </si>
  <si>
    <t>MPPUNE/0026</t>
  </si>
  <si>
    <t>MPPUNE/0027</t>
  </si>
  <si>
    <t>Warehouse</t>
  </si>
  <si>
    <t>26/MPPIB/INV0007</t>
  </si>
  <si>
    <t>26/MPPIB/INV0011</t>
  </si>
  <si>
    <t>26/MPPIB/INV0012</t>
  </si>
  <si>
    <t>26/MPPIB/INV0015</t>
  </si>
  <si>
    <t>26/MPPIB/INV0017</t>
  </si>
  <si>
    <t>SNEHA FOUNDRY WORKS</t>
  </si>
  <si>
    <t>PRAJAPATI FOUNDRY PRIVATE LIMITED</t>
  </si>
  <si>
    <t>832139000036150444</t>
  </si>
  <si>
    <t>NILKANTH TRADING COMPANY</t>
  </si>
  <si>
    <t>24BJHPB3107J1ZO</t>
  </si>
  <si>
    <t>Kandla Gujarat 370240</t>
  </si>
  <si>
    <t>Kachchh</t>
  </si>
  <si>
    <t>Kandla,Gujarat,370240</t>
  </si>
  <si>
    <t>BHAIRAVNATH ENTERPRISES</t>
  </si>
  <si>
    <t>HDPE Sacks (Old &amp; Torn)</t>
  </si>
  <si>
    <t>SHREDDED WRAPPERS &amp; PAPERS</t>
  </si>
  <si>
    <t>NOODLE 1000KG EMPTY BAGS</t>
  </si>
  <si>
    <t>GJ12BV5358</t>
  </si>
  <si>
    <t>MPPUNE/0029</t>
  </si>
  <si>
    <t>MPPUNE/0028</t>
  </si>
  <si>
    <t>26/MPPIB/INV0020</t>
  </si>
  <si>
    <t>26/MPPIB/INV0021</t>
  </si>
  <si>
    <t>SONA FOUNDRY</t>
  </si>
  <si>
    <t>YASH ENTERPRISES</t>
  </si>
  <si>
    <t>27DJWPS7981A1ZD</t>
  </si>
  <si>
    <t>EMPTY LOURIC &amp; MES BAGS</t>
  </si>
  <si>
    <t>TATA MOTORS PASSENGER VEHICLES LIMITED</t>
  </si>
  <si>
    <t>27AAHCT8301P1ZT</t>
  </si>
  <si>
    <t>MH</t>
  </si>
  <si>
    <t>MH14BJ3188</t>
  </si>
  <si>
    <t>M S Scrap</t>
  </si>
  <si>
    <t>MNML VLU SCRP WSTE ITMS LKE WT CLD,GRAS</t>
  </si>
  <si>
    <t>PAPER WASTES</t>
  </si>
  <si>
    <t>MHPV001</t>
  </si>
  <si>
    <t>MHPV002</t>
  </si>
  <si>
    <t>MHPV003</t>
  </si>
  <si>
    <t>PUNE warehouse</t>
  </si>
  <si>
    <t>MHPV004</t>
  </si>
  <si>
    <t>MHPV005</t>
  </si>
  <si>
    <t>MHPV006</t>
  </si>
  <si>
    <t>MHPV007</t>
  </si>
  <si>
    <t>IMPORTED JUMBO BAGS</t>
  </si>
  <si>
    <t>MHPV008</t>
  </si>
  <si>
    <t>TATA MOTORS LIMITED</t>
  </si>
  <si>
    <t>PLASTIC PALLETS</t>
  </si>
  <si>
    <t>MHPV009</t>
  </si>
  <si>
    <t>MPPUNE/0030</t>
  </si>
  <si>
    <t>MPPUNE/0032</t>
  </si>
  <si>
    <t>26/MPPIB/INV0033</t>
  </si>
  <si>
    <t>26/MPPIB/INV0041</t>
  </si>
  <si>
    <t>GST Identification Number (GSTIN)</t>
  </si>
  <si>
    <t>CF.Supplier Invoice Date</t>
  </si>
  <si>
    <t>CF.Purchase</t>
  </si>
  <si>
    <t>GST/25-26/005</t>
  </si>
  <si>
    <t>GJ12BW6648</t>
  </si>
  <si>
    <t>MHPV010</t>
  </si>
  <si>
    <t>MHPV012</t>
  </si>
  <si>
    <t xml:space="preserve">MHPV011 </t>
  </si>
  <si>
    <t>MHPV013</t>
  </si>
  <si>
    <t>MHPV014</t>
  </si>
  <si>
    <t>MPPUNE/0031</t>
  </si>
  <si>
    <t>MPPUNE/0033</t>
  </si>
  <si>
    <t>MPPUNE/0034</t>
  </si>
  <si>
    <t>26/MPPIB/INV0040</t>
  </si>
  <si>
    <t>26/MPPIB/INV0042</t>
  </si>
  <si>
    <t>26/MPPIB/INV0050</t>
  </si>
  <si>
    <t>AFFAN TOOLS</t>
  </si>
  <si>
    <t>EMPTY CORRUGATED DRUMS MS RINGS</t>
  </si>
  <si>
    <t>MHPV015</t>
  </si>
  <si>
    <t>MHPV016</t>
  </si>
  <si>
    <t>27AAACM3025E1ZZ</t>
  </si>
  <si>
    <t>27AAACT2727Q1ZW</t>
  </si>
  <si>
    <t>MH12KP9590</t>
  </si>
  <si>
    <t>MH04BU8943</t>
  </si>
  <si>
    <t>MHPV018</t>
  </si>
  <si>
    <t>MHPV017</t>
  </si>
  <si>
    <t>MPPUNE/0035</t>
  </si>
  <si>
    <t>MPPUNE/0036</t>
  </si>
  <si>
    <t>MPPUNE/0037</t>
  </si>
  <si>
    <t>26/MPPIB/INV0066</t>
  </si>
  <si>
    <t>26/MPPIB/INV0067</t>
  </si>
  <si>
    <t>26/MPPIB/INV0068</t>
  </si>
  <si>
    <t>AR TRADERS</t>
  </si>
  <si>
    <t>36APHPR3452D1ZX</t>
  </si>
  <si>
    <t>MHPV019</t>
  </si>
  <si>
    <t>MHPV020</t>
  </si>
  <si>
    <t>Fy 2025-26</t>
  </si>
  <si>
    <t>MH12FZ7432</t>
  </si>
  <si>
    <t>MHPV023</t>
  </si>
  <si>
    <t>MHPV022</t>
  </si>
  <si>
    <t>MHPV021</t>
  </si>
  <si>
    <t>MHPV025</t>
  </si>
  <si>
    <t>MHPV024</t>
  </si>
  <si>
    <t>MHPV027</t>
  </si>
  <si>
    <t>MHPV028</t>
  </si>
  <si>
    <t xml:space="preserve">MHPV029 </t>
  </si>
  <si>
    <t>MHPV030</t>
  </si>
  <si>
    <t>MHPV026</t>
  </si>
  <si>
    <t>SUYASH INDUSTRIES</t>
  </si>
  <si>
    <t>MPPUNE/0038</t>
  </si>
  <si>
    <t>26/MPPIB/INV0096</t>
  </si>
  <si>
    <t>As per Zoho(current Month)</t>
  </si>
  <si>
    <t/>
  </si>
  <si>
    <t>MOHIT KANAUGIYA</t>
  </si>
  <si>
    <t>10</t>
  </si>
  <si>
    <t>25-26/PUR/001308</t>
  </si>
  <si>
    <t>11</t>
  </si>
  <si>
    <t>25-26/PUR/001309</t>
  </si>
  <si>
    <t>14</t>
  </si>
  <si>
    <t>25-26/PUR/001316</t>
  </si>
  <si>
    <t>16</t>
  </si>
  <si>
    <t>25-26/PUR/001317</t>
  </si>
  <si>
    <t>12</t>
  </si>
  <si>
    <t>25-26/PUR/001319</t>
  </si>
  <si>
    <t>13</t>
  </si>
  <si>
    <t>25-26/PUR/001321</t>
  </si>
  <si>
    <t>15</t>
  </si>
  <si>
    <t>25-26/PUR/001323</t>
  </si>
  <si>
    <t>17</t>
  </si>
  <si>
    <t>25-26/PUR/001325</t>
  </si>
  <si>
    <t>18</t>
  </si>
  <si>
    <t>25-26/PUR/001328</t>
  </si>
  <si>
    <t>GST/25-26/016</t>
  </si>
  <si>
    <t>25-26/PUR/001347</t>
  </si>
  <si>
    <t>MHPV032</t>
  </si>
  <si>
    <t>MHPV031</t>
  </si>
  <si>
    <t>WET &amp; DAMAGED CARDBOARD SCRAPS</t>
  </si>
  <si>
    <t>MHPV033</t>
  </si>
  <si>
    <t>MHPV034</t>
  </si>
  <si>
    <t>MHPV035</t>
  </si>
  <si>
    <t>Raw Data -IB</t>
  </si>
  <si>
    <t>MHPV036</t>
  </si>
  <si>
    <t>Bill Branch</t>
  </si>
  <si>
    <t>Inv Branch</t>
  </si>
  <si>
    <t>Telangana - HO</t>
  </si>
  <si>
    <t>MHPV037</t>
  </si>
  <si>
    <t>MHPV038</t>
  </si>
  <si>
    <t>MHPV039</t>
  </si>
  <si>
    <t>MPPUNE/0039</t>
  </si>
  <si>
    <t>MPPUNE/0040</t>
  </si>
  <si>
    <t>MPPUNE/0041</t>
  </si>
  <si>
    <t>MPPUNE/0042</t>
  </si>
  <si>
    <t>26/MPPIB/INV0126</t>
  </si>
  <si>
    <t>26/MPPIB/INV0129</t>
  </si>
  <si>
    <t>26/MPPIB/INV0130</t>
  </si>
  <si>
    <t>26/MPPIB/INV0131</t>
  </si>
  <si>
    <t>S S R ENTERPRISES</t>
  </si>
  <si>
    <t>MHPV040</t>
  </si>
  <si>
    <t>MHPV042</t>
  </si>
  <si>
    <t>MHPV041</t>
  </si>
  <si>
    <t>MHPV043</t>
  </si>
  <si>
    <t>MHPV044</t>
  </si>
  <si>
    <t>MPPUNE/0043</t>
  </si>
  <si>
    <t xml:space="preserve">MPPUNE/0044 </t>
  </si>
  <si>
    <t>MPPUNE/0045</t>
  </si>
  <si>
    <t>26/MPPIB/INV0141</t>
  </si>
  <si>
    <t>26/MPPIB/INV0145</t>
  </si>
  <si>
    <t>26/MPPIB/INV0148</t>
  </si>
  <si>
    <t>20</t>
  </si>
  <si>
    <t>21</t>
  </si>
  <si>
    <t>22</t>
  </si>
  <si>
    <t>23</t>
  </si>
  <si>
    <t>19</t>
  </si>
  <si>
    <t>25-26/PUR/002316</t>
  </si>
  <si>
    <t>25-26/PUR/002317</t>
  </si>
  <si>
    <t>25-26/PUR/002318</t>
  </si>
  <si>
    <t>25-26/PUR/002319</t>
  </si>
  <si>
    <t>25-26/PUR/002321</t>
  </si>
  <si>
    <t>RAJENDRA SHYAMLAL</t>
  </si>
  <si>
    <t>Service Charges (Jun-25)</t>
  </si>
  <si>
    <t>Marketplace Purchases (IB)</t>
  </si>
  <si>
    <t>DD01K9466</t>
  </si>
  <si>
    <t>GJ15XX7161</t>
  </si>
  <si>
    <t>ULTRA CORPOTECH PRIVATE LIMITED</t>
  </si>
  <si>
    <t>27AADCP6808R1ZP</t>
  </si>
  <si>
    <t>MH27BX0052</t>
  </si>
  <si>
    <t>MH14CP5313</t>
  </si>
  <si>
    <t>SAVLI,Gujarat,391775</t>
  </si>
  <si>
    <t>MHPV045</t>
  </si>
  <si>
    <t>AUTOCOMP CORPORATION PANSE PRIVATE LIMITED</t>
  </si>
  <si>
    <t>MHPV046</t>
  </si>
  <si>
    <t>MHPV047</t>
  </si>
  <si>
    <t>MHPV048</t>
  </si>
  <si>
    <t>MHPV049</t>
  </si>
  <si>
    <t>MHPV050</t>
  </si>
  <si>
    <t>MHPV051</t>
  </si>
  <si>
    <t>MHPV052</t>
  </si>
  <si>
    <t>MHPV053</t>
  </si>
  <si>
    <t>MHPV054</t>
  </si>
  <si>
    <t>MHPV055</t>
  </si>
  <si>
    <t>MHPV056</t>
  </si>
  <si>
    <t>26/MPPIB/INV0177</t>
  </si>
  <si>
    <t>26/MPPIB/INV0152</t>
  </si>
  <si>
    <t>26/MPPIB/INV0153</t>
  </si>
  <si>
    <t>26/MPPIB/INV0155</t>
  </si>
  <si>
    <t>26/MPPIB/INV0162</t>
  </si>
  <si>
    <t>26/MPPIB/INV0178</t>
  </si>
  <si>
    <t xml:space="preserve"> MPPUNE/0050</t>
  </si>
  <si>
    <t>MPPUNE/0046</t>
  </si>
  <si>
    <t>MPPUNE/0047</t>
  </si>
  <si>
    <t>MPPUNE/0048</t>
  </si>
  <si>
    <t>MPPUNE/0049</t>
  </si>
  <si>
    <t>MPPUNE/0051</t>
  </si>
  <si>
    <t>As per Zoho(April-May)</t>
  </si>
  <si>
    <t>STAR DECONTAMINATION AND RECYCLING</t>
  </si>
  <si>
    <t>24AEDFS4100C1ZS</t>
  </si>
  <si>
    <t>MHPV057</t>
  </si>
  <si>
    <t>MPPUNE/0052</t>
  </si>
  <si>
    <t>MPPUNE/0053</t>
  </si>
  <si>
    <t>26/MPPIB/INV0179</t>
  </si>
  <si>
    <t>26/MPPIB/INV0187</t>
  </si>
  <si>
    <t>MHPV070</t>
  </si>
  <si>
    <t>MHPV060</t>
  </si>
  <si>
    <t>MHPV059</t>
  </si>
  <si>
    <t>MHPV061</t>
  </si>
  <si>
    <t>MHPV062</t>
  </si>
  <si>
    <t>MHPV067</t>
  </si>
  <si>
    <t>MHPV068</t>
  </si>
  <si>
    <t>MHPV063</t>
  </si>
  <si>
    <t>MHPV064</t>
  </si>
  <si>
    <t>MHPV065</t>
  </si>
  <si>
    <t>MHPV066</t>
  </si>
  <si>
    <t>MHPV069</t>
  </si>
  <si>
    <t>MHPV071</t>
  </si>
  <si>
    <t>MHPV058</t>
  </si>
  <si>
    <t>MH14GD0547</t>
  </si>
  <si>
    <t>MPPUNE/0054</t>
  </si>
  <si>
    <t>MPPUNE/0055</t>
  </si>
  <si>
    <t>26/MPPIB/INV0188</t>
  </si>
  <si>
    <t>26/MPPIB/INV0192</t>
  </si>
  <si>
    <t>MHPV073</t>
  </si>
  <si>
    <t>MHPV074</t>
  </si>
  <si>
    <t>MHPV072</t>
  </si>
  <si>
    <t>MHPV076</t>
  </si>
  <si>
    <t>MHPV075</t>
  </si>
  <si>
    <t>YASH GASES</t>
  </si>
  <si>
    <t>MHPV077</t>
  </si>
  <si>
    <t>MHPV078</t>
  </si>
  <si>
    <t>MHPV082</t>
  </si>
  <si>
    <t>MHPV081</t>
  </si>
  <si>
    <t>MHPV080</t>
  </si>
  <si>
    <t xml:space="preserve">MHPV079 </t>
  </si>
  <si>
    <t>26/MPPIB/INV0209</t>
  </si>
  <si>
    <t>MPPUNE/0056</t>
  </si>
  <si>
    <t>Operational Expenses</t>
  </si>
  <si>
    <t>Operational Cost</t>
  </si>
  <si>
    <t>Gross Margin (%)</t>
  </si>
  <si>
    <t>MHPV083</t>
  </si>
  <si>
    <t>MHPV084</t>
  </si>
  <si>
    <t>MHPV085</t>
  </si>
  <si>
    <t>GST/25-26/050</t>
  </si>
  <si>
    <t>25-26/PUR/002519</t>
  </si>
  <si>
    <t>MHPV086</t>
  </si>
  <si>
    <t>MHPV087</t>
  </si>
  <si>
    <t>MHPV088</t>
  </si>
  <si>
    <t>MHPV089</t>
  </si>
  <si>
    <t>MHPV090</t>
  </si>
  <si>
    <t>MHPV091</t>
  </si>
  <si>
    <t>MHPV092</t>
  </si>
  <si>
    <t>27/MPIB/26IN0001</t>
  </si>
  <si>
    <t>MPPUNE/0057</t>
  </si>
  <si>
    <t>24</t>
  </si>
  <si>
    <t>25-26/PUR/003381</t>
  </si>
  <si>
    <t>25</t>
  </si>
  <si>
    <t>25-26/PUR/003382</t>
  </si>
  <si>
    <t>26</t>
  </si>
  <si>
    <t>25-26/PUR/003383</t>
  </si>
  <si>
    <t>27</t>
  </si>
  <si>
    <t>25-26/PUR/003384</t>
  </si>
  <si>
    <t>28</t>
  </si>
  <si>
    <t>25-26/PUR/003389</t>
  </si>
  <si>
    <t>29</t>
  </si>
  <si>
    <t>25-26/PUR/003391</t>
  </si>
  <si>
    <t>CRC</t>
  </si>
  <si>
    <t>MS Scrap</t>
  </si>
  <si>
    <t>A18K</t>
  </si>
  <si>
    <t>Net Margin (%)</t>
  </si>
  <si>
    <t>27/MPIB/26IN0002</t>
  </si>
  <si>
    <t>27/MPIB/26IN0003</t>
  </si>
  <si>
    <t>MPPUNE/0058</t>
  </si>
  <si>
    <t>MPPUNE/0059</t>
  </si>
  <si>
    <t>MHPV093</t>
  </si>
  <si>
    <t>MHPV094</t>
  </si>
  <si>
    <t>MHPV095</t>
  </si>
  <si>
    <t>MHPV096</t>
  </si>
  <si>
    <t xml:space="preserve">MHPV097 </t>
  </si>
  <si>
    <t>MHPV098</t>
  </si>
  <si>
    <t>Buyer Metrics</t>
  </si>
  <si>
    <t>Supplier Metrics</t>
  </si>
  <si>
    <t>Marketplace Warehouse(IB)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</si>
  <si>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</si>
  <si>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</si>
  <si>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</si>
  <si>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</si>
  <si>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</si>
  <si>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</si>
  <si>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</si>
  <si>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</si>
  <si>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</si>
  <si>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</si>
  <si>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</si>
  <si>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Apr-25</t>
  </si>
  <si>
    <t>May-25</t>
  </si>
  <si>
    <t>Jun-25</t>
  </si>
  <si>
    <t>Till Date</t>
  </si>
  <si>
    <t>Inventory Details(MT)</t>
  </si>
  <si>
    <t>Purchase Qty</t>
  </si>
  <si>
    <t xml:space="preserve">Sale Qty </t>
  </si>
  <si>
    <t>Finance Cost</t>
  </si>
  <si>
    <t>Indirect Expences</t>
  </si>
  <si>
    <t>Labor charges</t>
  </si>
  <si>
    <t>SI No</t>
  </si>
  <si>
    <t>Financial Year</t>
  </si>
  <si>
    <t>CF.Voucher Date</t>
  </si>
  <si>
    <t>Source of Supply</t>
  </si>
  <si>
    <t>CF.Vehicle No</t>
  </si>
  <si>
    <t>Item Name</t>
  </si>
  <si>
    <t>Net</t>
  </si>
  <si>
    <t>Taxable Value/Basic Cost</t>
  </si>
  <si>
    <t>Sale Date</t>
  </si>
  <si>
    <t>LOT No</t>
  </si>
  <si>
    <t>Sale Invoice No</t>
  </si>
  <si>
    <t>Material Name</t>
  </si>
  <si>
    <t>Sale Taxable Value</t>
  </si>
  <si>
    <t>%</t>
  </si>
  <si>
    <t>Days</t>
  </si>
  <si>
    <t>Final Margin</t>
  </si>
  <si>
    <t>(%)</t>
  </si>
  <si>
    <t>Fy 2024-25</t>
  </si>
  <si>
    <t>002</t>
  </si>
  <si>
    <t>MH6100765970</t>
  </si>
  <si>
    <t>24-25/PUR/11922</t>
  </si>
  <si>
    <t>MH12EQ8475</t>
  </si>
  <si>
    <t>A13K</t>
  </si>
  <si>
    <t>B1244K</t>
  </si>
  <si>
    <t>25/MPPIB/INV0314</t>
  </si>
  <si>
    <t>Prajapati Foundry Private Limited</t>
  </si>
  <si>
    <t>MS Scrap (Casting)</t>
  </si>
  <si>
    <t>SH12241108</t>
  </si>
  <si>
    <t>MH6100797898</t>
  </si>
  <si>
    <t>24-25/PUR/11888</t>
  </si>
  <si>
    <t>MH16AY3962</t>
  </si>
  <si>
    <t>M7472K</t>
  </si>
  <si>
    <t>25/MPPIB/INV0322</t>
  </si>
  <si>
    <t>Kalyani Foundry Works</t>
  </si>
  <si>
    <t>SH12241106</t>
  </si>
  <si>
    <t>MH6100797313</t>
  </si>
  <si>
    <t>24-25/PUR/11879</t>
  </si>
  <si>
    <t>MH25U7780</t>
  </si>
  <si>
    <t>014</t>
  </si>
  <si>
    <t>MH6100675959</t>
  </si>
  <si>
    <t>24-25/PUR/11937</t>
  </si>
  <si>
    <t>MH04HD3353</t>
  </si>
  <si>
    <t>25/MPPIB/INV0331</t>
  </si>
  <si>
    <t>015</t>
  </si>
  <si>
    <t>MH6100675953</t>
  </si>
  <si>
    <t>24-25/PUR/11940</t>
  </si>
  <si>
    <t>MH48T2266</t>
  </si>
  <si>
    <t>011</t>
  </si>
  <si>
    <t>MH6100679114</t>
  </si>
  <si>
    <t>24-25/PUR/11933</t>
  </si>
  <si>
    <t>012</t>
  </si>
  <si>
    <t>MH6100679069</t>
  </si>
  <si>
    <t>24-25/PUR/11934</t>
  </si>
  <si>
    <t>25/MPPIB/INV0338</t>
  </si>
  <si>
    <t>010</t>
  </si>
  <si>
    <t>MH6100679115</t>
  </si>
  <si>
    <t>24-25/PUR/11932</t>
  </si>
  <si>
    <t>MH12MV6966</t>
  </si>
  <si>
    <t>013</t>
  </si>
  <si>
    <t>MH6100679113</t>
  </si>
  <si>
    <t>24-25/PUR/11936</t>
  </si>
  <si>
    <t>MH04HD3714</t>
  </si>
  <si>
    <t>25/MPPIB/INV0339</t>
  </si>
  <si>
    <t>007</t>
  </si>
  <si>
    <t>MH6100682260</t>
  </si>
  <si>
    <t>24-25/PUR/11929</t>
  </si>
  <si>
    <t>009</t>
  </si>
  <si>
    <t>MH6100681729</t>
  </si>
  <si>
    <t>24-25/PUR/11931</t>
  </si>
  <si>
    <t>25/MPPIB/INV0364</t>
  </si>
  <si>
    <t>Brass Scrap</t>
  </si>
  <si>
    <t>006</t>
  </si>
  <si>
    <t>MH6100683936</t>
  </si>
  <si>
    <t>24-25/PUR/11927</t>
  </si>
  <si>
    <t>25/MPPIB/INV0367</t>
  </si>
  <si>
    <t>MS Scrap (D2)</t>
  </si>
  <si>
    <t>003</t>
  </si>
  <si>
    <t>MH6100684403</t>
  </si>
  <si>
    <t>24-25/PUR/11924</t>
  </si>
  <si>
    <t>25/MPPIB/INV0378</t>
  </si>
  <si>
    <t>008</t>
  </si>
  <si>
    <t>MH6100683932</t>
  </si>
  <si>
    <t>24-25/PUR/11930</t>
  </si>
  <si>
    <t>25/MPPIB/INV0388</t>
  </si>
  <si>
    <t>004</t>
  </si>
  <si>
    <t>MH6100696842</t>
  </si>
  <si>
    <t>24-25/PUR/11925</t>
  </si>
  <si>
    <t>M&amp;M</t>
  </si>
  <si>
    <t>25/MPPIB/INV0392</t>
  </si>
  <si>
    <t>Defaced Light &amp; Heavy metallic Auto components</t>
  </si>
  <si>
    <t>005</t>
  </si>
  <si>
    <t>MH6100738334</t>
  </si>
  <si>
    <t>24-25/PUR/11926</t>
  </si>
  <si>
    <t>MH04DS3172</t>
  </si>
  <si>
    <t>25/MPPIB/INV0396</t>
  </si>
  <si>
    <t>Scrap Dismantled &amp; in cut size
structural steel</t>
  </si>
  <si>
    <t>001</t>
  </si>
  <si>
    <t>MH6100738357</t>
  </si>
  <si>
    <t>24-25/PUR/11920</t>
  </si>
  <si>
    <t>25/MPPIB/INV0402</t>
  </si>
  <si>
    <t>SH12241206</t>
  </si>
  <si>
    <t>MH6100801992</t>
  </si>
  <si>
    <t>24-25/PUR/11948</t>
  </si>
  <si>
    <t>25/MPPIB/INV0404</t>
  </si>
  <si>
    <t>SH12241203</t>
  </si>
  <si>
    <t>MH6100800792</t>
  </si>
  <si>
    <t>24-25/PUR/11923</t>
  </si>
  <si>
    <t>25/MPPIB/INV0405</t>
  </si>
  <si>
    <t>SH12241205</t>
  </si>
  <si>
    <t>MH6100801346</t>
  </si>
  <si>
    <t>24-25/PUR/11935</t>
  </si>
  <si>
    <t>25/MPPIB/INV0408</t>
  </si>
  <si>
    <t>SH12241207</t>
  </si>
  <si>
    <t>MH6100801966</t>
  </si>
  <si>
    <t>24-25/PUR/11951</t>
  </si>
  <si>
    <t>25/MPPIB/INV0415</t>
  </si>
  <si>
    <t>SH12241209</t>
  </si>
  <si>
    <t>MH6100802255</t>
  </si>
  <si>
    <t>24-25/PUR/11974</t>
  </si>
  <si>
    <t>25/MPPIB/INV0413</t>
  </si>
  <si>
    <t>SH12241304</t>
  </si>
  <si>
    <t>MH6100804983</t>
  </si>
  <si>
    <t>24-25/PUR/12027</t>
  </si>
  <si>
    <t>25/MPPIB/INV0414</t>
  </si>
  <si>
    <t>SH12241305</t>
  </si>
  <si>
    <t>MH6100805137</t>
  </si>
  <si>
    <t>24-25/PUR/12030</t>
  </si>
  <si>
    <t>25/MPPIB/INV0417</t>
  </si>
  <si>
    <t>SH12241303</t>
  </si>
  <si>
    <t>MH6100805001</t>
  </si>
  <si>
    <t>24-25/PUR/12026</t>
  </si>
  <si>
    <t>25/MPPIB/INV0419</t>
  </si>
  <si>
    <t>SH12241306</t>
  </si>
  <si>
    <t>MH6100806107</t>
  </si>
  <si>
    <t>24-25/PUR/12051</t>
  </si>
  <si>
    <t>A08D</t>
  </si>
  <si>
    <t>25/MPPIB/INV0439</t>
  </si>
  <si>
    <t>SH12241605</t>
  </si>
  <si>
    <t>MH6100815224</t>
  </si>
  <si>
    <t>24-25/PUR/12163</t>
  </si>
  <si>
    <t>25/MPPIB/INV0445</t>
  </si>
  <si>
    <t>SH12241604</t>
  </si>
  <si>
    <t>MH6100815239</t>
  </si>
  <si>
    <t>24-25/PUR/12162</t>
  </si>
  <si>
    <t>SH12241606</t>
  </si>
  <si>
    <t>MH6100815727</t>
  </si>
  <si>
    <t>24-25/PUR/12169</t>
  </si>
  <si>
    <t>SH122416013</t>
  </si>
  <si>
    <t>MH6100816338</t>
  </si>
  <si>
    <t>24-25/PUR/12178</t>
  </si>
  <si>
    <t>SH12241609</t>
  </si>
  <si>
    <t>MH6100816481</t>
  </si>
  <si>
    <t>24-25/PUR/12181</t>
  </si>
  <si>
    <t>SH12241603</t>
  </si>
  <si>
    <t>MH6100815252</t>
  </si>
  <si>
    <t>24-25/PUR/12161</t>
  </si>
  <si>
    <t>016</t>
  </si>
  <si>
    <t>MH6100839194</t>
  </si>
  <si>
    <t>24-25/PUR/12600</t>
  </si>
  <si>
    <t>MH43E6506</t>
  </si>
  <si>
    <t>017</t>
  </si>
  <si>
    <t>MH6100849488</t>
  </si>
  <si>
    <t>24-25/PUR/12599</t>
  </si>
  <si>
    <t>018</t>
  </si>
  <si>
    <t>MH6100872409</t>
  </si>
  <si>
    <t>24-25/PUR/12839</t>
  </si>
  <si>
    <t>MH20CT1813</t>
  </si>
  <si>
    <t>019</t>
  </si>
  <si>
    <t>MH0100930244</t>
  </si>
  <si>
    <t>24-25/PUR/13327</t>
  </si>
  <si>
    <t>MH04FP0466</t>
  </si>
  <si>
    <t>B514CA</t>
  </si>
  <si>
    <t>020</t>
  </si>
  <si>
    <t>MH0100935797</t>
  </si>
  <si>
    <t>24-25/PUR/13395</t>
  </si>
  <si>
    <t>021</t>
  </si>
  <si>
    <t>MH6100933162</t>
  </si>
  <si>
    <t>24-25/PUR/13441</t>
  </si>
  <si>
    <t>Scrap Gascut Aluminium</t>
  </si>
  <si>
    <t>B47K</t>
  </si>
  <si>
    <t>022</t>
  </si>
  <si>
    <t>MH0100963482</t>
  </si>
  <si>
    <t>24-25/PUR/13690</t>
  </si>
  <si>
    <t>MH04CG3578</t>
  </si>
  <si>
    <t>023</t>
  </si>
  <si>
    <t>MH0100971251</t>
  </si>
  <si>
    <t>24-25/PUR/13921</t>
  </si>
  <si>
    <t>024</t>
  </si>
  <si>
    <t>MH0100976626</t>
  </si>
  <si>
    <t>24-25/PUR/13922</t>
  </si>
  <si>
    <t>025</t>
  </si>
  <si>
    <t>MH0100981769</t>
  </si>
  <si>
    <t>24-25/PUR/13951</t>
  </si>
  <si>
    <t>027</t>
  </si>
  <si>
    <t>MH0100986998</t>
  </si>
  <si>
    <t>24-25/PUR/13997</t>
  </si>
  <si>
    <t>026</t>
  </si>
  <si>
    <t>MH0100986561</t>
  </si>
  <si>
    <t>24-25/PUR/13995</t>
  </si>
  <si>
    <t>028</t>
  </si>
  <si>
    <t>MH0100994936</t>
  </si>
  <si>
    <t>24-25/PUR/14078</t>
  </si>
  <si>
    <t>029</t>
  </si>
  <si>
    <t>MH0100994937</t>
  </si>
  <si>
    <t>24-25/PUR/14083</t>
  </si>
  <si>
    <t>030</t>
  </si>
  <si>
    <t>IN01252703032292</t>
  </si>
  <si>
    <t>24-25/PUR/15044</t>
  </si>
  <si>
    <t>031</t>
  </si>
  <si>
    <t>MH6101047235</t>
  </si>
  <si>
    <t>24-25/PUR/15075</t>
  </si>
  <si>
    <t>032</t>
  </si>
  <si>
    <t>27CTGPK8680K1ZZ</t>
  </si>
  <si>
    <t>2024-25/187</t>
  </si>
  <si>
    <t>24-25/PUR/16433</t>
  </si>
  <si>
    <t>DP</t>
  </si>
  <si>
    <t>Suyash</t>
  </si>
  <si>
    <t>MH6100033328</t>
  </si>
  <si>
    <t>25-26/PUR/000384</t>
  </si>
  <si>
    <t>Scrap Sheet Metal Components of M V Parts</t>
  </si>
  <si>
    <t>MH6100032869</t>
  </si>
  <si>
    <t>25-26/PUR/000385</t>
  </si>
  <si>
    <t>MH6100032867</t>
  </si>
  <si>
    <t>25-26/PUR/000387</t>
  </si>
  <si>
    <t>MH6100039365</t>
  </si>
  <si>
    <t>25-26/PUR/000461</t>
  </si>
  <si>
    <t>M7483K</t>
  </si>
  <si>
    <t>MH6100039387</t>
  </si>
  <si>
    <t>25-26/PUR/000464</t>
  </si>
  <si>
    <t>MH6100039409</t>
  </si>
  <si>
    <t>25-26/PUR/000468</t>
  </si>
  <si>
    <t>MH6100039398</t>
  </si>
  <si>
    <t>25-26/PUR/000471</t>
  </si>
  <si>
    <t>MH0100036957</t>
  </si>
  <si>
    <t>25-26/PUR/000525</t>
  </si>
  <si>
    <t>MH0100037186</t>
  </si>
  <si>
    <t>25-26/PUR/000524</t>
  </si>
  <si>
    <t>MH6100053342</t>
  </si>
  <si>
    <t>25-26/PUR/000600</t>
  </si>
  <si>
    <t xml:space="preserve">MH14AS7113	</t>
  </si>
  <si>
    <t>MH6100053369</t>
  </si>
  <si>
    <t>25-26/PUR/000599</t>
  </si>
  <si>
    <t>MH6100053345</t>
  </si>
  <si>
    <t>25-26/PUR/000601</t>
  </si>
  <si>
    <t>MH6100055585</t>
  </si>
  <si>
    <t>25-26/PUR/000628</t>
  </si>
  <si>
    <t>MH6100056182</t>
  </si>
  <si>
    <t>25-26/PUR/000632</t>
  </si>
  <si>
    <t>MH04FP7381</t>
  </si>
  <si>
    <t>MH6100060279</t>
  </si>
  <si>
    <t>25-26/PUR/000734</t>
  </si>
  <si>
    <t>MH6100059896</t>
  </si>
  <si>
    <t>25-26/PUR/000736</t>
  </si>
  <si>
    <t>MH6100084150</t>
  </si>
  <si>
    <t>25-26/PUR/001035</t>
  </si>
  <si>
    <t>MH6100083755</t>
  </si>
  <si>
    <t>25-26/PUR/001023</t>
  </si>
  <si>
    <t>MH0100079674</t>
  </si>
  <si>
    <t>25-26/PUR/001101</t>
  </si>
  <si>
    <t>MH0100080683</t>
  </si>
  <si>
    <t>25-26/PUR/001146</t>
  </si>
  <si>
    <t>MH6100099017</t>
  </si>
  <si>
    <t>25-26/PUR/001210</t>
  </si>
  <si>
    <t xml:space="preserve">MH19J3849	</t>
  </si>
  <si>
    <t>MH6100099024</t>
  </si>
  <si>
    <t>25-26/PUR/001221</t>
  </si>
  <si>
    <t>MH6100099176</t>
  </si>
  <si>
    <t>25-26/PUR/001222</t>
  </si>
  <si>
    <t>MH12FZ3839</t>
  </si>
  <si>
    <t>MH6100102261</t>
  </si>
  <si>
    <t>25-26/PUR/001272</t>
  </si>
  <si>
    <t>MH6100102937</t>
  </si>
  <si>
    <t>25-26/PUR/001274</t>
  </si>
  <si>
    <t>27ABFFS1168K1ZV</t>
  </si>
  <si>
    <t>25-26/PUR/001424</t>
  </si>
  <si>
    <t>MH43E8288</t>
  </si>
  <si>
    <t>MH6100109888</t>
  </si>
  <si>
    <t>25-26/PUR/001437</t>
  </si>
  <si>
    <t>MH6100110459</t>
  </si>
  <si>
    <t>25-26/PUR/001447</t>
  </si>
  <si>
    <t>MH6100117271</t>
  </si>
  <si>
    <t>25-26/PUR/001573</t>
  </si>
  <si>
    <t>MH0100114662</t>
  </si>
  <si>
    <t>25-26/PUR/001637</t>
  </si>
  <si>
    <t>MH6100135881</t>
  </si>
  <si>
    <t>25-26/PUR/001790</t>
  </si>
  <si>
    <t>MH6100135639</t>
  </si>
  <si>
    <t>25-26/PUR/001778</t>
  </si>
  <si>
    <t>MH6100142704</t>
  </si>
  <si>
    <t>25-26/PUR/001858</t>
  </si>
  <si>
    <t>MH6100143150</t>
  </si>
  <si>
    <t>25-26/PUR/001870</t>
  </si>
  <si>
    <t>MH14DM7761</t>
  </si>
  <si>
    <t>MH0100138293</t>
  </si>
  <si>
    <t>25-26/PUR/001893</t>
  </si>
  <si>
    <t>MH6100151811</t>
  </si>
  <si>
    <t>25-26/PUR/001958</t>
  </si>
  <si>
    <t>MH6100162608</t>
  </si>
  <si>
    <t>25-26/PUR/002088</t>
  </si>
  <si>
    <t>MH6100165666</t>
  </si>
  <si>
    <t>25-26/PUR/002136</t>
  </si>
  <si>
    <t>MH6100166138</t>
  </si>
  <si>
    <t>25-26/PUR/002137</t>
  </si>
  <si>
    <t>MH14CP7057</t>
  </si>
  <si>
    <t>MH6100174335</t>
  </si>
  <si>
    <t>25-26/PUR/002246</t>
  </si>
  <si>
    <t>MH6100185373</t>
  </si>
  <si>
    <t>25-26/PUR/002376</t>
  </si>
  <si>
    <t>MH6100185544</t>
  </si>
  <si>
    <t>25-26/PUR/002377</t>
  </si>
  <si>
    <t>MH04FJ7949</t>
  </si>
  <si>
    <t>MH0100190160</t>
  </si>
  <si>
    <t>25-26/PUR/002413</t>
  </si>
  <si>
    <t>MH0100189081</t>
  </si>
  <si>
    <t>25-26/PUR/002414</t>
  </si>
  <si>
    <t>27AAFCA6224N1ZG</t>
  </si>
  <si>
    <t>25-26/PUR/002575</t>
  </si>
  <si>
    <t>25-26/PUR/002577</t>
  </si>
  <si>
    <t>25-26/PUR/002589</t>
  </si>
  <si>
    <t>25-26/PUR/002590</t>
  </si>
  <si>
    <t>25-26/PUR/002602</t>
  </si>
  <si>
    <t>25-26/PUR/002635</t>
  </si>
  <si>
    <t>25-26/PUR/002655</t>
  </si>
  <si>
    <t>25-26/PUR/002654</t>
  </si>
  <si>
    <t>25-26/PUR/002772</t>
  </si>
  <si>
    <t>25-26/PUR/002774</t>
  </si>
  <si>
    <t>25-26/PUR/002798</t>
  </si>
  <si>
    <t>25-26/PUR/002797</t>
  </si>
  <si>
    <t>25-26/PUR/002903</t>
  </si>
  <si>
    <t>MH0100229812</t>
  </si>
  <si>
    <t>25-26/PUR/002959</t>
  </si>
  <si>
    <t>25-26/PUR/002962</t>
  </si>
  <si>
    <t>25-26/PUR/002963</t>
  </si>
  <si>
    <t>25-26/PUR/002964</t>
  </si>
  <si>
    <t>GST/25-26/024</t>
  </si>
  <si>
    <t>25-26/PUR/002972</t>
  </si>
  <si>
    <t>MH14BJ2933</t>
  </si>
  <si>
    <t>GST/25-26/020</t>
  </si>
  <si>
    <t>25-26/PUR/002973</t>
  </si>
  <si>
    <t>GST/25-26/021</t>
  </si>
  <si>
    <t>25-26/PUR/002979</t>
  </si>
  <si>
    <t>GST/25-26/022</t>
  </si>
  <si>
    <t>25-26/PUR/002980</t>
  </si>
  <si>
    <t>MH04FJ8427</t>
  </si>
  <si>
    <t>GST/25-26/023</t>
  </si>
  <si>
    <t>25-26/PUR/002981</t>
  </si>
  <si>
    <t>MH14FT2009</t>
  </si>
  <si>
    <t>GST/25-26/025</t>
  </si>
  <si>
    <t>25-26/PUR/002983</t>
  </si>
  <si>
    <t>GST/25-26/026</t>
  </si>
  <si>
    <t>25-26/PUR/002984</t>
  </si>
  <si>
    <t>UP32UN8579</t>
  </si>
  <si>
    <t>MH6100232271</t>
  </si>
  <si>
    <t>25-26/PUR/002993</t>
  </si>
  <si>
    <t>MH43Y5101</t>
  </si>
  <si>
    <t>25-26/PUR/002995</t>
  </si>
  <si>
    <t>25-26/PUR/002996</t>
  </si>
  <si>
    <t>25-26/PUR/003060</t>
  </si>
  <si>
    <t>25-26/PUR/003073</t>
  </si>
  <si>
    <t>25-26/PUR/003105</t>
  </si>
  <si>
    <t>25-26/PUR/003126</t>
  </si>
  <si>
    <t>MH12MV7637</t>
  </si>
  <si>
    <t>25-26/PUR/003125</t>
  </si>
  <si>
    <t>MH6100244471</t>
  </si>
  <si>
    <t>25-26/PUR/003143</t>
  </si>
  <si>
    <t>25-26/PUR/003144</t>
  </si>
  <si>
    <t>25-26/PUR/003243</t>
  </si>
  <si>
    <t>25-26/PUR/003236</t>
  </si>
  <si>
    <t>25-26/PUR/003244</t>
  </si>
  <si>
    <t>25-26/PUR/003237</t>
  </si>
  <si>
    <t>MH04EL5352</t>
  </si>
  <si>
    <t>25-26/PUR/003302</t>
  </si>
  <si>
    <t>MH12NX4313</t>
  </si>
  <si>
    <t>25-26/PUR/003339</t>
  </si>
  <si>
    <t>25-26/PUR/003423</t>
  </si>
  <si>
    <t>MH6100261361</t>
  </si>
  <si>
    <t>25-26/PUR/003422</t>
  </si>
  <si>
    <t>MH6100262168</t>
  </si>
  <si>
    <t>25-26/PUR/003424</t>
  </si>
  <si>
    <t>25-26/PUR/003447</t>
  </si>
  <si>
    <t>MH0100261957</t>
  </si>
  <si>
    <t>25-26/PUR/003448</t>
  </si>
  <si>
    <t>25-26/PUR/003450</t>
  </si>
  <si>
    <t>25-26/PUR/003467</t>
  </si>
  <si>
    <t>3</t>
  </si>
  <si>
    <t>25-26/PUR/003271</t>
  </si>
  <si>
    <t>As per MIS</t>
  </si>
  <si>
    <t>As per report</t>
  </si>
  <si>
    <t>As per Zoho(Fy 2024-25)</t>
  </si>
  <si>
    <t>As per Zoho(Fy 2025-26)</t>
  </si>
  <si>
    <t>Account</t>
  </si>
  <si>
    <t>Travel Expense (Conveyance)</t>
  </si>
  <si>
    <t>Operational</t>
  </si>
  <si>
    <t>Travel Expense (Lodging)</t>
  </si>
  <si>
    <t>Travel Expense (Fare)</t>
  </si>
  <si>
    <t>Travel Expense (Boarding)</t>
  </si>
  <si>
    <t>Other Expenses</t>
  </si>
  <si>
    <t>Office Maintenance</t>
  </si>
  <si>
    <t>Warehouse Maintenance Expenses</t>
  </si>
  <si>
    <t>Water Expenses</t>
  </si>
  <si>
    <t>Computers, Laptops &amp; Other Acc</t>
  </si>
  <si>
    <t>Office Equipment</t>
  </si>
  <si>
    <t>Prepaid Expenses-Short Term</t>
  </si>
  <si>
    <t>Electricity Expenses</t>
  </si>
  <si>
    <t>Printing and Stationery Exp</t>
  </si>
  <si>
    <t>Plant &amp; Machinery</t>
  </si>
  <si>
    <t>MH11AL4416</t>
  </si>
  <si>
    <t>MHPV099</t>
  </si>
  <si>
    <t>MHPV100</t>
  </si>
  <si>
    <t>MHPV101</t>
  </si>
  <si>
    <t>MHPV102</t>
  </si>
  <si>
    <t>MHPV103</t>
  </si>
  <si>
    <t>MHPV104</t>
  </si>
  <si>
    <t>MHPV105</t>
  </si>
  <si>
    <t>MHPV106</t>
  </si>
  <si>
    <t>MHPV107</t>
  </si>
  <si>
    <t>MHPV108</t>
  </si>
  <si>
    <t>MHPV109</t>
  </si>
  <si>
    <t>MHPV110</t>
  </si>
  <si>
    <t>MHPV111</t>
  </si>
  <si>
    <t>MHPV112</t>
  </si>
  <si>
    <t>MHPV113</t>
  </si>
  <si>
    <t>MHPV114</t>
  </si>
  <si>
    <t>MPPUNE/0060</t>
  </si>
  <si>
    <t xml:space="preserve">MPPUNE/0061 </t>
  </si>
  <si>
    <t>MPPUNE/0062</t>
  </si>
  <si>
    <t>27/MPIB/26IN0004</t>
  </si>
  <si>
    <t>27/MPIB/26IN0005</t>
  </si>
  <si>
    <t>27/MPIB/26IN0006</t>
  </si>
  <si>
    <t>25-26/PUR/003553</t>
  </si>
  <si>
    <t>25-26/PUR/003554</t>
  </si>
  <si>
    <t>25-26/PUR/003555</t>
  </si>
  <si>
    <t>25-26/PUR/003593</t>
  </si>
  <si>
    <t>25-26/PUR/003594</t>
  </si>
  <si>
    <t>25-26/PUR/003595</t>
  </si>
  <si>
    <t>25-26/PUR/003663</t>
  </si>
  <si>
    <t>25-26/PUR/003666</t>
  </si>
  <si>
    <t>25-26/PUR/003725</t>
  </si>
  <si>
    <t>MH14EM9570</t>
  </si>
  <si>
    <t>25-26/PUR/003778</t>
  </si>
  <si>
    <t>25-26/PUR/003779</t>
  </si>
  <si>
    <t>MH14KQ2163</t>
  </si>
  <si>
    <t>25-26/PUR/003780</t>
  </si>
  <si>
    <t>MH48AY3934</t>
  </si>
  <si>
    <t>25-26/PUR/003781</t>
  </si>
  <si>
    <t>MH04DK8118</t>
  </si>
  <si>
    <t>MH6100292004</t>
  </si>
  <si>
    <t>25-26/PUR/003783</t>
  </si>
  <si>
    <t>MH6100293309</t>
  </si>
  <si>
    <t>25-26/PUR/003784</t>
  </si>
  <si>
    <t>25-26/PUR/003791</t>
  </si>
  <si>
    <t>MH14KA5573</t>
  </si>
  <si>
    <t>25-26/PUR/003846</t>
  </si>
  <si>
    <t>25-26/PUR/003849</t>
  </si>
  <si>
    <t>MH14EM7560</t>
  </si>
  <si>
    <t>25-26/PUR/003850</t>
  </si>
  <si>
    <t>MH10Z3719</t>
  </si>
  <si>
    <t>25-26/PUR/003851</t>
  </si>
  <si>
    <t>25-26/PUR/003852</t>
  </si>
  <si>
    <t>25-26/PUR/003857</t>
  </si>
  <si>
    <t>Reimbursement - Rajshekhar Mallinath Chendake (RT0718)</t>
  </si>
  <si>
    <t>Reimbursement - Tanuj Manoj Chhajer (RT0681)</t>
  </si>
  <si>
    <t>MAHARASTRA STATE ELECTRICITY DISTRIBUTION CO LTD</t>
  </si>
  <si>
    <t>SONKAMBLE SANJAY VANKATI</t>
  </si>
  <si>
    <t>TECHNO HYDRAULIC WORKS</t>
  </si>
  <si>
    <t>Swami Samarth Trading</t>
  </si>
  <si>
    <t>SHIV SHANKAR</t>
  </si>
  <si>
    <t>Amazon Seller services Pvt Ltd</t>
  </si>
  <si>
    <t>IFFCO TOKIO GENERAL INSURANCE COMPANY LTD</t>
  </si>
  <si>
    <t>SANKET SAMBHAJI BHALEKAR</t>
  </si>
  <si>
    <t>MAHALAXMI ENTERPRISES</t>
  </si>
  <si>
    <t>SONAWANE AMOL RAGHUNATH</t>
  </si>
  <si>
    <t>U S COMPUTERS</t>
  </si>
  <si>
    <t>TITAN MATERIALS HANDLING PRIVATE LIMITED</t>
  </si>
  <si>
    <t>R.S TRADING &amp; MANUFACTURING COMPANY</t>
  </si>
  <si>
    <t>YASHWANT ENTERPRISES</t>
  </si>
  <si>
    <t>BATHE PRALHAD SOPAN</t>
  </si>
  <si>
    <t>7242</t>
  </si>
  <si>
    <t>7381</t>
  </si>
  <si>
    <t>7501</t>
  </si>
  <si>
    <t>7443</t>
  </si>
  <si>
    <t>7444</t>
  </si>
  <si>
    <t>7334</t>
  </si>
  <si>
    <t>7325</t>
  </si>
  <si>
    <t>7676</t>
  </si>
  <si>
    <t>7672</t>
  </si>
  <si>
    <t>7962</t>
  </si>
  <si>
    <t>7985</t>
  </si>
  <si>
    <t>8085</t>
  </si>
  <si>
    <t>5514</t>
  </si>
  <si>
    <t>5517</t>
  </si>
  <si>
    <t>000002603543344</t>
  </si>
  <si>
    <t>Mumbai Office expense-5</t>
  </si>
  <si>
    <t>5554</t>
  </si>
  <si>
    <t>5550</t>
  </si>
  <si>
    <t>5599</t>
  </si>
  <si>
    <t>5601</t>
  </si>
  <si>
    <t>5651</t>
  </si>
  <si>
    <t>5653</t>
  </si>
  <si>
    <t>Mumbai Office expense-6</t>
  </si>
  <si>
    <t>5750</t>
  </si>
  <si>
    <t>5761</t>
  </si>
  <si>
    <t>5794</t>
  </si>
  <si>
    <t>000002643915888</t>
  </si>
  <si>
    <t>5798</t>
  </si>
  <si>
    <t>5801</t>
  </si>
  <si>
    <t>038</t>
  </si>
  <si>
    <t>041</t>
  </si>
  <si>
    <t>5875</t>
  </si>
  <si>
    <t>5972</t>
  </si>
  <si>
    <t>000002679272649</t>
  </si>
  <si>
    <t>6098</t>
  </si>
  <si>
    <t>6100</t>
  </si>
  <si>
    <t>6272</t>
  </si>
  <si>
    <t>6300</t>
  </si>
  <si>
    <t>6291</t>
  </si>
  <si>
    <t>02021429118_wifi</t>
  </si>
  <si>
    <t>6369</t>
  </si>
  <si>
    <t>6370</t>
  </si>
  <si>
    <t>000002715047578</t>
  </si>
  <si>
    <t>6980</t>
  </si>
  <si>
    <t>000002797021769</t>
  </si>
  <si>
    <t>184</t>
  </si>
  <si>
    <t>7033</t>
  </si>
  <si>
    <t>7073</t>
  </si>
  <si>
    <t>7048</t>
  </si>
  <si>
    <t>7052</t>
  </si>
  <si>
    <t>7216</t>
  </si>
  <si>
    <t>506</t>
  </si>
  <si>
    <t>1</t>
  </si>
  <si>
    <t>000002827473019</t>
  </si>
  <si>
    <t>Reimbursement-1</t>
  </si>
  <si>
    <t>000002830143107</t>
  </si>
  <si>
    <t>VSRX-407</t>
  </si>
  <si>
    <t>SBOB-39010</t>
  </si>
  <si>
    <t>2</t>
  </si>
  <si>
    <t>44482770</t>
  </si>
  <si>
    <t>12918991</t>
  </si>
  <si>
    <t>12920931</t>
  </si>
  <si>
    <t>Reimbursement-2</t>
  </si>
  <si>
    <t>000002869993010</t>
  </si>
  <si>
    <t>565</t>
  </si>
  <si>
    <t>000002906126730</t>
  </si>
  <si>
    <t>052</t>
  </si>
  <si>
    <t>58</t>
  </si>
  <si>
    <t>407</t>
  </si>
  <si>
    <t>056</t>
  </si>
  <si>
    <t>99</t>
  </si>
  <si>
    <t>065</t>
  </si>
  <si>
    <t>US/22-23/032</t>
  </si>
  <si>
    <t>447</t>
  </si>
  <si>
    <t>128</t>
  </si>
  <si>
    <t>Reimbursement-6</t>
  </si>
  <si>
    <t>156</t>
  </si>
  <si>
    <t>157</t>
  </si>
  <si>
    <t>6506</t>
  </si>
  <si>
    <t>6512</t>
  </si>
  <si>
    <t>000002710393977</t>
  </si>
  <si>
    <t>SBOB-125591</t>
  </si>
  <si>
    <t>453</t>
  </si>
  <si>
    <t>000002764945588</t>
  </si>
  <si>
    <t>000002754866960</t>
  </si>
  <si>
    <t>6684</t>
  </si>
  <si>
    <t>147</t>
  </si>
  <si>
    <t>154</t>
  </si>
  <si>
    <t>183</t>
  </si>
  <si>
    <t>April-2025</t>
  </si>
  <si>
    <t>Reimbursement-3</t>
  </si>
  <si>
    <t>May-2025</t>
  </si>
  <si>
    <t>Reimbursement-8</t>
  </si>
  <si>
    <t>Reimbursement-4</t>
  </si>
  <si>
    <t>Reimbursement-5</t>
  </si>
  <si>
    <t>Reimbursement-7</t>
  </si>
  <si>
    <t>Reimbursement</t>
  </si>
  <si>
    <t>38</t>
  </si>
  <si>
    <t>41</t>
  </si>
  <si>
    <t>43</t>
  </si>
  <si>
    <t>January-2025</t>
  </si>
  <si>
    <t>February-2025</t>
  </si>
  <si>
    <t>45</t>
  </si>
  <si>
    <t>Reimbursement-9</t>
  </si>
  <si>
    <t>March-2025</t>
  </si>
  <si>
    <t>Reimbursement-10</t>
  </si>
  <si>
    <t>Local Conveyance Expense</t>
  </si>
  <si>
    <t>Consulting Charges (Marketplace)</t>
  </si>
  <si>
    <t>Rent Expenses (Pune Warehouse)</t>
  </si>
  <si>
    <t>Hyperlocal Centers</t>
  </si>
  <si>
    <t>Pune Warehouse (Bathewasti)</t>
  </si>
  <si>
    <t>25-26/PUR/000084</t>
  </si>
  <si>
    <t>25-26/PUR/000510</t>
  </si>
  <si>
    <t>25-26/PUR/000910</t>
  </si>
  <si>
    <t>25-26/PUR/001075</t>
  </si>
  <si>
    <t>25-26/PUR/001080</t>
  </si>
  <si>
    <t>25-26/PUR/001081</t>
  </si>
  <si>
    <t>25-26/PUR/001084</t>
  </si>
  <si>
    <t>25-26/PUR/001775</t>
  </si>
  <si>
    <t>25-26/PUR/002276</t>
  </si>
  <si>
    <t>25-26/PUR/003251</t>
  </si>
  <si>
    <t>25-26/PUR/003178</t>
  </si>
  <si>
    <t>25-26/PUR/003768</t>
  </si>
  <si>
    <t>24-25/PUR/09453</t>
  </si>
  <si>
    <t>24-25/PUR/09456</t>
  </si>
  <si>
    <t>24-25/PUR/09494</t>
  </si>
  <si>
    <t>24-25/PUR/09525</t>
  </si>
  <si>
    <t>24-25/PUR/09619</t>
  </si>
  <si>
    <t>24-25/PUR/09620</t>
  </si>
  <si>
    <t>24-25/PUR/09823</t>
  </si>
  <si>
    <t>24-25/PUR/09826</t>
  </si>
  <si>
    <t>24-25/PUR/10048</t>
  </si>
  <si>
    <t>24-25/PUR/10049</t>
  </si>
  <si>
    <t>24-25/PUR/10091</t>
  </si>
  <si>
    <t>24-25/PUR/10279</t>
  </si>
  <si>
    <t>24-25/PUR/10285</t>
  </si>
  <si>
    <t>24-25/PUR/10312</t>
  </si>
  <si>
    <t>24-25/PUR/10423</t>
  </si>
  <si>
    <t>24-25/PUR/10474</t>
  </si>
  <si>
    <t>24-25/PUR/10476</t>
  </si>
  <si>
    <t>24-25/PUR/10504</t>
  </si>
  <si>
    <t>24-25/PUR/10709</t>
  </si>
  <si>
    <t>24-25/PUR/10741</t>
  </si>
  <si>
    <t>24-25/PUR/11423</t>
  </si>
  <si>
    <t>24-25/PUR/12243</t>
  </si>
  <si>
    <t>24-25/PUR/12395</t>
  </si>
  <si>
    <t>24-25/PUR/12396</t>
  </si>
  <si>
    <t>24-25/PUR/12523</t>
  </si>
  <si>
    <t>24-25/PUR/12732</t>
  </si>
  <si>
    <t>24-25/PUR/12733</t>
  </si>
  <si>
    <t>24-25/PUR/13129</t>
  </si>
  <si>
    <t>24-25/PUR/13439</t>
  </si>
  <si>
    <t>24-25/PUR/13442</t>
  </si>
  <si>
    <t>24-25/PUR/13469</t>
  </si>
  <si>
    <t>24-25/PUR/15703</t>
  </si>
  <si>
    <t>24-25/PUR/16066</t>
  </si>
  <si>
    <t>24-25/PUR/16214</t>
  </si>
  <si>
    <t>24-25/PUR/16252</t>
  </si>
  <si>
    <t>24-25/PUR/16253</t>
  </si>
  <si>
    <t>24-25/PUR/16318</t>
  </si>
  <si>
    <t>24-25/PUR/16319</t>
  </si>
  <si>
    <t>24-25/PUR/16801</t>
  </si>
  <si>
    <t>25-26/PUR/000341</t>
  </si>
  <si>
    <t>25-26/PUR/000348</t>
  </si>
  <si>
    <t>25-26/PUR/001066</t>
  </si>
  <si>
    <t>25-26/PUR/000828</t>
  </si>
  <si>
    <t>25-26/PUR/001067</t>
  </si>
  <si>
    <t>25-26/PUR/001348</t>
  </si>
  <si>
    <t>25-26/PUR/001349</t>
  </si>
  <si>
    <t>25-26/PUR/001337</t>
  </si>
  <si>
    <t>25-26/PUR/001712</t>
  </si>
  <si>
    <t>25-26/PUR/001714</t>
  </si>
  <si>
    <t>25-26/PUR/001715</t>
  </si>
  <si>
    <t>25-26/PUR/001555</t>
  </si>
  <si>
    <t>25-26/PUR/001996</t>
  </si>
  <si>
    <t>25-26/PUR/002775</t>
  </si>
  <si>
    <t>25-26/PUR/002776</t>
  </si>
  <si>
    <t>25-26/PUR/003543</t>
  </si>
  <si>
    <t>24-25/PUR/10746</t>
  </si>
  <si>
    <t>24-25/PUR/11361</t>
  </si>
  <si>
    <t>24-25/PUR/11870</t>
  </si>
  <si>
    <t>24-25/PUR/12136</t>
  </si>
  <si>
    <t>24-25/PUR/12273</t>
  </si>
  <si>
    <t>24-25/PUR/12241</t>
  </si>
  <si>
    <t>24-25/PUR/12725</t>
  </si>
  <si>
    <t>24-25/PUR/12811</t>
  </si>
  <si>
    <t>24-25/PUR/13023</t>
  </si>
  <si>
    <t>24-25/PUR/13131</t>
  </si>
  <si>
    <t>24-25/PUR/13451</t>
  </si>
  <si>
    <t>24-25/PUR/13619</t>
  </si>
  <si>
    <t>24-25/PUR/13638</t>
  </si>
  <si>
    <t>24-25/PUR/13913</t>
  </si>
  <si>
    <t>24-25/PUR/13914</t>
  </si>
  <si>
    <t>24-25/PUR/13952</t>
  </si>
  <si>
    <t>24-25/PUR/14631</t>
  </si>
  <si>
    <t>24-25/PUR/14775</t>
  </si>
  <si>
    <t>24-25/PUR/14799</t>
  </si>
  <si>
    <t>24-25/PUR/14800</t>
  </si>
  <si>
    <t>24-25/PUR/14835</t>
  </si>
  <si>
    <t>24-25/PUR/14958</t>
  </si>
  <si>
    <t>24-25/PUR/14991</t>
  </si>
  <si>
    <t>24-25/PUR/15612</t>
  </si>
  <si>
    <t>24-25/PUR/15613</t>
  </si>
  <si>
    <t>24-25/PUR/16036</t>
  </si>
  <si>
    <t>25-26/PUR/000350</t>
  </si>
  <si>
    <t>25-26/PUR/001297</t>
  </si>
  <si>
    <t>25-26/PUR/001353</t>
  </si>
  <si>
    <t>25-26/PUR/002275</t>
  </si>
  <si>
    <t>25-26/PUR/002506</t>
  </si>
  <si>
    <t>24-25/PUR/14521</t>
  </si>
  <si>
    <t>25-26/PUR/002717</t>
  </si>
  <si>
    <t>25-26/PUR/002779</t>
  </si>
  <si>
    <t>25-26/PUR/003052</t>
  </si>
  <si>
    <t>25-26/PUR/003309</t>
  </si>
  <si>
    <t>25-26/PUR/003655</t>
  </si>
  <si>
    <t>24-25/PUR/11440</t>
  </si>
  <si>
    <t>24-25/PUR/11441</t>
  </si>
  <si>
    <t>24-25/PUR/11442</t>
  </si>
  <si>
    <t>24-25/PUR/11900</t>
  </si>
  <si>
    <t>24-25/PUR/12294</t>
  </si>
  <si>
    <t>24-25/PUR/12736</t>
  </si>
  <si>
    <t>24-25/PUR/12857</t>
  </si>
  <si>
    <t>24-25/PUR/12946</t>
  </si>
  <si>
    <t>24-25/PUR/13994</t>
  </si>
  <si>
    <t>24-25/PUR/14792</t>
  </si>
  <si>
    <t>24-25/PUR/15382</t>
  </si>
  <si>
    <t>24-25/PUR/15383</t>
  </si>
  <si>
    <t>24-25/PUR/15567</t>
  </si>
  <si>
    <t>24-25/PUR/16096</t>
  </si>
  <si>
    <t>24-25/PUR/16655</t>
  </si>
  <si>
    <t>24-25/PUR/16702</t>
  </si>
  <si>
    <t>Vendor Notes</t>
  </si>
  <si>
    <t>Food expenses for 2 persons ( Tanuj, Amit butolia )</t>
  </si>
  <si>
    <t>for two days 13 &amp; 14 may 25</t>
  </si>
  <si>
    <t xml:space="preserve">Visited ACPPL Chakan for lifting the material
</t>
  </si>
  <si>
    <t>Bill accounted for the electricity expenses for the Month of Septemebr-2024</t>
  </si>
  <si>
    <t xml:space="preserve">Bill accounted against the Mumbai office militance expenses for the month of September-24 </t>
  </si>
  <si>
    <t xml:space="preserve">Bill accounted against the Mumbai office militance expenses for the month of Pooja and office maintanance-24 </t>
  </si>
  <si>
    <t>Bill accounted for the electricity expenses for the Month of October-2024</t>
  </si>
  <si>
    <t>Food bills for 6days.</t>
  </si>
  <si>
    <t>Bill accounted against the Electrical material and installation</t>
  </si>
  <si>
    <t>Bill accounted for the electricity expenses for the Month of November-2024</t>
  </si>
  <si>
    <t>Food expense for 15 days.</t>
  </si>
  <si>
    <t>Food expense for 3 days.</t>
  </si>
  <si>
    <t>Bill accounted against the internet expenses.</t>
  </si>
  <si>
    <t>Food expense for 16days.</t>
  </si>
  <si>
    <t>Bill accounted for the electricity expenses for the Month of December-2024</t>
  </si>
  <si>
    <t>Bill accounted for the electricity expenses for the Month of Feb-2025</t>
  </si>
  <si>
    <t>Bill accounted against the Purchase of Hydraulic Baling Machine for Pune Warehouse.</t>
  </si>
  <si>
    <t>Bill accounted against the Water Supply as Pune Warehouse.</t>
  </si>
  <si>
    <t>Bill accounted against the Consultancy charges payment of Pune warehouse fro The month of March-2025</t>
  </si>
  <si>
    <t>Bill accounted for the electricity expenses for the Month of March-2025</t>
  </si>
  <si>
    <t xml:space="preserve">Bill accounted against the Warehouse Maintenance charges. </t>
  </si>
  <si>
    <t>Bill accounted Blue Star Water Dispenser with Refrigerator -
Black Color,14 Litre | B0999P3T1R</t>
  </si>
  <si>
    <t>Bill accounted Blue Star 1 Ton 3 Star, 60 Months Warranty, Inverter Split
AC (Copper, Convertible 5 in 1 Cooling, Multi Sensors,Blue
Fins, Self Diagnosis, IE312YNU, White) | B0DBLK94GW</t>
  </si>
  <si>
    <t>Bill accounted against the Consultancy charges payment of Pune warehouse fro The month of April-2025</t>
  </si>
  <si>
    <t>Bill accounted against the BURGLARY AND HOUSE BREAKING INSURANCE 
Prepaid: Other General insurance period:28/03/2025 to 27/03/2026</t>
  </si>
  <si>
    <t>Bill accounted against the BHARAT SOOKSHMA UDYAM SURAKSHA
Prepaid: Other General insurance period:28/03/2025 to 27/03/2026</t>
  </si>
  <si>
    <t>Bill accounted for the electricity expenses for the Month of April-2025</t>
  </si>
  <si>
    <t>Bill accounted against the Consultancy charges payment of Pune warehouse fro The month of May-2025</t>
  </si>
  <si>
    <t>Bill accounted for the electricity expenses for the Month of May-2025</t>
  </si>
  <si>
    <t>Bill accounted against the Pune warehouse brokerage commission.</t>
  </si>
  <si>
    <t>Bill accounted against the Portable office container work- Pune warehouse.</t>
  </si>
  <si>
    <t>Bill accounted against the Transportation of Portal container for Pune warehouse.</t>
  </si>
  <si>
    <t>Bill accounted against the purchase and installation of camera in pune ware house.</t>
  </si>
  <si>
    <t>Bill accounted against the purchase of Platform trolley</t>
  </si>
  <si>
    <t>Bill accounted against the Purchase of Hydraulic Baling Machine - Triple action baler for Pune warehouse.</t>
  </si>
  <si>
    <t>Bill accounted against the Purchase of oil for Hydraulic Baling Machine - Triple action baler for Pune warehouse.</t>
  </si>
  <si>
    <t>Food expense for 4 days.</t>
  </si>
  <si>
    <t>Bill accounted for the electricity expenses for Pune warehouse</t>
  </si>
  <si>
    <t>Bill accounted against the Brother DCP-L2541DW Auto Duplex Laser Printer With 30</t>
  </si>
  <si>
    <t>Bill accounted against the purchase of PET BOTTLE RING REMOVER
1 Year Warranty ( Motor and Electric Component Only )</t>
  </si>
  <si>
    <t>Bill accounted against the Consultancy charges payment of Pune warehouse fro The month of January-2025</t>
  </si>
  <si>
    <t>Bill accounted against the Consultancy charges payment of Pune warehouse fro The month of Februay-2025</t>
  </si>
  <si>
    <t>Bill accounted against the Pune warehouse Rental for March-25</t>
  </si>
  <si>
    <t>Bill accounted against the Pune  Additional warehouse  place Rent for the month of April-2025.</t>
  </si>
  <si>
    <t>Bill accounted against the Pune warehouse Rental for April-25</t>
  </si>
  <si>
    <t>Bill accounted against the Pune  Additional warehouse  place Rent for the month of May-2025.</t>
  </si>
  <si>
    <t>Bill accounted against the Pune warehouse Rental for May-25.</t>
  </si>
  <si>
    <t>Bill accounted against the Pune warehouse Rental for Nov-24.</t>
  </si>
  <si>
    <t>Bill accounted against the Pune warehouse Rental for December-24.</t>
  </si>
  <si>
    <t>Bill accounted against the Pune warehouse Rental for January-25</t>
  </si>
  <si>
    <t>Bill accounted against the Pune  Additional warehouse  Place Rent for the month of January-2025.</t>
  </si>
  <si>
    <t>Bill accounted against the Pune  Additional warehouse  place Rent for the month of February-2025.</t>
  </si>
  <si>
    <t>Bill accounted against the Pune warehouse Rental for February-25</t>
  </si>
  <si>
    <t>Bill accounted against the Pune  Additional warehouse  place Rent for the month of March-2025.</t>
  </si>
  <si>
    <t>Description</t>
  </si>
  <si>
    <t>electricity expenses for the Month of September-2024</t>
  </si>
  <si>
    <t xml:space="preserve">Office militance expenses </t>
  </si>
  <si>
    <t>electricity expenses for the Month of October-2024</t>
  </si>
  <si>
    <t>Electrical material and installation</t>
  </si>
  <si>
    <t>electricity expenses for the Month of November-2024</t>
  </si>
  <si>
    <t>Internet expenses</t>
  </si>
  <si>
    <t>electricity expenses for the Month of Feb-2025</t>
  </si>
  <si>
    <t>Hydraulic Baling Machine - PLC Operated Triple Action Baler</t>
  </si>
  <si>
    <t>Drinking Water</t>
  </si>
  <si>
    <t>Management cons ulting and management services</t>
  </si>
  <si>
    <t>electricity expenses for the Month of March-2025</t>
  </si>
  <si>
    <t xml:space="preserve">Labor refreshment charges	</t>
  </si>
  <si>
    <t>Blue Star Water Dispenser with Refrigerator -
Black Color,14 Litre | B0999P3T1R (</t>
  </si>
  <si>
    <t>Blue Star 1 Ton 3 Star, 60 Months Warranty, Inverter Split
AC (Copper, Convertible 5 in 1 Cooling, Multi Sensors,Blue
Fins, Self Diagnosis, IE312YNU, White) | B0DBLK94GW</t>
  </si>
  <si>
    <t>BURGLARY AND HOUSE BREAKING INSURANCE</t>
  </si>
  <si>
    <t>BHARAT SOOKSHMA UDYAM SURAKSHA</t>
  </si>
  <si>
    <t>electricity expenses for the Month of April-2025</t>
  </si>
  <si>
    <t>electricity expenses for the Month of May-2025</t>
  </si>
  <si>
    <t>Rental whare house brokarage</t>
  </si>
  <si>
    <t>20x10x8.6 Portable Cabin
LED LIGHT
FAN
AC POINT
AS PER DROWNING
Pantry with marble top 9 
(Building)</t>
  </si>
  <si>
    <t>20x12x8.6 portable office cabin
As per drowning
Including partition
(Table and desk extra)
(Building)</t>
  </si>
  <si>
    <t>Table
Table 5x2.5 ( Furniture)</t>
  </si>
  <si>
    <t>file cabinet 8ft
8 ft file cabinet
8x4x1.5 ( Furniture)</t>
  </si>
  <si>
    <t>file cabinet 8ft
8 ft file cabinet
8x4x1.5 (Building)</t>
  </si>
  <si>
    <t>Transportation of Portal container</t>
  </si>
  <si>
    <t>QUOTATION FOR CCTV CAMERA</t>
  </si>
  <si>
    <t>Dispensor</t>
  </si>
  <si>
    <t>Platform trolley</t>
  </si>
  <si>
    <t>Printing and stationery</t>
  </si>
  <si>
    <t>Hydraulic Enklo 68no Oil</t>
  </si>
  <si>
    <t>electricity expenses for Pune warehouse</t>
  </si>
  <si>
    <t>Brother DCP-L2541DW Auto Duplex Laser Printer With 30
PPM Print Speed, Multifunction Print Scan Copy, Automatic
Document Feeder, 2 in 1 ID Copy Button, (WIFI, WIFI</t>
  </si>
  <si>
    <t>PET BOTTLE RING REMOVER
1 Year Warranty ( Motor and Electric Component Only )</t>
  </si>
  <si>
    <t>Transportation</t>
  </si>
  <si>
    <t>Rent for the month of March-25</t>
  </si>
  <si>
    <t>Rent for the month of April-25</t>
  </si>
  <si>
    <t>Rent for the month of May-25</t>
  </si>
  <si>
    <t xml:space="preserve">Tea expenses for the Month Jan 2025	</t>
  </si>
  <si>
    <t xml:space="preserve">Cash paid to labor refreshments from 13 Nov 2024 to 31st Jan 2025	</t>
  </si>
  <si>
    <t>Pune Office maintance</t>
  </si>
  <si>
    <t>Rent for the month of Nov-24</t>
  </si>
  <si>
    <t>Rent for the month of Decmber-24</t>
  </si>
  <si>
    <t xml:space="preserve">Signage board making charges for Pune warehouse	</t>
  </si>
  <si>
    <t>Rent for the month of January-25</t>
  </si>
  <si>
    <t>Rent for the month of February-25</t>
  </si>
  <si>
    <t>Rent for the month of Febuary-25</t>
  </si>
  <si>
    <t xml:space="preserve">Housekeeping charges for the Month Jan 2025	</t>
  </si>
  <si>
    <t>Account Head</t>
  </si>
  <si>
    <t>Expense Type</t>
  </si>
  <si>
    <t>Capex</t>
  </si>
  <si>
    <t>CF.Business Vertical</t>
  </si>
  <si>
    <t>Marketplace</t>
  </si>
  <si>
    <t>Marketplace (Institutional Business)</t>
  </si>
  <si>
    <t>OPEX</t>
  </si>
  <si>
    <t>Hyperloop</t>
  </si>
  <si>
    <t>Opex</t>
  </si>
  <si>
    <t>Opening Qty</t>
  </si>
  <si>
    <t>Closing Qty</t>
  </si>
  <si>
    <t>27/MPIB/26IN0007</t>
  </si>
  <si>
    <t>Other General Insurance</t>
  </si>
  <si>
    <t>MPPUNE/0063</t>
  </si>
  <si>
    <t>25-26/PUR/003479</t>
  </si>
  <si>
    <t>Depreciation</t>
  </si>
  <si>
    <t>Processing Cost</t>
  </si>
  <si>
    <t>MHPV115</t>
  </si>
  <si>
    <t>MHPV116</t>
  </si>
  <si>
    <t>MHPV117</t>
  </si>
  <si>
    <t>MHPV118</t>
  </si>
  <si>
    <t>MHPV119</t>
  </si>
  <si>
    <t>MHPV120</t>
  </si>
  <si>
    <t>MHPV121</t>
  </si>
  <si>
    <t>MHPV122</t>
  </si>
  <si>
    <t>MHPV123</t>
  </si>
  <si>
    <t>MHPV124</t>
  </si>
  <si>
    <t>MPPUNE/0064</t>
  </si>
  <si>
    <t>MPPUNE/0065</t>
  </si>
  <si>
    <t>27/MPIB/26IN0008</t>
  </si>
  <si>
    <t>27/MPIB/26IN0009</t>
  </si>
  <si>
    <t>30</t>
  </si>
  <si>
    <t>31</t>
  </si>
  <si>
    <t>25-26/PUR/004324</t>
  </si>
  <si>
    <t>25-26/PUR/004327</t>
  </si>
  <si>
    <t>25-26/PUR/004071</t>
  </si>
  <si>
    <t>MH6100304043</t>
  </si>
  <si>
    <t>25-26/PUR/004072</t>
  </si>
  <si>
    <t>MH48AG0971</t>
  </si>
  <si>
    <t>25-26/PUR/004074</t>
  </si>
  <si>
    <t>25-26/PUR/004077</t>
  </si>
  <si>
    <t>MH16AE8374</t>
  </si>
  <si>
    <t>25-26/PUR/004076</t>
  </si>
  <si>
    <t>25-26/PUR/004079</t>
  </si>
  <si>
    <t>25-26/PUR/004208</t>
  </si>
  <si>
    <t xml:space="preserve">MH22AA0524	</t>
  </si>
  <si>
    <t>25-26/PUR/004212</t>
  </si>
  <si>
    <t xml:space="preserve">MH14LL9999	</t>
  </si>
  <si>
    <t>25-26/PUR/004265</t>
  </si>
  <si>
    <t>MHPV125</t>
  </si>
  <si>
    <t>MHPV126</t>
  </si>
  <si>
    <t>MHPV127</t>
  </si>
  <si>
    <t>MHPV128</t>
  </si>
  <si>
    <t>MPPUNE/0066</t>
  </si>
  <si>
    <t>MPPUNE/0067</t>
  </si>
  <si>
    <t xml:space="preserve">MPPUNE/0068 </t>
  </si>
  <si>
    <t>27/MPIB/26IN0010</t>
  </si>
  <si>
    <t>27/MPIB/26IN0011</t>
  </si>
  <si>
    <t>27/MPIB/26IN0012</t>
  </si>
  <si>
    <t>32</t>
  </si>
  <si>
    <t>25-26/PUR/004379</t>
  </si>
  <si>
    <t>25-26/PUR/004563</t>
  </si>
  <si>
    <t xml:space="preserve">MH46F1981	</t>
  </si>
  <si>
    <t>25-26/PUR/004660</t>
  </si>
  <si>
    <t>MH46F1981</t>
  </si>
  <si>
    <t>25-26/PUR/004656</t>
  </si>
  <si>
    <t>25-26/PUR/004657</t>
  </si>
  <si>
    <t>25-26/PUR/004615</t>
  </si>
  <si>
    <t>27BNGPB9159R1Z7</t>
  </si>
  <si>
    <t>25-26/PUR/004634</t>
  </si>
  <si>
    <t>Handling Charges</t>
  </si>
  <si>
    <t>Jul-25</t>
  </si>
  <si>
    <t>customer_name</t>
  </si>
  <si>
    <t>WASTE WET TUBE/ BOTTLE SCRAPS</t>
  </si>
  <si>
    <t>MH14KU6399</t>
  </si>
  <si>
    <t>SAVLI Gujarat 391520</t>
  </si>
  <si>
    <t>MHPV129</t>
  </si>
  <si>
    <t>25-26/PUR/004785</t>
  </si>
  <si>
    <t>MH22AA0524</t>
  </si>
  <si>
    <t>27AKPPG8504J1ZT</t>
  </si>
  <si>
    <t>25-26/PUR/004681</t>
  </si>
  <si>
    <t>Oxygen</t>
  </si>
  <si>
    <t>MPPUNE/0069</t>
  </si>
  <si>
    <t>27/MPIB/26IN0013</t>
  </si>
  <si>
    <t>Shivshambho Logistics</t>
  </si>
  <si>
    <t>50</t>
  </si>
  <si>
    <t>25-26/PUR/004700</t>
  </si>
  <si>
    <t>Plastics Scraps</t>
  </si>
  <si>
    <t>27/MPIB/26IN0014</t>
  </si>
  <si>
    <t>MHPV130</t>
  </si>
  <si>
    <t xml:space="preserve">MHPV131 </t>
  </si>
  <si>
    <t>25-26/PUR/004984</t>
  </si>
  <si>
    <t>25-26/PUR/005021</t>
  </si>
  <si>
    <t>MHPV132</t>
  </si>
  <si>
    <t>MHPV133</t>
  </si>
  <si>
    <t>25-26/PUR/005184</t>
  </si>
  <si>
    <t>MH14HU5571</t>
  </si>
  <si>
    <t>25-26/PUR/005194</t>
  </si>
  <si>
    <t>MPPUNE/0070</t>
  </si>
  <si>
    <t>MH04CA2749</t>
  </si>
  <si>
    <t>MHPV134</t>
  </si>
  <si>
    <t>MHPV135</t>
  </si>
  <si>
    <t>Shubhangi Enterprises</t>
  </si>
  <si>
    <t>25-26/PUR/005544</t>
  </si>
  <si>
    <t>25-26/PUR/005568</t>
  </si>
  <si>
    <t>MH18AA5353</t>
  </si>
  <si>
    <t>Purchases Angst Sale</t>
  </si>
  <si>
    <t>MHPV136</t>
  </si>
  <si>
    <t>MHPV137</t>
  </si>
  <si>
    <t>MHPV138</t>
  </si>
  <si>
    <t>MHPV139</t>
  </si>
  <si>
    <t>27/MPIB/26IN0015</t>
  </si>
  <si>
    <t>27/MPIB/26IN0016</t>
  </si>
  <si>
    <t>27/MPIB/26IN0017</t>
  </si>
  <si>
    <t>27/MPIB/26IN0018</t>
  </si>
  <si>
    <t>27/MPIB/26IN0019</t>
  </si>
  <si>
    <t>SAARLOHA ADVANCED MATERIALS PRIVATE LIMITED</t>
  </si>
  <si>
    <t>MPPUNE/0071</t>
  </si>
  <si>
    <t>MPPUNE/0072</t>
  </si>
  <si>
    <t>MPPUNE/0073</t>
  </si>
  <si>
    <t>MPPUNE/0074</t>
  </si>
  <si>
    <t>MPPUNE/0075</t>
  </si>
  <si>
    <t>27/MPIB/26DN0001</t>
  </si>
  <si>
    <t>GST/25-26/084</t>
  </si>
  <si>
    <t>25-26/PUR/005820</t>
  </si>
  <si>
    <t>25-26/PUR/005684</t>
  </si>
  <si>
    <t>25-26/PUR/005685</t>
  </si>
  <si>
    <t>25-26/PUR/005802</t>
  </si>
  <si>
    <t>25-26/PUR/005905</t>
  </si>
  <si>
    <t>MH12EQ5605</t>
  </si>
  <si>
    <t>25-26/PUR/005226</t>
  </si>
  <si>
    <t>25-26/PUR/005228</t>
  </si>
  <si>
    <t>25-26/PUR/005229</t>
  </si>
  <si>
    <t>25-26/PUR/005601</t>
  </si>
  <si>
    <t>25-26/PUR/002585</t>
  </si>
  <si>
    <t>Casting Dies Cutting Work</t>
  </si>
  <si>
    <t>25-26/PUR/002591</t>
  </si>
  <si>
    <t>25-26/PUR/001303</t>
  </si>
  <si>
    <t>25-26/PUR/002279</t>
  </si>
  <si>
    <t>25-26/PUR/002500</t>
  </si>
  <si>
    <t>27AABCK1779L1Z4</t>
  </si>
  <si>
    <t>27/MPIB/26IN0020</t>
  </si>
  <si>
    <t>MPPUNE/0076</t>
  </si>
  <si>
    <t>MHPV140</t>
  </si>
  <si>
    <t>25-26/PUR/006108</t>
  </si>
  <si>
    <t>MH14LL9999</t>
  </si>
  <si>
    <t>MPPUNE/0077</t>
  </si>
  <si>
    <t>27/MPIB/26IN0021</t>
  </si>
  <si>
    <t>SOUND CASTINGS PRIVATE LIMITED</t>
  </si>
  <si>
    <t>BROKEN PLASTIC CARTE/PALLET</t>
  </si>
  <si>
    <t>LD Plastics bags oily and dirty</t>
  </si>
  <si>
    <t>MHPV141</t>
  </si>
  <si>
    <t>MHPV142</t>
  </si>
  <si>
    <t>MHPV143</t>
  </si>
  <si>
    <t>MPPUNE/0078</t>
  </si>
  <si>
    <t>27/MPIB/26IN0022</t>
  </si>
  <si>
    <t>33</t>
  </si>
  <si>
    <t>34</t>
  </si>
  <si>
    <t>35</t>
  </si>
  <si>
    <t>25-26/PUR/006251</t>
  </si>
  <si>
    <t>25-26/PUR/006259</t>
  </si>
  <si>
    <t>25-26/PUR/006267</t>
  </si>
  <si>
    <t>25-26/PUR/006365</t>
  </si>
  <si>
    <t>MH14KA9009</t>
  </si>
  <si>
    <t>25-26/PUR/006585</t>
  </si>
  <si>
    <t>MH09CV5506</t>
  </si>
  <si>
    <t>25-26/PUR/006797</t>
  </si>
  <si>
    <t>MH16AY4767</t>
  </si>
  <si>
    <t>MHPV144</t>
  </si>
  <si>
    <t>25-26/PUR/007018</t>
  </si>
  <si>
    <t>MHPV145</t>
  </si>
  <si>
    <t>25-26/PUR/007019</t>
  </si>
  <si>
    <t>MPPUNE/0079</t>
  </si>
  <si>
    <t>27/MPIB/26IN0023</t>
  </si>
  <si>
    <t>27/MPIB/26IN0024</t>
  </si>
  <si>
    <t>Aug-25</t>
  </si>
  <si>
    <t>27/MPIB/26IN0025</t>
  </si>
  <si>
    <t>64</t>
  </si>
  <si>
    <t>25-26/PUR/007125</t>
  </si>
  <si>
    <t>25-26/PUR/007144</t>
  </si>
  <si>
    <t>25-26/PUR/007128</t>
  </si>
  <si>
    <t>Reimbursement - S Bishal Sao (RT0669)</t>
  </si>
  <si>
    <t>4</t>
  </si>
  <si>
    <t>8419</t>
  </si>
  <si>
    <t>000002942515583</t>
  </si>
  <si>
    <t>Reimbursement-11</t>
  </si>
  <si>
    <t>8517</t>
  </si>
  <si>
    <t>Reimbursement-12</t>
  </si>
  <si>
    <t>8487</t>
  </si>
  <si>
    <t>8484</t>
  </si>
  <si>
    <t>592</t>
  </si>
  <si>
    <t>37</t>
  </si>
  <si>
    <t>July-2025</t>
  </si>
  <si>
    <t>Shegaon MRF</t>
  </si>
  <si>
    <t>25-26/PUR/004207</t>
  </si>
  <si>
    <t>25-26/PUR/004325</t>
  </si>
  <si>
    <t>25-26/PUR/004509</t>
  </si>
  <si>
    <t>25-26/PUR/004688</t>
  </si>
  <si>
    <t>25-26/PUR/005648</t>
  </si>
  <si>
    <t>25-26/PUR/005710</t>
  </si>
  <si>
    <t>25-26/PUR/006119</t>
  </si>
  <si>
    <t>25-26/PUR/006145</t>
  </si>
  <si>
    <t>25-26/PUR/006141</t>
  </si>
  <si>
    <t>25-26/PUR/006154</t>
  </si>
  <si>
    <t>25-26/PUR/005807</t>
  </si>
  <si>
    <t>25-26/PUR/005808</t>
  </si>
  <si>
    <t>25-26/PUR/005530</t>
  </si>
  <si>
    <t>25-26/PUR/004277</t>
  </si>
  <si>
    <t>25-26/PUR/007043</t>
  </si>
  <si>
    <t>Bill accounted against the Pune warehouse Rental for June-25.</t>
  </si>
  <si>
    <t>Bill accounted against the Consultancy charges payment of Pune warehouse fro The month of June-2025</t>
  </si>
  <si>
    <t>Bill accounted for the electricity expenses for the Month of June-2025</t>
  </si>
  <si>
    <t>Bill accounted against the  Shifting of hydraulic baling machine from shegaon to pune</t>
  </si>
  <si>
    <t>Bill accounted against the Pune  Additional warehouse  place Rent for the month of july-2025.</t>
  </si>
  <si>
    <t>Rent for the month of June-25</t>
  </si>
  <si>
    <t xml:space="preserve">Housekeeping charges 25 May to 25 June	
Light for additional warehouse	
Jcb charges Warehouse	</t>
  </si>
  <si>
    <t>electricity expenses for the Month of June-2025</t>
  </si>
  <si>
    <t>Shifting of hydraulic baling machine from shegaon to pune</t>
  </si>
  <si>
    <t>MPPUNE/0080</t>
  </si>
  <si>
    <t>27/MPIB/26IN0026</t>
  </si>
  <si>
    <t>MPPUNE/0081</t>
  </si>
  <si>
    <t>27/MPIB/26IN0027</t>
  </si>
  <si>
    <t>GST/25-26/096</t>
  </si>
  <si>
    <t>25-26/PUR/007227</t>
  </si>
  <si>
    <t>MPPUNE/0082</t>
  </si>
  <si>
    <t>MPPUNE/0083</t>
  </si>
  <si>
    <t>MPPUNE/0084</t>
  </si>
  <si>
    <t>MPPUNE/0085</t>
  </si>
  <si>
    <t>MPPUNE/0086</t>
  </si>
  <si>
    <t>MPPUNE/0087</t>
  </si>
  <si>
    <t>27/MPIB/26IN0028</t>
  </si>
  <si>
    <t>27/MPIB/26IN0029</t>
  </si>
  <si>
    <t>27/MPIB/26IN0030</t>
  </si>
  <si>
    <t>27/MPIB/26IN0031</t>
  </si>
  <si>
    <t>27/MPIB/26IN0032</t>
  </si>
  <si>
    <t>27/MPIB/26IN0033</t>
  </si>
  <si>
    <t>MHPV146</t>
  </si>
  <si>
    <t>MHPV147</t>
  </si>
  <si>
    <t>MHPV148</t>
  </si>
  <si>
    <t>27/MPIB/26DN0002</t>
  </si>
  <si>
    <t>39</t>
  </si>
  <si>
    <t>36</t>
  </si>
  <si>
    <t>25-26/PUR/007300</t>
  </si>
  <si>
    <t>25-26/PUR/007361</t>
  </si>
  <si>
    <t>25-26/PUR/007364</t>
  </si>
  <si>
    <t>25-26/PUR/007365</t>
  </si>
  <si>
    <t>25-26/PUR/007360</t>
  </si>
  <si>
    <t>GST/25-26/099</t>
  </si>
  <si>
    <t>25-26/PUR/007325</t>
  </si>
  <si>
    <t>MH48AG4457</t>
  </si>
  <si>
    <t>GST/25-26/098</t>
  </si>
  <si>
    <t>25-26/PUR/007327</t>
  </si>
  <si>
    <t>GST/25-26/101</t>
  </si>
  <si>
    <t>25-26/PUR/007359</t>
  </si>
  <si>
    <t>MPPUNE/0088</t>
  </si>
  <si>
    <t>MPPUNE/0089</t>
  </si>
  <si>
    <t>27/MPIB/26IN0034</t>
  </si>
  <si>
    <t>27/MPIB/26IN0035</t>
  </si>
  <si>
    <t>MPPUNE/0090</t>
  </si>
  <si>
    <t>27/MPIB/26IN0036</t>
  </si>
  <si>
    <t xml:space="preserve">MHPV149 </t>
  </si>
  <si>
    <t>VIKAS ENTERPRISES</t>
  </si>
  <si>
    <t>115/25-26</t>
  </si>
  <si>
    <t>78/25-26</t>
  </si>
  <si>
    <t>166/25-26</t>
  </si>
  <si>
    <t>25-26/PUR/007627</t>
  </si>
  <si>
    <t>25-26/PUR/007628</t>
  </si>
  <si>
    <t>25-26/PUR/007630</t>
  </si>
  <si>
    <t>188/25-26</t>
  </si>
  <si>
    <t>25-26/PUR/007629</t>
  </si>
  <si>
    <t>GST/25-26/104</t>
  </si>
  <si>
    <t>25-26/PUR/007681</t>
  </si>
  <si>
    <t>MH48AG4047</t>
  </si>
  <si>
    <t>25-26/PUR/007680</t>
  </si>
  <si>
    <t>MPPUNE/0091</t>
  </si>
  <si>
    <t>MPPUNE/0092</t>
  </si>
  <si>
    <t>MPPUNE/0093</t>
  </si>
  <si>
    <t>MPPUNE/0094</t>
  </si>
  <si>
    <t>MPPUNE/0095</t>
  </si>
  <si>
    <t>27/MPIB/26IN0037</t>
  </si>
  <si>
    <t>27/MPIB/26IN0038</t>
  </si>
  <si>
    <t>27/MPIB/26IN0039</t>
  </si>
  <si>
    <t>27/MPIB/26IN0040</t>
  </si>
  <si>
    <t>27/MPIB/26IN0041</t>
  </si>
  <si>
    <t>MHPV151</t>
  </si>
  <si>
    <t>MHPV150</t>
  </si>
  <si>
    <t>MHPV152</t>
  </si>
  <si>
    <t>GST/25-26/106</t>
  </si>
  <si>
    <t>25-26/PUR/007841</t>
  </si>
  <si>
    <t>GST/25-26/110</t>
  </si>
  <si>
    <t>25-26/PUR/007837</t>
  </si>
  <si>
    <t>MH09CA0849</t>
  </si>
  <si>
    <t>GST/25-26/115</t>
  </si>
  <si>
    <t>25-26/PUR/008091</t>
  </si>
  <si>
    <t>S P ENTERPRISES</t>
  </si>
  <si>
    <t>24KTYPK5591R1Z5</t>
  </si>
  <si>
    <t>MPPUNE/0096</t>
  </si>
  <si>
    <t>MPPUNE/0097</t>
  </si>
  <si>
    <t>MPPUNE/0098</t>
  </si>
  <si>
    <t>MPPUNE/0099</t>
  </si>
  <si>
    <t>27/MPIB/26IN0042</t>
  </si>
  <si>
    <t>27/MPIB/26IN0043</t>
  </si>
  <si>
    <t>27/MPIB/26IN0044</t>
  </si>
  <si>
    <t>27/MPIB/26IN0045</t>
  </si>
  <si>
    <t>SAVLI,Gujarat,391520</t>
  </si>
  <si>
    <t>27/MPIB/26IN0046</t>
  </si>
  <si>
    <t>27/MPIB/26IN0047</t>
  </si>
  <si>
    <t>27/MPIB/26IN0048</t>
  </si>
  <si>
    <t>MPPUNE/0100</t>
  </si>
  <si>
    <t>MPPUNE/0101</t>
  </si>
  <si>
    <t>MPPUNE/0102</t>
  </si>
  <si>
    <t>40</t>
  </si>
  <si>
    <t>GST/25-26/135</t>
  </si>
  <si>
    <t>25-26/PUR/008922</t>
  </si>
  <si>
    <t>25-26/PUR/008923</t>
  </si>
  <si>
    <t>25-26/PUR/009031</t>
  </si>
  <si>
    <t>25-26/PUR/009034</t>
  </si>
  <si>
    <t>LPG</t>
  </si>
  <si>
    <t>25-26/PUR/009035</t>
  </si>
  <si>
    <t>MHPV153</t>
  </si>
  <si>
    <t>25-26/PUR/009118</t>
  </si>
  <si>
    <t>MHPV154</t>
  </si>
  <si>
    <t>ANUSAYA AUTO PRESS P P LTD</t>
  </si>
  <si>
    <t>27AACCA3246K1ZP</t>
  </si>
  <si>
    <t>25-26/PUR/009167</t>
  </si>
  <si>
    <t>MHPV156</t>
  </si>
  <si>
    <t>25-26/PUR/009243</t>
  </si>
  <si>
    <t>MH12HD5513</t>
  </si>
  <si>
    <t>MHPV157</t>
  </si>
  <si>
    <t>25-26/PUR/009256</t>
  </si>
  <si>
    <t>MH12NX4312</t>
  </si>
  <si>
    <t>MHPV158</t>
  </si>
  <si>
    <t>25-26/PUR/009257</t>
  </si>
  <si>
    <t>MPPUNE/0103</t>
  </si>
  <si>
    <t>MPPUNE/0104</t>
  </si>
  <si>
    <t>MPPUNE/0105</t>
  </si>
  <si>
    <t>27/MPIB/26IN0049</t>
  </si>
  <si>
    <t>27/MPIB/26IN0050</t>
  </si>
  <si>
    <t>27/MPIB/26IN0051</t>
  </si>
  <si>
    <t>MHPV159</t>
  </si>
  <si>
    <t>MHPV160</t>
  </si>
  <si>
    <t>MHPV161</t>
  </si>
  <si>
    <t>MHPV162</t>
  </si>
  <si>
    <t>MHPV163</t>
  </si>
  <si>
    <t>MHPV164</t>
  </si>
  <si>
    <t>MHPV165</t>
  </si>
  <si>
    <t>MHPV166</t>
  </si>
  <si>
    <t>MHPV167</t>
  </si>
  <si>
    <t>MHPV168</t>
  </si>
  <si>
    <t>MPPUNE/0106</t>
  </si>
  <si>
    <t>MPPUNE/0107</t>
  </si>
  <si>
    <t>27/MPIB/26IN0052</t>
  </si>
  <si>
    <t>27/MPIB/26IN0053</t>
  </si>
  <si>
    <t>79</t>
  </si>
  <si>
    <t>25-26/PUR/009733</t>
  </si>
  <si>
    <t>MHPV155</t>
  </si>
  <si>
    <t>25-26/PUR/009316</t>
  </si>
  <si>
    <t>MH12LT9379</t>
  </si>
  <si>
    <t>25-26/PUR/009319</t>
  </si>
  <si>
    <t>25-26/PUR/009454</t>
  </si>
  <si>
    <t>25-26/PUR/009457</t>
  </si>
  <si>
    <t>25-26/PUR/009567</t>
  </si>
  <si>
    <t>25-26/PUR/009578</t>
  </si>
  <si>
    <t>25-26/PUR/009579</t>
  </si>
  <si>
    <t>25-26/PUR/009580</t>
  </si>
  <si>
    <t>GST/25-26/156</t>
  </si>
  <si>
    <t>25-26/PUR/009601</t>
  </si>
  <si>
    <t>25-26/PUR/009743</t>
  </si>
  <si>
    <t>25-26/PUR/009201</t>
  </si>
  <si>
    <t>MHPV169</t>
  </si>
  <si>
    <t>MHPV170</t>
  </si>
  <si>
    <t>MHPV171</t>
  </si>
  <si>
    <t>MHPV172</t>
  </si>
  <si>
    <t>MPPUNE/0108</t>
  </si>
  <si>
    <t>MPPUNE/0109</t>
  </si>
  <si>
    <t>MPPUNE/0110</t>
  </si>
  <si>
    <t>MPPUNE/0111</t>
  </si>
  <si>
    <t>27/MPIB/26IN0055</t>
  </si>
  <si>
    <t>27/MPIB/26IN0054</t>
  </si>
  <si>
    <t>27/MPIB/26IN0056</t>
  </si>
  <si>
    <t>27/MPIB/26IN0057</t>
  </si>
  <si>
    <t>25-26/PUR/009957</t>
  </si>
  <si>
    <t>25-26/PUR/009968</t>
  </si>
  <si>
    <t>MH12EF7459</t>
  </si>
  <si>
    <t>25-26/PUR/010032</t>
  </si>
  <si>
    <t>25-26/PUR/010040</t>
  </si>
  <si>
    <t>Sep-25</t>
  </si>
  <si>
    <t>Reimbursement - Suhesh Sunil Vhaval (RT0764)</t>
  </si>
  <si>
    <t>Reimbursement - Kunal Deepak Miglani (RT0841)</t>
  </si>
  <si>
    <t>Reimbursement - Amit Vinod Butolia (RT0769)</t>
  </si>
  <si>
    <t>Reimbursement - Pritesh Kumar Kishorbhai Makwana (RT0691)</t>
  </si>
  <si>
    <t>Reimbursement - Swapnil Pandurang Lohar (RT0823)</t>
  </si>
  <si>
    <t>MSTC LIMITED</t>
  </si>
  <si>
    <t>JAIN HYDRAULICS RECYCLING LLP</t>
  </si>
  <si>
    <t>8496</t>
  </si>
  <si>
    <t>5</t>
  </si>
  <si>
    <t>Reimbursement-13</t>
  </si>
  <si>
    <t>8710</t>
  </si>
  <si>
    <t>8645</t>
  </si>
  <si>
    <t>49</t>
  </si>
  <si>
    <t>56</t>
  </si>
  <si>
    <t>8815</t>
  </si>
  <si>
    <t>Reimbursement-14</t>
  </si>
  <si>
    <t>8837</t>
  </si>
  <si>
    <t>8845</t>
  </si>
  <si>
    <t>8861</t>
  </si>
  <si>
    <t>8860</t>
  </si>
  <si>
    <t>8859</t>
  </si>
  <si>
    <t>8858</t>
  </si>
  <si>
    <t>252619121010250</t>
  </si>
  <si>
    <t>Reimbursement-15</t>
  </si>
  <si>
    <t>JHR/25-26/DL-80</t>
  </si>
  <si>
    <t>68</t>
  </si>
  <si>
    <t>August-2025</t>
  </si>
  <si>
    <t>000002942515583-July</t>
  </si>
  <si>
    <t>Marketplace (Metal)</t>
  </si>
  <si>
    <t>Postage and Courier</t>
  </si>
  <si>
    <t>Business Promotion &amp; Marketing</t>
  </si>
  <si>
    <t>25-26/PUR/007108</t>
  </si>
  <si>
    <t>25-26/PUR/007126</t>
  </si>
  <si>
    <t>25-26/PUR/007195</t>
  </si>
  <si>
    <t>25-26/PUR/007178</t>
  </si>
  <si>
    <t>25-26/PUR/007253</t>
  </si>
  <si>
    <t>25-26/PUR/007232</t>
  </si>
  <si>
    <t>25-26/PUR/007236</t>
  </si>
  <si>
    <t>25-26/PUR/007239</t>
  </si>
  <si>
    <t>25-26/PUR/007574</t>
  </si>
  <si>
    <t>25-26/PUR/007637</t>
  </si>
  <si>
    <t>25-26/PUR/007722</t>
  </si>
  <si>
    <t>25-26/PUR/007735</t>
  </si>
  <si>
    <t>25-26/PUR/007859</t>
  </si>
  <si>
    <t>25-26/PUR/007862</t>
  </si>
  <si>
    <t>25-26/PUR/007863</t>
  </si>
  <si>
    <t>25-26/PUR/007865</t>
  </si>
  <si>
    <t>25-26/PUR/008376</t>
  </si>
  <si>
    <t>25-26/PUR/008393</t>
  </si>
  <si>
    <t>25-26/PUR/008449</t>
  </si>
  <si>
    <t>25-26/PUR/008883</t>
  </si>
  <si>
    <t>25-26/PUR/008974</t>
  </si>
  <si>
    <t>25-26/PUR/009036</t>
  </si>
  <si>
    <t>Bill accounted against the Consultancy charges payment of Pune warehouse fro The month of July-2025</t>
  </si>
  <si>
    <t>Bill accounted against the Pune warehouse Rental for July-25.</t>
  </si>
  <si>
    <t>Bill accounted against the Hydraulic PET Bottles baling machine Purchase.</t>
  </si>
  <si>
    <t>Bill accounted against the Purchase of Electrical items and connection spares of baling machine</t>
  </si>
  <si>
    <t>As per claim 165*8=1320 but he has claim for 1317</t>
  </si>
  <si>
    <t xml:space="preserve">vendor meet and taking LD sample
</t>
  </si>
  <si>
    <t>Bill accounted against the Income on E-auction Registration Fee.</t>
  </si>
  <si>
    <t>Bill accounted against the purchase of Additional Baling Machine Required at Pune Metal Warehouse</t>
  </si>
  <si>
    <t>Bill accounted against the Pune  Additional warehouse  place Rent for the month of August-2025.</t>
  </si>
  <si>
    <t>Bill accounted for the electricity expenses for the Month of July-2025</t>
  </si>
  <si>
    <t xml:space="preserve">Refreshment </t>
  </si>
  <si>
    <t>Rent for the month of July-25</t>
  </si>
  <si>
    <t>Hydraulic PET Bottles bailing machine.
Heavy Duty Auto one push operating + Ejection system.</t>
  </si>
  <si>
    <t>Transportation cost</t>
  </si>
  <si>
    <t>Electrical items and connection spares of baling machine</t>
  </si>
  <si>
    <t>Pressure Gauge (Double box machine)</t>
  </si>
  <si>
    <t>Fitting charges</t>
  </si>
  <si>
    <t>Income on E-auction Registration</t>
  </si>
  <si>
    <t>Top Ejection PLC
MINI PLC 55"X30"X20"/BALE 8"X8"</t>
  </si>
  <si>
    <t>Rent for the month of August-25</t>
  </si>
  <si>
    <t>MHPV173</t>
  </si>
  <si>
    <t>MHPV174</t>
  </si>
  <si>
    <t>MHPV175</t>
  </si>
  <si>
    <t>MHPV176</t>
  </si>
  <si>
    <t>MHPV177</t>
  </si>
  <si>
    <t xml:space="preserve">MHPV178 </t>
  </si>
  <si>
    <t>MHPV179</t>
  </si>
  <si>
    <t>MHPV180</t>
  </si>
  <si>
    <t>MHPV181</t>
  </si>
  <si>
    <t>MHPV182</t>
  </si>
  <si>
    <t>MHPV183</t>
  </si>
  <si>
    <t>MPPUNE/0112</t>
  </si>
  <si>
    <t>MPPUNE/0113</t>
  </si>
  <si>
    <t>MPPUNE/0114</t>
  </si>
  <si>
    <t>MPPUNE/0115</t>
  </si>
  <si>
    <t>MPPUNE/0116</t>
  </si>
  <si>
    <t>MPPUNE/0117</t>
  </si>
  <si>
    <t>MPPUNE/0118</t>
  </si>
  <si>
    <t>27/MPIB/26IN0058</t>
  </si>
  <si>
    <t>27/MPIB/26IN0059</t>
  </si>
  <si>
    <t>27/MPIB/26IN0060</t>
  </si>
  <si>
    <t>27/MPIB/26IN0061</t>
  </si>
  <si>
    <t>27/MPIB/26IN0062</t>
  </si>
  <si>
    <t>27/MPIB/26IN0063</t>
  </si>
  <si>
    <t>27/MPIB/26IN0064</t>
  </si>
  <si>
    <t xml:space="preserve"> MPPUNE/0119</t>
  </si>
  <si>
    <t>27/MPIB/26IN0065</t>
  </si>
  <si>
    <t>44</t>
  </si>
  <si>
    <t>42</t>
  </si>
  <si>
    <t>25-26/PUR/010165</t>
  </si>
  <si>
    <t>25-26/PUR/010166</t>
  </si>
  <si>
    <t>25-26/PUR/010168</t>
  </si>
  <si>
    <t>25-26/PUR/010115</t>
  </si>
  <si>
    <t>25-26/PUR/010188</t>
  </si>
  <si>
    <t>25-26/PUR/010285</t>
  </si>
  <si>
    <t>25-26/PUR/010328</t>
  </si>
  <si>
    <t>GST/25-26/166</t>
  </si>
  <si>
    <t>25-26/PUR/010391</t>
  </si>
  <si>
    <t>GST/25-26/167</t>
  </si>
  <si>
    <t>25-26/PUR/010394</t>
  </si>
  <si>
    <t>25-26/PUR/010456</t>
  </si>
  <si>
    <t>MH14CU2230</t>
  </si>
  <si>
    <t>25-26/PUR/010457</t>
  </si>
  <si>
    <t>GST/25-26/172</t>
  </si>
  <si>
    <t>25-26/PUR/010471</t>
  </si>
  <si>
    <t>25-26/PUR/010508</t>
  </si>
  <si>
    <t>25-26/PUR/010408</t>
  </si>
  <si>
    <t>GJ36V1854</t>
  </si>
  <si>
    <t>MH06AQ7968</t>
  </si>
  <si>
    <t>MHPV184</t>
  </si>
  <si>
    <t>MHPV185</t>
  </si>
  <si>
    <t>MHPV186</t>
  </si>
  <si>
    <t>MHPV187</t>
  </si>
  <si>
    <t>MHPV188</t>
  </si>
  <si>
    <t>MHPV189</t>
  </si>
  <si>
    <t>MHPV190</t>
  </si>
  <si>
    <t>MHPV191</t>
  </si>
  <si>
    <t>MHPV192</t>
  </si>
  <si>
    <t>MHPV193</t>
  </si>
  <si>
    <t>MHPV194</t>
  </si>
  <si>
    <t>MHPV195</t>
  </si>
  <si>
    <t>MHPV196</t>
  </si>
  <si>
    <t>MHPV197</t>
  </si>
  <si>
    <t xml:space="preserve">MHPV198 </t>
  </si>
  <si>
    <t>27/MPIB/26IN0066</t>
  </si>
  <si>
    <t>27/MPIB/26IN0067</t>
  </si>
  <si>
    <t>27/MPIB/26IN0068</t>
  </si>
  <si>
    <t>27/MPIB/26IN0069</t>
  </si>
  <si>
    <t>27/MPIB/26IN0070</t>
  </si>
  <si>
    <t>27/MPIB/26IN0074</t>
  </si>
  <si>
    <t>27/MPIB/26IN0075</t>
  </si>
  <si>
    <t>27/MPIB/26IN0078</t>
  </si>
  <si>
    <t>27/MPIB/26IN0079</t>
  </si>
  <si>
    <t>MPPUNE/0120</t>
  </si>
  <si>
    <t>MPPUNE/0121</t>
  </si>
  <si>
    <t>MPPUNE/0122</t>
  </si>
  <si>
    <t>MPPUNE/0123</t>
  </si>
  <si>
    <t>MPPUNE/0124</t>
  </si>
  <si>
    <t>MPPUNE/0125</t>
  </si>
  <si>
    <t>MPPUNE/0126</t>
  </si>
  <si>
    <t>MPPUNE/0127</t>
  </si>
  <si>
    <t>MPPUNE/0128</t>
  </si>
  <si>
    <t>GST/25-26/175</t>
  </si>
  <si>
    <t>25-26/PUR/010562</t>
  </si>
  <si>
    <t>25-26/PUR/010569</t>
  </si>
  <si>
    <t>GST/25-26/176</t>
  </si>
  <si>
    <t>25-26/PUR/010703</t>
  </si>
  <si>
    <t>GST/25-26/177</t>
  </si>
  <si>
    <t>25-26/PUR/010706</t>
  </si>
  <si>
    <t>MH14AS8875</t>
  </si>
  <si>
    <t>25-26/PUR/010750</t>
  </si>
  <si>
    <t>25-26/PUR/010783</t>
  </si>
  <si>
    <t>25-26/PUR/010784</t>
  </si>
  <si>
    <t>25-26/PUR/010897</t>
  </si>
  <si>
    <t>25-26/PUR/010969</t>
  </si>
  <si>
    <t>GST/25-26/180</t>
  </si>
  <si>
    <t>25-26/PUR/010993</t>
  </si>
  <si>
    <t>MH25AJ7955</t>
  </si>
  <si>
    <t>GST/25-26/181</t>
  </si>
  <si>
    <t>25-26/PUR/011011</t>
  </si>
  <si>
    <t>25-26/PUR/011021</t>
  </si>
  <si>
    <t>25-26/PUR/011027</t>
  </si>
  <si>
    <t>25-26/PUR/011034</t>
  </si>
  <si>
    <t>MHO4BU8943</t>
  </si>
  <si>
    <t>GST/25-26/183</t>
  </si>
  <si>
    <t>25-26/PUR/011054</t>
  </si>
  <si>
    <t xml:space="preserve">MH09CA0849 </t>
  </si>
  <si>
    <t>25-26/PUR/009233</t>
  </si>
  <si>
    <t>46</t>
  </si>
  <si>
    <t>25-26/PUR/010937</t>
  </si>
  <si>
    <t>25-26/PUR/010940</t>
  </si>
  <si>
    <t>MPPUNE/0129</t>
  </si>
  <si>
    <t>27/MPIB/26IN0082</t>
  </si>
  <si>
    <t>MHPV199</t>
  </si>
  <si>
    <t>MHPV200</t>
  </si>
  <si>
    <t>MHPV201</t>
  </si>
  <si>
    <t xml:space="preserve">MHPV202 </t>
  </si>
  <si>
    <t>MHPV203</t>
  </si>
  <si>
    <t>MHPV204</t>
  </si>
  <si>
    <t>25-26/PUR/011172</t>
  </si>
  <si>
    <t>25-26/PUR/011203</t>
  </si>
  <si>
    <t>MH12FZ9681</t>
  </si>
  <si>
    <t>GST/25-26/186</t>
  </si>
  <si>
    <t>25-26/PUR/011262</t>
  </si>
  <si>
    <t>GST/25-26/187</t>
  </si>
  <si>
    <t>25-26/PUR/011330</t>
  </si>
  <si>
    <t>25-26/PUR/011333</t>
  </si>
  <si>
    <t>25-26/PUR/011406</t>
  </si>
  <si>
    <t>832139000058378704</t>
  </si>
  <si>
    <t>R.H.TRADERS</t>
  </si>
  <si>
    <t>24AFDPY5902R1ZS</t>
  </si>
  <si>
    <t>Vadodara</t>
  </si>
  <si>
    <t>GJ01KT7161</t>
  </si>
  <si>
    <t>MHPV205</t>
  </si>
  <si>
    <t xml:space="preserve">MHPV206 </t>
  </si>
  <si>
    <t>MHPV207</t>
  </si>
  <si>
    <t>MHPV208</t>
  </si>
  <si>
    <t>MHPV209</t>
  </si>
  <si>
    <t>MHPV210</t>
  </si>
  <si>
    <t>MHPV211</t>
  </si>
  <si>
    <t>MHPV212</t>
  </si>
  <si>
    <t>MHPV213</t>
  </si>
  <si>
    <t>MHPV214</t>
  </si>
  <si>
    <t xml:space="preserve">MHPV215 </t>
  </si>
  <si>
    <t>MHPV216</t>
  </si>
  <si>
    <t>MHPV217</t>
  </si>
  <si>
    <t>MHPV218</t>
  </si>
  <si>
    <t>MHPV219</t>
  </si>
  <si>
    <t>MHPV220</t>
  </si>
  <si>
    <t xml:space="preserve">MHPV221 </t>
  </si>
  <si>
    <t>MHPV222</t>
  </si>
  <si>
    <t>MHPV223</t>
  </si>
  <si>
    <t>TRACK COMPONENTS LTD</t>
  </si>
  <si>
    <t>MPPUNE/0130</t>
  </si>
  <si>
    <t>MPPUNE/0131</t>
  </si>
  <si>
    <t>MPPUNE/0132</t>
  </si>
  <si>
    <t>MPPUNE/0133</t>
  </si>
  <si>
    <t>MPPUNE/0134</t>
  </si>
  <si>
    <t>27/MPIB/26IN0086</t>
  </si>
  <si>
    <t>27/MPIB/26IN0087</t>
  </si>
  <si>
    <t>27/MPIB/26IN0088</t>
  </si>
  <si>
    <t>27/MPIB/26IN0089</t>
  </si>
  <si>
    <t>27/MPIB/26IN0091</t>
  </si>
  <si>
    <t>96</t>
  </si>
  <si>
    <t>25-26/PUR/011615</t>
  </si>
  <si>
    <t>97</t>
  </si>
  <si>
    <t>25-26/PUR/011616</t>
  </si>
  <si>
    <t>25-26/PUR/011481</t>
  </si>
  <si>
    <t>GST/25-26/190</t>
  </si>
  <si>
    <t>25-26/PUR/011612</t>
  </si>
  <si>
    <t>GST/25-26/189</t>
  </si>
  <si>
    <t>25-26/PUR/011637</t>
  </si>
  <si>
    <t>GST/25-26/191</t>
  </si>
  <si>
    <t>25-26/PUR/011686</t>
  </si>
  <si>
    <t>MH48AY4803</t>
  </si>
  <si>
    <t>27AABCT2865J1Z2</t>
  </si>
  <si>
    <t>25-26/PUR/011724</t>
  </si>
  <si>
    <t>25-26/PUR/011726</t>
  </si>
  <si>
    <t>25-26/PUR/011749</t>
  </si>
  <si>
    <t>25-26/PUR/011750</t>
  </si>
  <si>
    <t>25-26/PUR/011752</t>
  </si>
  <si>
    <t>25-26/PUR/011754</t>
  </si>
  <si>
    <t>25-26/PUR/011755</t>
  </si>
  <si>
    <t>25-26/PUR/011756</t>
  </si>
  <si>
    <t>GST/25-26/194</t>
  </si>
  <si>
    <t>25-26/PUR/011776</t>
  </si>
  <si>
    <t>25-26/PUR/011778</t>
  </si>
  <si>
    <t>25-26/PUR/011787</t>
  </si>
  <si>
    <t>25-26/PUR/011789</t>
  </si>
  <si>
    <t>25-26/PUR/011791</t>
  </si>
  <si>
    <t>25-26/PUR/011793</t>
  </si>
  <si>
    <t>GST/25-26/195</t>
  </si>
  <si>
    <t>25-26/PUR/011801</t>
  </si>
  <si>
    <t>MH14DM3681</t>
  </si>
  <si>
    <t>Oct-25</t>
  </si>
  <si>
    <t>26/MPPIB/INV0553</t>
  </si>
  <si>
    <t>Gandhidham,Gujarat,370230</t>
  </si>
  <si>
    <t>Gandhidham Gujarat 370230</t>
  </si>
  <si>
    <t>MHPV224</t>
  </si>
  <si>
    <t>MHPV225</t>
  </si>
  <si>
    <t>MHPV226</t>
  </si>
  <si>
    <t>MHPV227</t>
  </si>
  <si>
    <t>MHPV228</t>
  </si>
  <si>
    <t>MHPV229</t>
  </si>
  <si>
    <t>MHPV230</t>
  </si>
  <si>
    <t>MHPV231</t>
  </si>
  <si>
    <t>MHPV232</t>
  </si>
  <si>
    <t>MHPV233</t>
  </si>
  <si>
    <t xml:space="preserve">MHPV234 </t>
  </si>
  <si>
    <t>MHPV235</t>
  </si>
  <si>
    <t>MHPV236</t>
  </si>
  <si>
    <t>MHPV237</t>
  </si>
  <si>
    <t>MHPV238</t>
  </si>
  <si>
    <t>MHPV246</t>
  </si>
  <si>
    <t>MHPV239</t>
  </si>
  <si>
    <t>MHPV240</t>
  </si>
  <si>
    <t>MHPV241</t>
  </si>
  <si>
    <t>MHPV243</t>
  </si>
  <si>
    <t>MHPV244</t>
  </si>
  <si>
    <t>MHPV245</t>
  </si>
  <si>
    <t>MHPV247</t>
  </si>
  <si>
    <t>MHPV248</t>
  </si>
  <si>
    <t>MHPV249</t>
  </si>
  <si>
    <t>MHPV250</t>
  </si>
  <si>
    <t>MHPV251</t>
  </si>
  <si>
    <t>MHPV252</t>
  </si>
  <si>
    <t>MHPV253</t>
  </si>
  <si>
    <t>MHPV254</t>
  </si>
  <si>
    <t>MHPV255</t>
  </si>
  <si>
    <t>MHPV256</t>
  </si>
  <si>
    <t>MHPV257</t>
  </si>
  <si>
    <t>MHPV258</t>
  </si>
  <si>
    <t>MHPV259</t>
  </si>
  <si>
    <t>MPPUNE/0135</t>
  </si>
  <si>
    <t>MPPUNE/0136</t>
  </si>
  <si>
    <t>MPPUNE/0137</t>
  </si>
  <si>
    <t>MPPUNE/0138</t>
  </si>
  <si>
    <t>MPPUNE/0139</t>
  </si>
  <si>
    <t>MPPUNE/0140</t>
  </si>
  <si>
    <t>27/MPIB/26IN0092</t>
  </si>
  <si>
    <t>27/MPIB/26IN0093</t>
  </si>
  <si>
    <t>27/MPIB/26IN0098</t>
  </si>
  <si>
    <t>27/MPIB/26IN0099</t>
  </si>
  <si>
    <t>27/MPIB/26IN0103</t>
  </si>
  <si>
    <t>27/MPIB/26IN0104</t>
  </si>
  <si>
    <t>GURUDATTA CRANE SERVICE</t>
  </si>
  <si>
    <t>25-26/PUR/011815</t>
  </si>
  <si>
    <t>25-26/PUR/011818</t>
  </si>
  <si>
    <t>25-26/PUR/011819</t>
  </si>
  <si>
    <t>25-26/PUR/011824</t>
  </si>
  <si>
    <t>25-26/PUR/011829</t>
  </si>
  <si>
    <t>25-26/PUR/011870</t>
  </si>
  <si>
    <t>25-26/PUR/011892</t>
  </si>
  <si>
    <t>25-26/PUR/011893</t>
  </si>
  <si>
    <t>25-26/PUR/011926</t>
  </si>
  <si>
    <t>25-26/PUR/011929</t>
  </si>
  <si>
    <t>25-26/PUR/011974</t>
  </si>
  <si>
    <t>25-26/PUR/011975</t>
  </si>
  <si>
    <t>25-26/PUR/011987</t>
  </si>
  <si>
    <t>MH12FZ9490</t>
  </si>
  <si>
    <t>25-26/PUR/012000</t>
  </si>
  <si>
    <t>25-26/PUR/012022</t>
  </si>
  <si>
    <t>25-26/PUR/012033</t>
  </si>
  <si>
    <t>25-26/PUR/012036</t>
  </si>
  <si>
    <t>25-26/PUR/012037</t>
  </si>
  <si>
    <t>MHPV242</t>
  </si>
  <si>
    <t>25-26/PUR/012095</t>
  </si>
  <si>
    <t>25-26/PUR/012099</t>
  </si>
  <si>
    <t>25-26/PUR/012118</t>
  </si>
  <si>
    <t xml:space="preserve">MH14EM7560	</t>
  </si>
  <si>
    <t>25-26/PUR/012119</t>
  </si>
  <si>
    <t>25-26/PUR/012136</t>
  </si>
  <si>
    <t>25-26/PUR/012146</t>
  </si>
  <si>
    <t>MH14MH5499</t>
  </si>
  <si>
    <t>25-26/PUR/012147</t>
  </si>
  <si>
    <t>25-26/PUR/012148</t>
  </si>
  <si>
    <t>25-26/PUR/012182</t>
  </si>
  <si>
    <t>25-26/PUR/012183</t>
  </si>
  <si>
    <t>25-26/PUR/012184</t>
  </si>
  <si>
    <t>25-26/PUR/012185</t>
  </si>
  <si>
    <t>25-26/PUR/012186</t>
  </si>
  <si>
    <t>25-26/PUR/012188</t>
  </si>
  <si>
    <t>25-26/PUR/012189</t>
  </si>
  <si>
    <t>25-26/PUR/012218</t>
  </si>
  <si>
    <t>MH48J1014</t>
  </si>
  <si>
    <t>25-26/PUR/012219</t>
  </si>
  <si>
    <t>25-26/PUR/012229</t>
  </si>
  <si>
    <t>27EDTPM6478L1ZD</t>
  </si>
  <si>
    <t>81</t>
  </si>
  <si>
    <t>596</t>
  </si>
  <si>
    <t>25-26/PUR/011719</t>
  </si>
  <si>
    <t>25-26/PUR/011727</t>
  </si>
  <si>
    <t>25-26/PUR/011811</t>
  </si>
  <si>
    <t>25-26/PUR/011802</t>
  </si>
  <si>
    <t>Other Income</t>
  </si>
  <si>
    <t>MHPV260</t>
  </si>
  <si>
    <t>MHPV261</t>
  </si>
  <si>
    <t>MHPV262</t>
  </si>
  <si>
    <t>MHPV263</t>
  </si>
  <si>
    <t>MHPV264</t>
  </si>
  <si>
    <t xml:space="preserve">MHPV265 </t>
  </si>
  <si>
    <t>MHPV266</t>
  </si>
  <si>
    <t>MHPV267</t>
  </si>
  <si>
    <t>MHPV268</t>
  </si>
  <si>
    <t>MHPV269</t>
  </si>
  <si>
    <t>MHPV270</t>
  </si>
  <si>
    <t>MHPV271</t>
  </si>
  <si>
    <t>MHPV272</t>
  </si>
  <si>
    <t>MPPUNE/0142</t>
  </si>
  <si>
    <t xml:space="preserve">MPPUNE/0143 </t>
  </si>
  <si>
    <t>27/MPIB/26IN0114</t>
  </si>
  <si>
    <t>27/MPIB/26IN0122</t>
  </si>
  <si>
    <t>27/MPIB/26IN0107</t>
  </si>
  <si>
    <t>27/MPIB/26IN0108</t>
  </si>
  <si>
    <t>27/MPIB/26IN0109</t>
  </si>
  <si>
    <t>27/MPIB/26IN0110</t>
  </si>
  <si>
    <t>26/MPPIB/INV0567</t>
  </si>
  <si>
    <t>27/MPIB/26IN0112</t>
  </si>
  <si>
    <t>27/MPIB/26IN0113</t>
  </si>
  <si>
    <t>DN to Vendor</t>
  </si>
  <si>
    <t>Net Cost</t>
  </si>
  <si>
    <t>GST/25-26/205</t>
  </si>
  <si>
    <t>47</t>
  </si>
  <si>
    <t>48</t>
  </si>
  <si>
    <t>51</t>
  </si>
  <si>
    <t>25-26/PUR/012250</t>
  </si>
  <si>
    <t>25-26/PUR/012264</t>
  </si>
  <si>
    <t>25-26/PUR/012265</t>
  </si>
  <si>
    <t>25-26/PUR/012266</t>
  </si>
  <si>
    <t>25-26/PUR/012268</t>
  </si>
  <si>
    <t>25-26/PUR/012269</t>
  </si>
  <si>
    <t>25-26/PUR/012285</t>
  </si>
  <si>
    <t>25-26/PUR/012349</t>
  </si>
  <si>
    <t>25-26/PUR/012390</t>
  </si>
  <si>
    <t>GST/25-26/200</t>
  </si>
  <si>
    <t>25-26/PUR/012394</t>
  </si>
  <si>
    <t>GST/25-26/211</t>
  </si>
  <si>
    <t>25-26/PUR/012404</t>
  </si>
  <si>
    <t>25-26/PUR/012439</t>
  </si>
  <si>
    <t>25-26/PUR/012441</t>
  </si>
  <si>
    <t>25-26/PUR/012691</t>
  </si>
  <si>
    <t>25-26/PUR/012694</t>
  </si>
  <si>
    <t>GST/25-26/215</t>
  </si>
  <si>
    <t>25-26/PUR/012761</t>
  </si>
  <si>
    <t>25-26/PUR/012769</t>
  </si>
  <si>
    <t>25-26/PUR/012825</t>
  </si>
  <si>
    <t>25-26/PUR/012828</t>
  </si>
  <si>
    <t>MH6190006419</t>
  </si>
  <si>
    <t>MH6190006420</t>
  </si>
  <si>
    <t>MH5150008396</t>
  </si>
  <si>
    <t>MH6190006418</t>
  </si>
  <si>
    <t>MH6190006417</t>
  </si>
  <si>
    <t>MH0190005189</t>
  </si>
  <si>
    <t>MH0190003994</t>
  </si>
  <si>
    <t>GST/25-26/212</t>
  </si>
  <si>
    <t>25-26/PUR/012287</t>
  </si>
  <si>
    <t>Supporting Service charges</t>
  </si>
  <si>
    <t>25-26/PUR/012288</t>
  </si>
  <si>
    <t>25-26/PUR/012289</t>
  </si>
  <si>
    <t>Penalty Charges</t>
  </si>
  <si>
    <t>25-26/PUR/012283</t>
  </si>
  <si>
    <t>25-26/PUR/012284</t>
  </si>
  <si>
    <t>25-26/PUR/012331</t>
  </si>
  <si>
    <t>25-26/PUR/012332</t>
  </si>
  <si>
    <t>25-26/PUR/012401</t>
  </si>
  <si>
    <t>25-26/PUR/012555</t>
  </si>
  <si>
    <t>MANPOWER SUPPLY SERVICES</t>
  </si>
  <si>
    <t>26/MPPIB/INV0581</t>
  </si>
  <si>
    <t>ANNASAHEB BATHE</t>
  </si>
  <si>
    <t>Reimbursement - NIKITA MITHUN SHETTY (RT0671)</t>
  </si>
  <si>
    <t>Fixed Assets</t>
  </si>
  <si>
    <t>MPPUNE/0144</t>
  </si>
  <si>
    <t>27/MPIB/26IN0124</t>
  </si>
  <si>
    <t>MHPV273</t>
  </si>
  <si>
    <t>MHPV274</t>
  </si>
  <si>
    <t>MHPV275</t>
  </si>
  <si>
    <t>MHPV276</t>
  </si>
  <si>
    <t>MHPV277</t>
  </si>
  <si>
    <t>MHPV278</t>
  </si>
  <si>
    <t>MHPV279</t>
  </si>
  <si>
    <t>MHPV280</t>
  </si>
  <si>
    <t>25-26/PUR/013056</t>
  </si>
  <si>
    <t>25-26/PUR/013057</t>
  </si>
  <si>
    <t>25-26/PUR/013063</t>
  </si>
  <si>
    <t>25-26/PUR/013094</t>
  </si>
  <si>
    <t>25-26/PUR/013095</t>
  </si>
  <si>
    <t>25-26/PUR/013127</t>
  </si>
  <si>
    <t>25-26/PUR/013121</t>
  </si>
  <si>
    <t>25-26/PUR/013129</t>
  </si>
  <si>
    <t>MHPV281</t>
  </si>
  <si>
    <t>MHPV282</t>
  </si>
  <si>
    <t xml:space="preserve">MHPV283 </t>
  </si>
  <si>
    <t>MHPV284</t>
  </si>
  <si>
    <t>MHPV285</t>
  </si>
  <si>
    <t>MHPV286</t>
  </si>
  <si>
    <t>MHPV287</t>
  </si>
  <si>
    <t>MHPV288</t>
  </si>
  <si>
    <t>MHPV289</t>
  </si>
  <si>
    <t>MHPV290</t>
  </si>
  <si>
    <t>MHPV291</t>
  </si>
  <si>
    <t>MHPV292</t>
  </si>
  <si>
    <t>25-26/PUR/013152</t>
  </si>
  <si>
    <t>25-26/PUR/013182</t>
  </si>
  <si>
    <t>25-26/PUR/013183</t>
  </si>
  <si>
    <t>25-26/PUR/013184</t>
  </si>
  <si>
    <t>25-26/PUR/013190</t>
  </si>
  <si>
    <t>25-26/PUR/013222</t>
  </si>
  <si>
    <t>25-26/PUR/013331</t>
  </si>
  <si>
    <t>25-26/PUR/013333</t>
  </si>
  <si>
    <t>25-26/PUR/013346</t>
  </si>
  <si>
    <t>25-26/PUR/013348</t>
  </si>
  <si>
    <t>25-26/PUR/013366</t>
  </si>
  <si>
    <t>25-26/PUR/013385</t>
  </si>
  <si>
    <t>MPPUNE/0145</t>
  </si>
  <si>
    <t>27/MPIB/26IN0131</t>
  </si>
  <si>
    <t>MHPV293</t>
  </si>
  <si>
    <t>MHPV294</t>
  </si>
  <si>
    <t>MHPV295</t>
  </si>
  <si>
    <t>MHPV296</t>
  </si>
  <si>
    <t>MHPV297</t>
  </si>
  <si>
    <t>MHPV298</t>
  </si>
  <si>
    <t>MHPV299</t>
  </si>
  <si>
    <t>MHPV300</t>
  </si>
  <si>
    <t>MHPV301</t>
  </si>
  <si>
    <t>MHPV302</t>
  </si>
  <si>
    <t>MHPV303</t>
  </si>
  <si>
    <t>MHPV324</t>
  </si>
  <si>
    <t>MHPV325</t>
  </si>
  <si>
    <t>25-26/PUR/013467</t>
  </si>
  <si>
    <t>25-26/PUR/013469</t>
  </si>
  <si>
    <t>25-26/PUR/013522</t>
  </si>
  <si>
    <t>25-26/PUR/013667</t>
  </si>
  <si>
    <t>25-26/PUR/013670</t>
  </si>
  <si>
    <t>25-26/PUR/013814</t>
  </si>
  <si>
    <t>25-26/PUR/013815</t>
  </si>
  <si>
    <t>MH12KP1509</t>
  </si>
  <si>
    <t>26/MPPIB/INV0599</t>
  </si>
  <si>
    <t>26/MPPIB/INV0603</t>
  </si>
  <si>
    <t>27/MPIB/26IN0138</t>
  </si>
  <si>
    <t>27/MPIB/26IN0141</t>
  </si>
  <si>
    <t>27/MPIB/26IN0142</t>
  </si>
  <si>
    <t>27/MPIB/26IN0144</t>
  </si>
  <si>
    <t>27/MPIB/26IN0145</t>
  </si>
  <si>
    <t>27/MPIB/26IN0148</t>
  </si>
  <si>
    <t>MPPUNE/0146</t>
  </si>
  <si>
    <t>MPPUNE/0147</t>
  </si>
  <si>
    <t>MPPUNE/0148</t>
  </si>
  <si>
    <t>MPPUNE/0149</t>
  </si>
  <si>
    <t>MPPUNE/0150</t>
  </si>
  <si>
    <t>MPPUNE/0151</t>
  </si>
  <si>
    <t>MHPV304</t>
  </si>
  <si>
    <t>MHPV305</t>
  </si>
  <si>
    <t>MHPV306</t>
  </si>
  <si>
    <t>MHPV307</t>
  </si>
  <si>
    <t>MHPV308</t>
  </si>
  <si>
    <t>MHPV309</t>
  </si>
  <si>
    <t>MHPV310</t>
  </si>
  <si>
    <t>MHPV311</t>
  </si>
  <si>
    <t>MHPV312</t>
  </si>
  <si>
    <t>MHPV313</t>
  </si>
  <si>
    <t>MHPV314</t>
  </si>
  <si>
    <t>MHPV315</t>
  </si>
  <si>
    <t>MHPV316</t>
  </si>
  <si>
    <t>MHPV317</t>
  </si>
  <si>
    <t>MHPV318</t>
  </si>
  <si>
    <t>MHPV319</t>
  </si>
  <si>
    <t>MHPV320</t>
  </si>
  <si>
    <t>MHPV321</t>
  </si>
  <si>
    <t>MHPV322</t>
  </si>
  <si>
    <t>MHPV323</t>
  </si>
  <si>
    <t>110</t>
  </si>
  <si>
    <t>111</t>
  </si>
  <si>
    <t>25-26/PUR/013921</t>
  </si>
  <si>
    <t>25-26/PUR/013922</t>
  </si>
  <si>
    <t>25-26/PUR/013920</t>
  </si>
  <si>
    <t>107</t>
  </si>
  <si>
    <t>25-26/PUR/013934</t>
  </si>
  <si>
    <t>710</t>
  </si>
  <si>
    <t>25-26/PUR/013970</t>
  </si>
  <si>
    <t>175</t>
  </si>
  <si>
    <t>25-26/PUR/013964</t>
  </si>
  <si>
    <t>MPPUNE/0152</t>
  </si>
  <si>
    <t>MPPUNE/0153</t>
  </si>
  <si>
    <t>MPPUNE/0154</t>
  </si>
  <si>
    <t>MPPUNE/0155</t>
  </si>
  <si>
    <t>MPPUNE/0156</t>
  </si>
  <si>
    <t>MPPUNE/0157</t>
  </si>
  <si>
    <t>MPPUNE/0158</t>
  </si>
  <si>
    <t>MPPUNE/0159</t>
  </si>
  <si>
    <t>27/MPIB/26IN0151</t>
  </si>
  <si>
    <t>27/MPIB/26IN0152</t>
  </si>
  <si>
    <t>27/MPIB/26IN0153</t>
  </si>
  <si>
    <t>27/MPIB/26IN0154</t>
  </si>
  <si>
    <t>27/MPIB/26IN0155</t>
  </si>
  <si>
    <t>27/MPIB/26IN0159</t>
  </si>
  <si>
    <t>27/MPIB/26IN0160</t>
  </si>
  <si>
    <t>27/MPIB/26IN0161</t>
  </si>
  <si>
    <t>Purchases(Inc Inward Cost)</t>
  </si>
  <si>
    <t>27/MPIB/26IN0167</t>
  </si>
  <si>
    <t>MPPUNE/0160</t>
  </si>
  <si>
    <t>53</t>
  </si>
  <si>
    <t>52</t>
  </si>
  <si>
    <t>57</t>
  </si>
  <si>
    <t>55</t>
  </si>
  <si>
    <t>54</t>
  </si>
  <si>
    <t>25-26/PUR/015641</t>
  </si>
  <si>
    <t>25-26/PUR/015642</t>
  </si>
  <si>
    <t>25-26/PUR/015643</t>
  </si>
  <si>
    <t>25-26/PUR/015644</t>
  </si>
  <si>
    <t>25-26/PUR/015645</t>
  </si>
  <si>
    <t>25-26/PUR/015647</t>
  </si>
  <si>
    <t>25-26/PUR/015648</t>
  </si>
  <si>
    <t>25-26/PUR/015465</t>
  </si>
  <si>
    <t>25-26/PUR/015512</t>
  </si>
  <si>
    <t>MCIPL/479/25-26</t>
  </si>
  <si>
    <t>GST/25-26/230</t>
  </si>
  <si>
    <t>MUNGIPA CORPORATION INDIA PRIVATE LIMITED</t>
  </si>
  <si>
    <t>27AAKCM6876F1ZY</t>
  </si>
  <si>
    <t>MCIPL/478/25-26</t>
  </si>
  <si>
    <t>25-26/PUR/015467</t>
  </si>
  <si>
    <t>PROCESSING SERVICE CHARGES</t>
  </si>
  <si>
    <t>25-26/PUR/015562</t>
  </si>
  <si>
    <t>GJ27TG3569</t>
  </si>
  <si>
    <t>SHARIFUNANISA ABDUL GAFFAR SHAH</t>
  </si>
  <si>
    <t>MPPUNE/0161</t>
  </si>
  <si>
    <t>27/MPIB/26IN0171</t>
  </si>
  <si>
    <t>25-26/PUR/016052</t>
  </si>
  <si>
    <t>GJ36T7485</t>
  </si>
  <si>
    <t>25-26/PUR/016807</t>
  </si>
  <si>
    <t>MPPUNE/0163</t>
  </si>
  <si>
    <t>27/MPIB/26IN0182</t>
  </si>
  <si>
    <t>`</t>
  </si>
  <si>
    <t>26/MPMET/INV4073</t>
  </si>
  <si>
    <t>26/MPMET/INV4077</t>
  </si>
  <si>
    <t>26/MPMET/INV4114</t>
  </si>
  <si>
    <t>26/MPMET/INV4201</t>
  </si>
  <si>
    <t>835</t>
  </si>
  <si>
    <t>25-26/PUR/017617</t>
  </si>
  <si>
    <t>117</t>
  </si>
  <si>
    <t>25-26/PUR/017663</t>
  </si>
  <si>
    <t>MPPUNE/0164</t>
  </si>
  <si>
    <t>MPPUNE/0165</t>
  </si>
  <si>
    <t>MPPUNE/0166</t>
  </si>
  <si>
    <t>MPPUNE/0167</t>
  </si>
  <si>
    <t>JSW STEEL LIMITED (27)</t>
  </si>
  <si>
    <t>JSW LIMITED (27)</t>
  </si>
  <si>
    <t>Nov-25</t>
  </si>
  <si>
    <t>Dec-25</t>
  </si>
  <si>
    <t>Institutional Business X Metal</t>
  </si>
  <si>
    <t>Reimbursement - Mayank Dixit (RT0840)</t>
  </si>
  <si>
    <t>25-26/PUR/018018</t>
  </si>
  <si>
    <t>25-26/PUR/018491</t>
  </si>
  <si>
    <t>26/MPMET/INV4305</t>
  </si>
  <si>
    <t>26/MPMET/INV4308</t>
  </si>
  <si>
    <t>26/MPMET/INV4339</t>
  </si>
  <si>
    <t>26/MPMET/INV4364</t>
  </si>
  <si>
    <t>MPPUNE/0168</t>
  </si>
  <si>
    <t>MPPUNE/0169</t>
  </si>
  <si>
    <t>MPPUNE/0170</t>
  </si>
  <si>
    <t>MPPUNE/0171</t>
  </si>
  <si>
    <t>26/MPMET/INV4434</t>
  </si>
  <si>
    <t>Vendor</t>
  </si>
  <si>
    <t>Type of Service</t>
  </si>
  <si>
    <t>Labour &amp; Logistics</t>
  </si>
  <si>
    <t>Labour</t>
  </si>
  <si>
    <t>Logistics</t>
  </si>
  <si>
    <t>Labour, Crane &amp; Logistics</t>
  </si>
  <si>
    <t>Consumables</t>
  </si>
  <si>
    <t>Crane</t>
  </si>
  <si>
    <t>Labour, Seller, Buyer</t>
  </si>
  <si>
    <t>26/MPMET/INV4463</t>
  </si>
  <si>
    <t>26/MPMET/INV4464</t>
  </si>
  <si>
    <t>26/MPMET/INV4485</t>
  </si>
  <si>
    <t>MPPUNE/0172</t>
  </si>
  <si>
    <t>MPPUNE/0173</t>
  </si>
  <si>
    <t>MPPUNE/0174</t>
  </si>
  <si>
    <t>MPPUNE/0175</t>
  </si>
  <si>
    <t>26/MPMET/INV4505</t>
  </si>
  <si>
    <t>26/MPMET/INV4523</t>
  </si>
  <si>
    <t>26/MPMET/INV4528</t>
  </si>
  <si>
    <t>26/MPMET/INV4531</t>
  </si>
  <si>
    <t>SHREE MAHALAXMI TRANSPORT</t>
  </si>
  <si>
    <t>BHAGYASHREE MAHESH RATHOD</t>
  </si>
  <si>
    <t>161</t>
  </si>
  <si>
    <t>25-26/PUR/018825</t>
  </si>
  <si>
    <t>25-26/PUR/019005</t>
  </si>
  <si>
    <t>MPPUNE/0176</t>
  </si>
  <si>
    <t>MPPUNE/0177</t>
  </si>
  <si>
    <t>MPPUNE/0178</t>
  </si>
  <si>
    <t>MPPUNE/0179</t>
  </si>
  <si>
    <t>date</t>
  </si>
  <si>
    <t>status</t>
  </si>
  <si>
    <t>entity</t>
  </si>
  <si>
    <t>age</t>
  </si>
  <si>
    <t>due_date</t>
  </si>
  <si>
    <t>transaction_number</t>
  </si>
  <si>
    <t>balance</t>
  </si>
  <si>
    <t>amount</t>
  </si>
  <si>
    <t>overdue</t>
  </si>
  <si>
    <t>invoice</t>
  </si>
  <si>
    <t>sent</t>
  </si>
  <si>
    <t>Vadodara Gujarat 390024</t>
  </si>
  <si>
    <t>27/MPIB/26IN0204</t>
  </si>
  <si>
    <t>MPPUNE/0180</t>
  </si>
  <si>
    <t>Branch Change Reco</t>
  </si>
  <si>
    <t>MHPV328</t>
  </si>
  <si>
    <t>SAMRUDDHI ROADWAYS</t>
  </si>
  <si>
    <t>317</t>
  </si>
  <si>
    <t>25/PUN/INV0193</t>
  </si>
  <si>
    <t>25-26/PUR/019217</t>
  </si>
  <si>
    <t>25-26/PUR/019622</t>
  </si>
  <si>
    <t>25-26/PUR/019747</t>
  </si>
  <si>
    <t>MHPV326</t>
  </si>
  <si>
    <t>MHPV327</t>
  </si>
  <si>
    <t>HIND METAL &amp; ALLOYS PRIVATE LIMITED</t>
  </si>
  <si>
    <t>MPPUNE/0181</t>
  </si>
  <si>
    <t>27/MPIB/26IN0207</t>
  </si>
  <si>
    <t>315</t>
  </si>
  <si>
    <t>316</t>
  </si>
  <si>
    <t>25-26/PUR/019851</t>
  </si>
  <si>
    <t>25-26/PUR/019852</t>
  </si>
  <si>
    <t>313</t>
  </si>
  <si>
    <t>25-26/PUR/018433</t>
  </si>
  <si>
    <t>GJ11VV1620</t>
  </si>
  <si>
    <t>27/MPIB/26IN0210</t>
  </si>
  <si>
    <t>26/MPPIB/INV0742</t>
  </si>
  <si>
    <t>HINDALCO INDUSTRIES LIMITED</t>
  </si>
  <si>
    <t>MPPUNE/0182</t>
  </si>
  <si>
    <t>MPPUNE/0183</t>
  </si>
  <si>
    <t>SH012608026</t>
  </si>
  <si>
    <t>SH012610014</t>
  </si>
  <si>
    <t>SH012610033</t>
  </si>
  <si>
    <t>27/MET/26IN0022</t>
  </si>
  <si>
    <t>27/MET/26IN0023</t>
  </si>
  <si>
    <t>27/MET/26IN0024</t>
  </si>
  <si>
    <t>CF.SupplierInvoiceDate</t>
  </si>
  <si>
    <t>Techno Hydraulic Works</t>
  </si>
  <si>
    <t>RNS Engineering Works</t>
  </si>
  <si>
    <t>RNS/2022-23/004</t>
  </si>
  <si>
    <t>MASK HYDRAULIC MACHINERIES</t>
  </si>
  <si>
    <t>MHM/23-24/36</t>
  </si>
  <si>
    <t>MHM/23-24/59</t>
  </si>
  <si>
    <t>Reimbursement - Sanjay Prabodhnarayan Bhatia (RT0668)</t>
  </si>
  <si>
    <t>N1175Q</t>
  </si>
  <si>
    <t>BTQ53J</t>
  </si>
  <si>
    <t>KTF3XP</t>
  </si>
  <si>
    <t>N4SC2U</t>
  </si>
  <si>
    <t>INHY242500423</t>
  </si>
  <si>
    <t>EZNW6Q</t>
  </si>
  <si>
    <t>INHY242502261</t>
  </si>
  <si>
    <t>R6M74B</t>
  </si>
  <si>
    <t>5IUZOR</t>
  </si>
  <si>
    <t>RVD5VZ</t>
  </si>
  <si>
    <t>PAWANKUMAR BANSHIDHAR  SOMANI</t>
  </si>
  <si>
    <t>NIKITA ANKUSH RATHOD</t>
  </si>
  <si>
    <t>May Month Rent-2024</t>
  </si>
  <si>
    <t>Rent Expense (Mumbai Office)</t>
  </si>
  <si>
    <t>K4SHQX</t>
  </si>
  <si>
    <t>INHY242502562</t>
  </si>
  <si>
    <t>Mumbai Office expense</t>
  </si>
  <si>
    <t>Internet Expenses</t>
  </si>
  <si>
    <t>Pooja Expenses</t>
  </si>
  <si>
    <t>Consultants payment for May-2024</t>
  </si>
  <si>
    <t>June Month Rent-2024</t>
  </si>
  <si>
    <t>I2Z7GQ</t>
  </si>
  <si>
    <t>INHY242502948</t>
  </si>
  <si>
    <t>HYD - BOM</t>
  </si>
  <si>
    <t>HSWKHC</t>
  </si>
  <si>
    <t>E5DVJH</t>
  </si>
  <si>
    <t>JUTC3J</t>
  </si>
  <si>
    <t>Mumbai Office expense-2</t>
  </si>
  <si>
    <t>July Month Rent-2024</t>
  </si>
  <si>
    <t>FZ8JTJ</t>
  </si>
  <si>
    <t>OYYKMQ</t>
  </si>
  <si>
    <t>W48JYQ</t>
  </si>
  <si>
    <t>INHY242504806</t>
  </si>
  <si>
    <t>M76QFE</t>
  </si>
  <si>
    <t>INHY242507520</t>
  </si>
  <si>
    <t>MVN8VM</t>
  </si>
  <si>
    <t>INHY242505331</t>
  </si>
  <si>
    <t>PREET ENTERPRISES</t>
  </si>
  <si>
    <t>Other Office Expenses</t>
  </si>
  <si>
    <t>Mumbai Office expense-3</t>
  </si>
  <si>
    <t>August Month Rent-2024</t>
  </si>
  <si>
    <t>G5BQMP</t>
  </si>
  <si>
    <t>J9YCHR</t>
  </si>
  <si>
    <t>HYD - PNQ</t>
  </si>
  <si>
    <t>7PDRH9</t>
  </si>
  <si>
    <t>Mumbai Office expense-4</t>
  </si>
  <si>
    <t>September Month Rent-2024</t>
  </si>
  <si>
    <t>AZ9VPZ</t>
  </si>
  <si>
    <t>INHY242508604</t>
  </si>
  <si>
    <t>October Month Rent-2024</t>
  </si>
  <si>
    <t>INHY242509126</t>
  </si>
  <si>
    <t>Oct 24</t>
  </si>
  <si>
    <t>November Month Rent-2024</t>
  </si>
  <si>
    <t>Rent Security Deposit</t>
  </si>
  <si>
    <t>December Month Rent-2024</t>
  </si>
  <si>
    <t>Dec 24</t>
  </si>
  <si>
    <t>58,99</t>
  </si>
  <si>
    <t>January Month Rent-2025</t>
  </si>
  <si>
    <t>J2W2NJ</t>
  </si>
  <si>
    <t>Jan 25</t>
  </si>
  <si>
    <t>February Month Rent-2025</t>
  </si>
  <si>
    <t>J3I4XJ</t>
  </si>
  <si>
    <t>K32SJJ</t>
  </si>
  <si>
    <t>Y9WINH</t>
  </si>
  <si>
    <t>O1ZJ3P</t>
  </si>
  <si>
    <t>O3Z45J</t>
  </si>
  <si>
    <t>Y57WXW</t>
  </si>
  <si>
    <t>March Month Rent-2025</t>
  </si>
  <si>
    <t>W5B16G</t>
  </si>
  <si>
    <t>April Month Rent-2025</t>
  </si>
  <si>
    <t>RITCO LOGISTICS LIMITED</t>
  </si>
  <si>
    <t>G336/2526/00577</t>
  </si>
  <si>
    <t>SBOB-39010,VSRX-407</t>
  </si>
  <si>
    <t>JCB &amp; Cutting Charges</t>
  </si>
  <si>
    <t>fare</t>
  </si>
  <si>
    <t>Vitthal Vallabh Swami (FFIRT00377)</t>
  </si>
  <si>
    <t>Postage &amp; Courier</t>
  </si>
  <si>
    <t>September-2025</t>
  </si>
  <si>
    <t>Reimbursement-17</t>
  </si>
  <si>
    <t>Reimbursement-16</t>
  </si>
  <si>
    <t>Reimbursement-18</t>
  </si>
  <si>
    <t>Reimbursement-19</t>
  </si>
  <si>
    <t>Machinery Installation (Tanuj)</t>
  </si>
  <si>
    <t>000002942515583-August</t>
  </si>
  <si>
    <t>Reimbursement-20</t>
  </si>
  <si>
    <t>Reimbursement-21</t>
  </si>
  <si>
    <t>Reimbursement-22</t>
  </si>
  <si>
    <t>August Fuel Bills</t>
  </si>
  <si>
    <t>Reimbursement-23</t>
  </si>
  <si>
    <t>October-2025</t>
  </si>
  <si>
    <t>Diwali sweets distribution</t>
  </si>
  <si>
    <t>Advance required for Warehouse expenses</t>
  </si>
  <si>
    <t>November-2025</t>
  </si>
  <si>
    <t>Reimbursement-Nov</t>
  </si>
  <si>
    <t>3'Dec</t>
  </si>
  <si>
    <t>Reimbursement JCB</t>
  </si>
  <si>
    <t>December-2025</t>
  </si>
  <si>
    <t>Manpower Transport charges</t>
  </si>
  <si>
    <t>MPPUNE/0162</t>
  </si>
  <si>
    <t>27/MPIB/26IN0175</t>
  </si>
  <si>
    <t>VEEDUR LOGISTICS</t>
  </si>
  <si>
    <t>Labour Charges - Pune Warehouse_1</t>
  </si>
  <si>
    <t>Labour Charges - Pune Warehouse_2</t>
  </si>
  <si>
    <t>322</t>
  </si>
  <si>
    <t>319</t>
  </si>
  <si>
    <t>323</t>
  </si>
  <si>
    <t>324</t>
  </si>
  <si>
    <t>25-26/PUR/019991</t>
  </si>
  <si>
    <t>25-26/PUR/019995</t>
  </si>
  <si>
    <t>25-26/PUR/020187</t>
  </si>
  <si>
    <t>25-26/PUR/020251</t>
  </si>
  <si>
    <t>25-26/PUR/020200</t>
  </si>
  <si>
    <t>25-26/PUR/020214</t>
  </si>
  <si>
    <t>25-26/PUR/020181</t>
  </si>
  <si>
    <t>25-26/PUR/020421</t>
  </si>
  <si>
    <t>25-26/PUR/020422</t>
  </si>
  <si>
    <t>CN</t>
  </si>
  <si>
    <t>Used Beverage Can Scraps (UBC)</t>
  </si>
  <si>
    <t>Jan-26</t>
  </si>
  <si>
    <t>983</t>
  </si>
  <si>
    <t>25-26/PUR/020075</t>
  </si>
  <si>
    <t>27/MET/26IN0025</t>
  </si>
  <si>
    <t>27/MET/26IN0029</t>
  </si>
  <si>
    <t>27/MET/26IN0032</t>
  </si>
  <si>
    <t>27/MET/26IN0033</t>
  </si>
  <si>
    <t>SH012613039</t>
  </si>
  <si>
    <t>SH012614029</t>
  </si>
  <si>
    <t>SH012615034</t>
  </si>
  <si>
    <t>SH012615035</t>
  </si>
  <si>
    <t>MHPV329</t>
  </si>
  <si>
    <t>318</t>
  </si>
  <si>
    <t>25/PUN/INV0198</t>
  </si>
  <si>
    <t>325</t>
  </si>
  <si>
    <t>321</t>
  </si>
  <si>
    <t>25-26/PUR/020813</t>
  </si>
  <si>
    <t>25-26/PUR/020866</t>
  </si>
  <si>
    <t>25-26/PUR/020900</t>
  </si>
  <si>
    <t>25-26/PUR/020937</t>
  </si>
  <si>
    <t>25-26/PUR/020944</t>
  </si>
  <si>
    <t>DN</t>
  </si>
  <si>
    <t>Tata Motors Passenger Vehicle Ltd</t>
  </si>
  <si>
    <t>Tata Motors Ltd</t>
  </si>
  <si>
    <t>Mahindra &amp; Mahindra Limited Automotive Division</t>
  </si>
  <si>
    <t>Mother Stamping</t>
  </si>
  <si>
    <t>Yash Enterprises</t>
  </si>
  <si>
    <t>AUTOCOMP CORPORATION PANSE PVT LTD</t>
  </si>
  <si>
    <t>Ultra Corpotech Pvt Ltd</t>
  </si>
  <si>
    <t>Anusaya Auto Press Parts Pvt Ltd</t>
  </si>
  <si>
    <t>Track Components Limited</t>
  </si>
  <si>
    <t>MS scrap</t>
  </si>
  <si>
    <t>Used/Scrapped/Defaced Dies and Fixtures</t>
  </si>
  <si>
    <t>Scrap Steel Forging</t>
  </si>
  <si>
    <t>Heavy Metal scrap</t>
  </si>
  <si>
    <t>Used Fastner Items</t>
  </si>
  <si>
    <t>Steel Scrap Loose (CRC)</t>
  </si>
  <si>
    <t>MS scrap (CRC)</t>
  </si>
  <si>
    <t>MS Melting scrap</t>
  </si>
  <si>
    <t>Transport charges</t>
  </si>
  <si>
    <t>Detention/Return charges</t>
  </si>
  <si>
    <t>Crane/JCB charges</t>
  </si>
  <si>
    <t>Commission charges
if any</t>
  </si>
  <si>
    <t>Gas cutter charges</t>
  </si>
  <si>
    <t>Weighment charges</t>
  </si>
  <si>
    <t>Other charges</t>
  </si>
  <si>
    <t>27DIBPM1991J1ZX</t>
  </si>
  <si>
    <t>Ultra</t>
  </si>
  <si>
    <t>Ultra &amp; A60K</t>
  </si>
  <si>
    <t>Track</t>
  </si>
  <si>
    <t>Shree Balaji Metal Trading Company</t>
  </si>
  <si>
    <t>Affan Tools</t>
  </si>
  <si>
    <t>Prajapati Casting Foundry Private Limited</t>
  </si>
  <si>
    <t xml:space="preserve">Madhuban Trade Steels Private Limited </t>
  </si>
  <si>
    <t>Sneha Foundry Works</t>
  </si>
  <si>
    <t>Sona Foundry</t>
  </si>
  <si>
    <t>Sound Castings Private Limited - U5</t>
  </si>
  <si>
    <t>Sound Castings Private Limited - U2</t>
  </si>
  <si>
    <t>Sound Castings Private Limited - U3</t>
  </si>
  <si>
    <t>JSW Steel Limited (27)</t>
  </si>
  <si>
    <t>MS Scrap (CRC)</t>
  </si>
  <si>
    <t>MS Scrap (SS 410)</t>
  </si>
  <si>
    <t>Scrap steel forging</t>
  </si>
  <si>
    <t>SCRAP GAS CUT ALUMINIUM</t>
  </si>
  <si>
    <t>MPPUNE/001</t>
  </si>
  <si>
    <t>MPPUNE/002</t>
  </si>
  <si>
    <t>MPPUNE/003</t>
  </si>
  <si>
    <t>MPPUNE/004</t>
  </si>
  <si>
    <t>MPPUNE/005</t>
  </si>
  <si>
    <t>MPPUNE/006</t>
  </si>
  <si>
    <t>MPPUNE/007</t>
  </si>
  <si>
    <t>MPPUNE/008</t>
  </si>
  <si>
    <t>MPPUNE/009</t>
  </si>
  <si>
    <t>MPPUNE/010</t>
  </si>
  <si>
    <t>MPPUNE/011</t>
  </si>
  <si>
    <t>MPPUNE/012</t>
  </si>
  <si>
    <t>MPPUNE/013</t>
  </si>
  <si>
    <t>MPPUNE/014</t>
  </si>
  <si>
    <t>MPPUNE/015</t>
  </si>
  <si>
    <t>MPPUNE/016</t>
  </si>
  <si>
    <t>MPPUNE/017</t>
  </si>
  <si>
    <t>MPPUNE/018</t>
  </si>
  <si>
    <t>MPPUNE/019</t>
  </si>
  <si>
    <t>MPPUNE/020</t>
  </si>
  <si>
    <t>MPPUNE/021</t>
  </si>
  <si>
    <t>MPPUNE/022</t>
  </si>
  <si>
    <t>27/MPIB/26IN0213</t>
  </si>
  <si>
    <t>27/MET/26IN0037</t>
  </si>
  <si>
    <t>SH012621035</t>
  </si>
  <si>
    <t>SH012624031</t>
  </si>
  <si>
    <t>MHPV330</t>
  </si>
  <si>
    <t>320</t>
  </si>
  <si>
    <t>25/PUN/INV0204</t>
  </si>
  <si>
    <t>MCIPL/495/25-26</t>
  </si>
  <si>
    <t>314</t>
  </si>
  <si>
    <t>25-26/PUR/020811</t>
  </si>
  <si>
    <t>25-26/PUR/021791</t>
  </si>
  <si>
    <t>25-26/PUR/021892</t>
  </si>
  <si>
    <t>25-26/PUR/019213</t>
  </si>
  <si>
    <t>25-26/PUR/021941</t>
  </si>
  <si>
    <t>09AACCH1734P2Z8</t>
  </si>
  <si>
    <t>1146</t>
  </si>
  <si>
    <t>25-26/PUR/018760</t>
  </si>
  <si>
    <t>UP</t>
  </si>
  <si>
    <t>MH43CM9296</t>
  </si>
  <si>
    <t>Used Beverage Cans scrap (UBC)</t>
  </si>
  <si>
    <t>1181</t>
  </si>
  <si>
    <t>25-26/PUR/018796</t>
  </si>
  <si>
    <t>MH43CE9296</t>
  </si>
  <si>
    <t>UBC</t>
  </si>
  <si>
    <t>27AAMCB5608A1ZX</t>
  </si>
  <si>
    <t>Service Charges</t>
  </si>
  <si>
    <t>Obsolete Baled Scrap</t>
  </si>
  <si>
    <t>Mix MS Scrap</t>
  </si>
  <si>
    <t>CRC Scrap Baled</t>
  </si>
  <si>
    <t>CRCA Scrap</t>
  </si>
  <si>
    <t>As per Zoho P&amp;L (FY 2025-26)</t>
  </si>
  <si>
    <t>As per Zoho P&amp;L (FY 2024-25)</t>
  </si>
  <si>
    <t>Order Type</t>
  </si>
  <si>
    <t>TC Job Work</t>
  </si>
  <si>
    <t>MH14HU8400</t>
  </si>
  <si>
    <t>MH14KG6999</t>
  </si>
  <si>
    <t>MH28B7185</t>
  </si>
  <si>
    <t>MH14KG9996</t>
  </si>
  <si>
    <t>MH12HD5205</t>
  </si>
  <si>
    <t>MH14LK9995</t>
  </si>
  <si>
    <t>MH12KP6298</t>
  </si>
  <si>
    <t>MH14LK9994</t>
  </si>
  <si>
    <t>MH04GR0528</t>
  </si>
  <si>
    <t>MH14LK9992</t>
  </si>
  <si>
    <t>25-26/PUR/013678</t>
  </si>
  <si>
    <t>25-26/PUR/013679</t>
  </si>
  <si>
    <t>25-26/PUR/013684</t>
  </si>
  <si>
    <t>25-26/PUR/013681</t>
  </si>
  <si>
    <t>25-26/PUR/013685</t>
  </si>
  <si>
    <t>25-26/PUR/013686</t>
  </si>
  <si>
    <t>25-26/PUR/013682</t>
  </si>
  <si>
    <t>25-26/PUR/013683</t>
  </si>
  <si>
    <t>25-26/PUR/013680</t>
  </si>
  <si>
    <t>25-26/PUR/013688</t>
  </si>
  <si>
    <t>25-26/PUR/013700</t>
  </si>
  <si>
    <t>25-26/PUR/013689</t>
  </si>
  <si>
    <t>25-26/PUR/013691</t>
  </si>
  <si>
    <t>25-26/PUR/013702</t>
  </si>
  <si>
    <t>25-26/PUR/013696</t>
  </si>
  <si>
    <t>25-26/PUR/013692</t>
  </si>
  <si>
    <t>25-26/PUR/013693</t>
  </si>
  <si>
    <t>25-26/PUR/013690</t>
  </si>
  <si>
    <t>25-26/PUR/013698</t>
  </si>
  <si>
    <t>25-26/PUR/013703</t>
  </si>
  <si>
    <t>25-26/PUR/013701</t>
  </si>
  <si>
    <t>25-26/PUR/013695</t>
  </si>
  <si>
    <t>25-26/PUR/013697</t>
  </si>
  <si>
    <t>25-26/PUR/013694</t>
  </si>
  <si>
    <t>25-26/PUR/013699</t>
  </si>
  <si>
    <t>25-26/PUR/013687</t>
  </si>
  <si>
    <t>25-26/PUR/003242</t>
  </si>
  <si>
    <t>25-26/PUR/004073</t>
  </si>
  <si>
    <t>25-26/PUR/010258</t>
  </si>
  <si>
    <t>132</t>
  </si>
  <si>
    <t>25-26/PUR/021208</t>
  </si>
  <si>
    <t>24-25/PUR/16893</t>
  </si>
  <si>
    <t>MCIPL/492/25-26</t>
  </si>
  <si>
    <t>25-26/PUR/021889</t>
  </si>
  <si>
    <t>MCIPL/601/25-26</t>
  </si>
  <si>
    <t>25-26/PUR/021890</t>
  </si>
  <si>
    <t>25-26/PUR/021951</t>
  </si>
  <si>
    <t>27/MPIB/26IN0216</t>
  </si>
  <si>
    <t>MPPUNE/0184</t>
  </si>
  <si>
    <t>27/MPIB/26IN0217</t>
  </si>
  <si>
    <t>27/MET/26IN0041</t>
  </si>
  <si>
    <t>27/MET/26IN0042</t>
  </si>
  <si>
    <t>Calssification</t>
  </si>
  <si>
    <t>Material Cost</t>
  </si>
  <si>
    <t>SH012627019</t>
  </si>
  <si>
    <t>SH012628023</t>
  </si>
  <si>
    <t>RC10253102</t>
  </si>
  <si>
    <t>25-26/PUR/013810</t>
  </si>
  <si>
    <t>CRC Mix Scrap</t>
  </si>
  <si>
    <t>Reco</t>
  </si>
  <si>
    <t>RC10253103</t>
  </si>
  <si>
    <t>25-26/PUR/013811</t>
  </si>
  <si>
    <t>MPPUNE/0185</t>
  </si>
  <si>
    <t>27/MPIB/26IN0219</t>
  </si>
  <si>
    <t>Commercial</t>
  </si>
  <si>
    <t>Classification</t>
  </si>
  <si>
    <t>Mungipa</t>
  </si>
  <si>
    <t>Key</t>
  </si>
  <si>
    <t>Sr No</t>
  </si>
  <si>
    <t>State</t>
  </si>
  <si>
    <t>City</t>
  </si>
  <si>
    <t>Institutional client/Local seller</t>
  </si>
  <si>
    <t>Site name/Code</t>
  </si>
  <si>
    <t>Lot no if any</t>
  </si>
  <si>
    <t>Lot allotted month</t>
  </si>
  <si>
    <t>Date of Loading</t>
  </si>
  <si>
    <t>Vehicle Number</t>
  </si>
  <si>
    <t>Qty in kg
as per seller</t>
  </si>
  <si>
    <t>Qty in kg
as per Warehouse</t>
  </si>
  <si>
    <t>Base Purchase rate in kgs</t>
  </si>
  <si>
    <t>Purchase invoice number</t>
  </si>
  <si>
    <t>Purchase invoice date</t>
  </si>
  <si>
    <t>Purchase amt excl tax</t>
  </si>
  <si>
    <t>GST</t>
  </si>
  <si>
    <t>TCS</t>
  </si>
  <si>
    <t>Purchase amt incl tax</t>
  </si>
  <si>
    <t>Purchase invoice received</t>
  </si>
  <si>
    <t>Crane/JCB Date/Bill No</t>
  </si>
  <si>
    <t>Crane service Provider</t>
  </si>
  <si>
    <t>Total purchase amt excl tax</t>
  </si>
  <si>
    <t>Pre-Processing Cost
(INR/KG)</t>
  </si>
  <si>
    <t>Processing Cost (INR/KG)</t>
  </si>
  <si>
    <t>Ex-Works Cost (INR/KG)</t>
  </si>
  <si>
    <t>Finance Check</t>
  </si>
  <si>
    <t>Processing Charge</t>
  </si>
  <si>
    <t>CM %</t>
  </si>
  <si>
    <t>EMPTY PVC DRUM 210 LTR CAP</t>
  </si>
  <si>
    <t>SH022602027</t>
  </si>
  <si>
    <t>27/MET/26IN0059</t>
  </si>
  <si>
    <t>27/MET/26IN0052</t>
  </si>
  <si>
    <t>MAHARASTRA GUJARAT ROAD WAYS</t>
  </si>
  <si>
    <t>SHIVANI ENTERPRISES &amp; VIGHNAHARTA TRANSPORT</t>
  </si>
  <si>
    <t>PRASHANT GANGARAM BOROLE</t>
  </si>
  <si>
    <t>145</t>
  </si>
  <si>
    <t>223</t>
  </si>
  <si>
    <t>2025/26-001</t>
  </si>
  <si>
    <t>IB WARE HOUSE - AMIT 1</t>
  </si>
  <si>
    <t>IB WARE HOUSE - AMIT 2</t>
  </si>
  <si>
    <t>180</t>
  </si>
  <si>
    <t>25-26/PUR/022709</t>
  </si>
  <si>
    <t>25-26/PUR/022885</t>
  </si>
  <si>
    <t>25-26/PUR/022893</t>
  </si>
  <si>
    <t>25-26/PUR/022982</t>
  </si>
  <si>
    <t>25-26/PUR/022983</t>
  </si>
  <si>
    <t>25-26/PUR/022987</t>
  </si>
  <si>
    <t>SH022614010</t>
  </si>
  <si>
    <t>27/MET/26IN0089</t>
  </si>
  <si>
    <t>25/PUN/INV0220</t>
  </si>
  <si>
    <t>25-26/PUR/023511</t>
  </si>
  <si>
    <t>Sanjay Prabodhnarayan Bhatia</t>
  </si>
  <si>
    <t>Consultancy charges for Jan-26</t>
  </si>
  <si>
    <t>Feb-26</t>
  </si>
  <si>
    <t>SHARMA &amp; SONS</t>
  </si>
  <si>
    <t>19BEXPS4386H1ZF</t>
  </si>
  <si>
    <t>27/MET/26IN0096</t>
  </si>
  <si>
    <t>27/MET/26IN0100</t>
  </si>
  <si>
    <t>27/MET/26IN0102</t>
  </si>
  <si>
    <t>27/MET/26IN0105</t>
  </si>
  <si>
    <t>27/MET/26IN0108</t>
  </si>
  <si>
    <t>27/MET/26IN0110</t>
  </si>
  <si>
    <t>SH022601015</t>
  </si>
  <si>
    <t>SH022617025</t>
  </si>
  <si>
    <t>SH022618042</t>
  </si>
  <si>
    <t>SH022619010</t>
  </si>
  <si>
    <t>SH022620030</t>
  </si>
  <si>
    <t>SH022621013</t>
  </si>
  <si>
    <t>SH022622021</t>
  </si>
  <si>
    <t>HMS Scrap - Plate Cutting</t>
  </si>
  <si>
    <t>25-26/PUR/024138</t>
  </si>
  <si>
    <t>48A</t>
  </si>
  <si>
    <t>MPPUNE/0186</t>
  </si>
  <si>
    <t>GJ24X7147</t>
  </si>
  <si>
    <t>25/PUN/INV0234</t>
  </si>
  <si>
    <t>25-26/PUR/024373</t>
  </si>
  <si>
    <t>MIX MINERALS FLOOR SWEEPING (NSD)</t>
  </si>
  <si>
    <t>26/MPPIB/INV0835</t>
  </si>
  <si>
    <t>SH022623028</t>
  </si>
  <si>
    <t>SH022624018</t>
  </si>
  <si>
    <t>SH022624020</t>
  </si>
  <si>
    <t>SH022626013</t>
  </si>
  <si>
    <t>SH022626012</t>
  </si>
  <si>
    <t>SH022627023</t>
  </si>
  <si>
    <t>27/MET/26IN0095</t>
  </si>
  <si>
    <t>27/MET/26IN0114</t>
  </si>
  <si>
    <t>27/MET/26IN0119</t>
  </si>
  <si>
    <t>27/MET/26IN0120</t>
  </si>
  <si>
    <t>27/MET/26IN0126</t>
  </si>
  <si>
    <t>27/MET/26IN0125</t>
  </si>
  <si>
    <t>27/MET/26IN0128</t>
  </si>
  <si>
    <t>68 &amp; 69</t>
  </si>
  <si>
    <t>202</t>
  </si>
  <si>
    <t>201</t>
  </si>
  <si>
    <t>26/MPPIB/DN0012</t>
  </si>
  <si>
    <t>26/MPPIB/DN0014</t>
  </si>
  <si>
    <t>25-26/PUR/024477</t>
  </si>
  <si>
    <t>25-26/PUR/024828</t>
  </si>
  <si>
    <t>25-26/PUR/024854</t>
  </si>
  <si>
    <t>25-26/PUR/024901</t>
  </si>
  <si>
    <t>25-26/PUR/024905</t>
  </si>
  <si>
    <t>UBC Bundle</t>
  </si>
  <si>
    <t>1117</t>
  </si>
  <si>
    <t>25-26/PUR/024438</t>
  </si>
  <si>
    <t>04</t>
  </si>
  <si>
    <t>25-26/PUR/024545</t>
  </si>
  <si>
    <t>Branch/Metal Reco</t>
  </si>
  <si>
    <t>SH032607014</t>
  </si>
  <si>
    <t>27/MET/26IN0138</t>
  </si>
  <si>
    <t>200</t>
  </si>
  <si>
    <t>77</t>
  </si>
  <si>
    <t>331</t>
  </si>
  <si>
    <t>328</t>
  </si>
  <si>
    <t>333</t>
  </si>
  <si>
    <t>332</t>
  </si>
  <si>
    <t>310</t>
  </si>
  <si>
    <t>327</t>
  </si>
  <si>
    <t>330</t>
  </si>
  <si>
    <t>351</t>
  </si>
  <si>
    <t>25-26/PUR/024685</t>
  </si>
  <si>
    <t>25-26/PUR/024991</t>
  </si>
  <si>
    <t>25-26/PUR/025022</t>
  </si>
  <si>
    <t>25-26/PUR/025014</t>
  </si>
  <si>
    <t>25-26/PUR/025018</t>
  </si>
  <si>
    <t>25-26/PUR/025024</t>
  </si>
  <si>
    <t>25-26/PUR/025026</t>
  </si>
  <si>
    <t>25-26/PUR/025030</t>
  </si>
  <si>
    <t>25-26/PUR/025079</t>
  </si>
  <si>
    <t>25-26/PUR/025378</t>
  </si>
  <si>
    <t>2025-06-13</t>
  </si>
  <si>
    <t>208</t>
  </si>
  <si>
    <t>2025-10-15</t>
  </si>
  <si>
    <t>2025-10-27</t>
  </si>
  <si>
    <t>2025-11-11</t>
  </si>
  <si>
    <t>2026-01-27</t>
  </si>
  <si>
    <t>2026-03-24</t>
  </si>
  <si>
    <t>2026-03-26</t>
  </si>
  <si>
    <t>2026-03-06</t>
  </si>
  <si>
    <t>2025-08-29</t>
  </si>
  <si>
    <t>2026-02-28</t>
  </si>
  <si>
    <t>2026-03-21</t>
  </si>
  <si>
    <t>Mar-26</t>
  </si>
  <si>
    <t>Margin after Opex &amp; Finance Cost</t>
  </si>
  <si>
    <t>GJ19X6960</t>
  </si>
  <si>
    <t>SH03261207</t>
  </si>
  <si>
    <t>SH03261404</t>
  </si>
  <si>
    <t>27/MPIB/26IN0224</t>
  </si>
  <si>
    <t>27/MPIB/26IN0226</t>
  </si>
  <si>
    <t>NIR METALS</t>
  </si>
  <si>
    <t>TEXA METALS AND ALLOYS PRIVATE LIMITED</t>
  </si>
  <si>
    <t>Aluminium Foil Scrap</t>
  </si>
  <si>
    <t>Aluminium Utensil Scrap</t>
  </si>
  <si>
    <t>27/MET/26IN0142</t>
  </si>
  <si>
    <t>27/MET/26IN0143</t>
  </si>
  <si>
    <t>27/MET/26IN0144</t>
  </si>
  <si>
    <t>27/MET/26IN0146</t>
  </si>
  <si>
    <t>SH03261308</t>
  </si>
  <si>
    <t>SH03261401</t>
  </si>
  <si>
    <t>SH032614011</t>
  </si>
  <si>
    <t>SH03261501</t>
  </si>
  <si>
    <t>JETY STEEL</t>
  </si>
  <si>
    <t>SH032611012</t>
  </si>
  <si>
    <t>27/MPIB/26IN0223</t>
  </si>
  <si>
    <t>27/MPIB/26IN0222</t>
  </si>
  <si>
    <t>SH032609010</t>
  </si>
  <si>
    <t>25-26/PUR/025463</t>
  </si>
  <si>
    <t>309</t>
  </si>
  <si>
    <t>329</t>
  </si>
  <si>
    <t>205</t>
  </si>
  <si>
    <t>206</t>
  </si>
  <si>
    <t>IB WARE HOUSE - AMIT 4</t>
  </si>
  <si>
    <t>207</t>
  </si>
  <si>
    <t>25-26/PUR/025001</t>
  </si>
  <si>
    <t>25-26/PUR/025471</t>
  </si>
  <si>
    <t>25-26/PUR/025562</t>
  </si>
  <si>
    <t>25-26/PUR/025568</t>
  </si>
  <si>
    <t>25-26/PUR/025584</t>
  </si>
  <si>
    <t>25-26/PUR/025698</t>
  </si>
  <si>
    <t>25-26/PUR/025672</t>
  </si>
  <si>
    <t>27/MPIB/26DN0018</t>
  </si>
  <si>
    <t>27/MPIB/26DN0027</t>
  </si>
  <si>
    <t>YASH TEA CENTER</t>
  </si>
  <si>
    <t>BHARTI AIRTEL LIMITED</t>
  </si>
  <si>
    <t>reimbursement pune warehouse</t>
  </si>
  <si>
    <t>Consultancy charges for Feb-26</t>
  </si>
  <si>
    <t>payment_terms</t>
  </si>
  <si>
    <t>gst_no</t>
  </si>
  <si>
    <t>credit_limit</t>
  </si>
  <si>
    <t>contact.CF.Vertical Name</t>
  </si>
  <si>
    <t>Net 60 (Days)</t>
  </si>
  <si>
    <t>27FOPPP0063C1ZW</t>
  </si>
  <si>
    <t>Net 5 (Days)</t>
  </si>
  <si>
    <t>27GDOPP3879K1ZG</t>
  </si>
  <si>
    <t>215</t>
  </si>
  <si>
    <t xml:space="preserve">Advance Payment </t>
  </si>
  <si>
    <t xml:space="preserve">On delivery </t>
  </si>
  <si>
    <t>21AAACH1201R1ZZ</t>
  </si>
  <si>
    <t>Net 15 (Days)</t>
  </si>
  <si>
    <t>Net 30 (Days)</t>
  </si>
  <si>
    <t>Unused</t>
  </si>
  <si>
    <t>Value</t>
  </si>
  <si>
    <t>Seller_Inv_No</t>
  </si>
  <si>
    <t>Voucher_No</t>
  </si>
  <si>
    <t>Bill_Date</t>
  </si>
  <si>
    <t>122511117449</t>
  </si>
  <si>
    <t>8252001928</t>
  </si>
  <si>
    <t>25/PUN/INV0219</t>
  </si>
  <si>
    <t>25/PUN/INV0231</t>
  </si>
  <si>
    <t>25/PUN/INV0238</t>
  </si>
  <si>
    <t>25/PUN/INV0251</t>
  </si>
  <si>
    <t>25-26/PUR/022883</t>
  </si>
  <si>
    <t>25-26/PUR/024148</t>
  </si>
  <si>
    <t>MHPV331</t>
  </si>
  <si>
    <t>25-26/PUR/024988</t>
  </si>
  <si>
    <t>MHPV332</t>
  </si>
  <si>
    <t>25-26/PUR/025764</t>
  </si>
  <si>
    <t>Black Gold Pvt Ltd</t>
  </si>
  <si>
    <t>GJ12AW0437</t>
  </si>
  <si>
    <t>SAVLI Gujarat 391775</t>
  </si>
  <si>
    <t>26/MPPIB/INV0886</t>
  </si>
  <si>
    <t>SLIPL-142-25-26, SLIPL-143-25-26</t>
  </si>
  <si>
    <t>27/MPIB/26IN0228</t>
  </si>
  <si>
    <t>SH03262104</t>
  </si>
  <si>
    <t>27/MPIB/26IN0227</t>
  </si>
  <si>
    <t>RETECK ENVIROTECH PRIVATE LIMITED</t>
  </si>
  <si>
    <t>Mix Aluminium Scrap</t>
  </si>
  <si>
    <t>SHOBRAJ LOGISTICS INDIA PRIVATE LIMITED</t>
  </si>
  <si>
    <t>211</t>
  </si>
  <si>
    <t>212</t>
  </si>
  <si>
    <t>213</t>
  </si>
  <si>
    <t>27/MPIB/26DN0023</t>
  </si>
  <si>
    <t>27/MPIB/26DN0026</t>
  </si>
  <si>
    <t>214</t>
  </si>
  <si>
    <t>216</t>
  </si>
  <si>
    <t>SLIPL-143-25-26</t>
  </si>
  <si>
    <t>SLIPL-142-25-26</t>
  </si>
  <si>
    <t>25-26/PUR/025954</t>
  </si>
  <si>
    <t>25-26/PUR/025953</t>
  </si>
  <si>
    <t>25-26/PUR/025955</t>
  </si>
  <si>
    <t>25-26/PUR/025962</t>
  </si>
  <si>
    <t>25-26/PUR/025963</t>
  </si>
  <si>
    <t>25-26/PUR/025960</t>
  </si>
  <si>
    <t>25-26/PUR/025958</t>
  </si>
  <si>
    <t>25-26/PUR/025959</t>
  </si>
  <si>
    <t>25-26/PUR/026099</t>
  </si>
  <si>
    <t>25-26/PUR/026100</t>
  </si>
  <si>
    <t>Material_Generic</t>
  </si>
  <si>
    <t>Inward Qty</t>
  </si>
  <si>
    <t>Outward Qty</t>
  </si>
  <si>
    <t>222</t>
  </si>
  <si>
    <t>Marketplace (Metal Waste)</t>
  </si>
  <si>
    <t>Marketplace (IT Assets Disposition)</t>
  </si>
  <si>
    <t>2026-04-19</t>
  </si>
  <si>
    <t>27AAHCR2638B1ZK</t>
  </si>
  <si>
    <t>MH2619004281</t>
  </si>
  <si>
    <t>25-26/PUR/026458</t>
  </si>
  <si>
    <t>MH6190000011</t>
  </si>
  <si>
    <t>25-26/PUR/026457</t>
  </si>
  <si>
    <t>26/MPPIB/INV0895</t>
  </si>
  <si>
    <t>27/MPIB/26IN0229</t>
  </si>
  <si>
    <t>27/MPIB/26IN0232</t>
  </si>
  <si>
    <t>27/MPIB/26IN0230</t>
  </si>
  <si>
    <t>26/MPPIB/INV0900</t>
  </si>
  <si>
    <t>27/MPIB/26IN0231</t>
  </si>
  <si>
    <t>SH03262704</t>
  </si>
  <si>
    <t>27/MPIB/26IN0233</t>
  </si>
  <si>
    <t>27/MET/26IN0152</t>
  </si>
  <si>
    <t>210</t>
  </si>
  <si>
    <t>346</t>
  </si>
  <si>
    <t>345</t>
  </si>
  <si>
    <t>219</t>
  </si>
  <si>
    <t>218</t>
  </si>
  <si>
    <t>220</t>
  </si>
  <si>
    <t>217</t>
  </si>
  <si>
    <t>225</t>
  </si>
  <si>
    <t>25-26/PUR/026347</t>
  </si>
  <si>
    <t>25-26/PUR/026409</t>
  </si>
  <si>
    <t>25-26/PUR/026389</t>
  </si>
  <si>
    <t>25-26/PUR/026408</t>
  </si>
  <si>
    <t>25-26/PUR/026390</t>
  </si>
  <si>
    <t>25-26/PUR/026395</t>
  </si>
  <si>
    <t>25-26/PUR/026410</t>
  </si>
  <si>
    <t>25-26/PUR/026434</t>
  </si>
  <si>
    <t>25-26/PUR/026597</t>
  </si>
  <si>
    <t>SH03262402</t>
  </si>
  <si>
    <t>27AIRPC0112C1ZY</t>
  </si>
  <si>
    <t>2026-03-31</t>
  </si>
  <si>
    <t>163</t>
  </si>
  <si>
    <t>25-26/PUR/026774</t>
  </si>
  <si>
    <t>According to Zoho</t>
  </si>
  <si>
    <t>In_Puchases_Head</t>
  </si>
  <si>
    <t>In_Logistic_Head</t>
  </si>
  <si>
    <t>Penality</t>
  </si>
  <si>
    <t>Weight (Kg)</t>
  </si>
  <si>
    <t>Category</t>
  </si>
  <si>
    <t>Commercial Loose</t>
  </si>
  <si>
    <t>Ferrous</t>
  </si>
  <si>
    <t>Commercial Baled</t>
  </si>
  <si>
    <t>CRC Baled (High Mn)</t>
  </si>
  <si>
    <t>SS Pipe</t>
  </si>
  <si>
    <t>Non-Ferrous</t>
  </si>
  <si>
    <t>Aluminium Mix</t>
  </si>
  <si>
    <t>CRC Loose (Mix)</t>
  </si>
  <si>
    <t>Aluminium Spray Can</t>
  </si>
  <si>
    <t>Aluminium Scrap</t>
  </si>
  <si>
    <t>Mix Plastic Scrap</t>
  </si>
  <si>
    <t>Plastic</t>
  </si>
  <si>
    <t>PET Scrap</t>
  </si>
  <si>
    <t>Mix Aluminium (Low Grade)</t>
  </si>
  <si>
    <t>Dust</t>
  </si>
  <si>
    <t>All</t>
  </si>
  <si>
    <t>Miscellaneous Scrap</t>
  </si>
  <si>
    <t>Loss</t>
  </si>
  <si>
    <t>Avg.Price</t>
  </si>
  <si>
    <t>Burning/Bailing Loss</t>
  </si>
  <si>
    <t>Qty_Adj</t>
  </si>
  <si>
    <t>Stock at Mungipa</t>
  </si>
  <si>
    <t>Item_Name</t>
  </si>
  <si>
    <t>AMAN MHTTU SHAIKH</t>
  </si>
  <si>
    <t>SONU KUMAR PRAJAPATI</t>
  </si>
  <si>
    <t>01</t>
  </si>
  <si>
    <t>02</t>
  </si>
  <si>
    <t>03</t>
  </si>
  <si>
    <t>05</t>
  </si>
  <si>
    <t>174</t>
  </si>
  <si>
    <t>1096</t>
  </si>
  <si>
    <t>902</t>
  </si>
  <si>
    <t>FY 2026-27</t>
  </si>
  <si>
    <t>SH032630011</t>
  </si>
  <si>
    <t>25/AHM/INV0901</t>
  </si>
  <si>
    <t>25-26/PUR/026838</t>
  </si>
  <si>
    <t>CORRUGATED BOX</t>
  </si>
  <si>
    <t>PAPER SCRAP</t>
  </si>
  <si>
    <t>WASTE BOTTLE SCRAP</t>
  </si>
  <si>
    <t>SH04260205</t>
  </si>
  <si>
    <t>25/AHM/INV0905</t>
  </si>
  <si>
    <t>25-26/PUR/027005</t>
  </si>
  <si>
    <t>SH04260206</t>
  </si>
  <si>
    <t>25/AHM/INV0907</t>
  </si>
  <si>
    <t>25-26/PUR/027009</t>
  </si>
  <si>
    <t>SH04260302</t>
  </si>
  <si>
    <t>25/AHM/INV0910</t>
  </si>
  <si>
    <t>25-26/PUR/027013</t>
  </si>
  <si>
    <t>GJ17UU4556</t>
  </si>
  <si>
    <t>Waste and scrap of paper or paperboard</t>
  </si>
  <si>
    <t>SH04260303</t>
  </si>
  <si>
    <t>25/AHM/INV0911</t>
  </si>
  <si>
    <t>25-26/PUR/027031</t>
  </si>
  <si>
    <t>SH04260304</t>
  </si>
  <si>
    <t>25/AHM/INV0909</t>
  </si>
  <si>
    <t>25-26/PUR/027012</t>
  </si>
  <si>
    <t>GJ06AX4138</t>
  </si>
  <si>
    <t>Waste of Plastics</t>
  </si>
  <si>
    <t>SH04260305</t>
  </si>
  <si>
    <t>25/AHM/INV0908</t>
  </si>
  <si>
    <t>25-26/PUR/027021</t>
  </si>
  <si>
    <t>WASTE, PAIRINGS AND SCRAP, SCRAP PVC FILM LOOSE</t>
  </si>
  <si>
    <t>SH04260401</t>
  </si>
  <si>
    <t>25/AHM/INV0914</t>
  </si>
  <si>
    <t>26-27/PUR/000021</t>
  </si>
  <si>
    <t>SH04260402</t>
  </si>
  <si>
    <t>25/AHM/INV0913</t>
  </si>
  <si>
    <t>26-27/PUR/000022</t>
  </si>
  <si>
    <t>SH04260403</t>
  </si>
  <si>
    <t>25/AHM/INV0915</t>
  </si>
  <si>
    <t>26-27/PUR/000023</t>
  </si>
  <si>
    <t>SH04260404</t>
  </si>
  <si>
    <t>25/AHM/INV0916</t>
  </si>
  <si>
    <t>26-27/PUR/000024</t>
  </si>
  <si>
    <t>SH04260608</t>
  </si>
  <si>
    <t>25/AHM/INV0912</t>
  </si>
  <si>
    <t>26-27/PUR/000103</t>
  </si>
  <si>
    <t>Waste and Scrap</t>
  </si>
  <si>
    <t>SH04260609</t>
  </si>
  <si>
    <t>25/AHM/INV0917</t>
  </si>
  <si>
    <t>26-27/PUR/000105</t>
  </si>
  <si>
    <t>SH04260701</t>
  </si>
  <si>
    <t>25/AHM/INV0920</t>
  </si>
  <si>
    <t>26-27/PUR/000114</t>
  </si>
  <si>
    <t>GJ16AW9567</t>
  </si>
  <si>
    <t>SH04260702</t>
  </si>
  <si>
    <t>25/AHM/INV0921</t>
  </si>
  <si>
    <t>26-27/PUR/000115</t>
  </si>
  <si>
    <t>SH04260703</t>
  </si>
  <si>
    <t>25/AHM/INV0922</t>
  </si>
  <si>
    <t>26-27/PUR/000132</t>
  </si>
  <si>
    <t>SH04260704</t>
  </si>
  <si>
    <t>25/AHM/INV0923</t>
  </si>
  <si>
    <t>26-27/PUR/000273</t>
  </si>
  <si>
    <t>SH04260803</t>
  </si>
  <si>
    <t>25/AHM/INV0924</t>
  </si>
  <si>
    <t>26-27/PUR/000279</t>
  </si>
  <si>
    <t>GJ15AX8616</t>
  </si>
  <si>
    <t>SH04260901</t>
  </si>
  <si>
    <t>25/AHM/INV0926</t>
  </si>
  <si>
    <t>26-27/PUR/000299</t>
  </si>
  <si>
    <t>SH04260902</t>
  </si>
  <si>
    <t>25/AHM/INV0927</t>
  </si>
  <si>
    <t>26-27/PUR/000302</t>
  </si>
  <si>
    <t>SH04261002</t>
  </si>
  <si>
    <t>25/AHM/INV0925</t>
  </si>
  <si>
    <t>26-27/PUR/000320</t>
  </si>
  <si>
    <t>M.S.Scrap</t>
  </si>
  <si>
    <t>SH04261005</t>
  </si>
  <si>
    <t>25/AHM/INV0928</t>
  </si>
  <si>
    <t>26-27/PUR/000395</t>
  </si>
  <si>
    <t>SH04261006</t>
  </si>
  <si>
    <t>25/AHM/INV0929</t>
  </si>
  <si>
    <t>26-27/PUR/000394</t>
  </si>
  <si>
    <t>GJ15AT1342</t>
  </si>
  <si>
    <t>SH04261007</t>
  </si>
  <si>
    <t>25/AHM/INV0930</t>
  </si>
  <si>
    <t>26-27/PUR/000398</t>
  </si>
  <si>
    <t>SH04261301</t>
  </si>
  <si>
    <t>25/AHM/INV0931</t>
  </si>
  <si>
    <t>26-27/PUR/000418</t>
  </si>
  <si>
    <t>SH04261304</t>
  </si>
  <si>
    <t>25/AHM/INV0933</t>
  </si>
  <si>
    <t>26-27/PUR/000457</t>
  </si>
  <si>
    <t>SH04261307</t>
  </si>
  <si>
    <t>25/AHM/INV0934</t>
  </si>
  <si>
    <t>26-27/PUR/000472</t>
  </si>
  <si>
    <t>SH04261308</t>
  </si>
  <si>
    <t>25/AHM/INV0935</t>
  </si>
  <si>
    <t>26-27/PUR/000471</t>
  </si>
  <si>
    <t>SH042614011</t>
  </si>
  <si>
    <t>25/AHM/INV0936</t>
  </si>
  <si>
    <t>26-27/PUR/000510</t>
  </si>
  <si>
    <t>SH04261501</t>
  </si>
  <si>
    <t>25/AHM/INV0937</t>
  </si>
  <si>
    <t>26-27/PUR/000588</t>
  </si>
  <si>
    <t>SH04261502</t>
  </si>
  <si>
    <t>25/AHM/INV0938</t>
  </si>
  <si>
    <t>26-27/PUR/000602</t>
  </si>
  <si>
    <t>SH04261503</t>
  </si>
  <si>
    <t>25/AHM/INV0939</t>
  </si>
  <si>
    <t>26-27/PUR/000601</t>
  </si>
  <si>
    <t>SH04261504</t>
  </si>
  <si>
    <t>25/AHM/INV0940</t>
  </si>
  <si>
    <t>26-27/PUR/000611</t>
  </si>
  <si>
    <t>SH04261601</t>
  </si>
  <si>
    <t>25/AHM/INV0941</t>
  </si>
  <si>
    <t>26-27/PUR/000694</t>
  </si>
  <si>
    <t>GJ18BT8930</t>
  </si>
  <si>
    <t>Waste Cartoon</t>
  </si>
  <si>
    <t>Empty Pet Jar with Butter Stick</t>
  </si>
  <si>
    <t>SH04261604</t>
  </si>
  <si>
    <t>25/AHM/INV0942</t>
  </si>
  <si>
    <t>26-27/PUR/000744</t>
  </si>
  <si>
    <t>SH04261703</t>
  </si>
  <si>
    <t>25/AHM/INV0944</t>
  </si>
  <si>
    <t>26-27/PUR/000905</t>
  </si>
  <si>
    <t>GJ15YY8194</t>
  </si>
  <si>
    <t>SH04261704</t>
  </si>
  <si>
    <t>25/AHM/INV0943</t>
  </si>
  <si>
    <t>26-27/PUR/000906</t>
  </si>
  <si>
    <t>SH04261802</t>
  </si>
  <si>
    <t>25/AHM/INV0947</t>
  </si>
  <si>
    <t>26-27/PUR/000922</t>
  </si>
  <si>
    <t>SH04261803</t>
  </si>
  <si>
    <t>25/AHM/INV0948</t>
  </si>
  <si>
    <t>26-27/PUR/000928</t>
  </si>
  <si>
    <t>SH04261805</t>
  </si>
  <si>
    <t>25/AHM/INV0945</t>
  </si>
  <si>
    <t>26-27/PUR/000934</t>
  </si>
  <si>
    <t>GJ06BY6189</t>
  </si>
  <si>
    <t>E-WayBill Number</t>
  </si>
  <si>
    <t>36/IB/27IN00001</t>
  </si>
  <si>
    <t>36/IB/27IN00002</t>
  </si>
  <si>
    <t>36/PET/27IN00001</t>
  </si>
  <si>
    <t>36/IB/27IN00006</t>
  </si>
  <si>
    <t>36/IB/27IN00005</t>
  </si>
  <si>
    <t>36/IB/27IN00007</t>
  </si>
  <si>
    <t>36/IB/27IN00003</t>
  </si>
  <si>
    <t>36/IB/27IN00004</t>
  </si>
  <si>
    <t>36/IB/27IN00012</t>
  </si>
  <si>
    <t>36/IB/27IN00008</t>
  </si>
  <si>
    <t>36/IB/27IN00010</t>
  </si>
  <si>
    <t>36/IB/27IN00014</t>
  </si>
  <si>
    <t>36/IB/27IN00009</t>
  </si>
  <si>
    <t>36/IB/27IN00015</t>
  </si>
  <si>
    <t>36/IB/27IN00011</t>
  </si>
  <si>
    <t>36/IB/27IN00013</t>
  </si>
  <si>
    <t>36/IB/27IN00016</t>
  </si>
  <si>
    <t>36/IB/27IN00018</t>
  </si>
  <si>
    <t>36/IB/27IN00017</t>
  </si>
  <si>
    <t>36/IB/27IN00019</t>
  </si>
  <si>
    <t>36/IB/27IN00027</t>
  </si>
  <si>
    <t>36/IB/27IN00024</t>
  </si>
  <si>
    <t>36/IB/27IN00025</t>
  </si>
  <si>
    <t>36/IB/27IN00021</t>
  </si>
  <si>
    <t>36/IB/27IN00020</t>
  </si>
  <si>
    <t>36/IB/27IN00022</t>
  </si>
  <si>
    <t>36/IB/27IN00023</t>
  </si>
  <si>
    <t>36/IB/27IN00035</t>
  </si>
  <si>
    <t>36/IB/27IN00034</t>
  </si>
  <si>
    <t>832139000076973535</t>
  </si>
  <si>
    <t>SAHIL TRADERS</t>
  </si>
  <si>
    <t>24DIZPK8580H1ZF</t>
  </si>
  <si>
    <t>Indrad Gujarat 384440</t>
  </si>
  <si>
    <t>Chhatral</t>
  </si>
  <si>
    <t>36/IB/27IN00026</t>
  </si>
  <si>
    <t>36/IB/27IN00030</t>
  </si>
  <si>
    <t>36/IB/27IN00036</t>
  </si>
  <si>
    <t>36/IB/27IN00031</t>
  </si>
  <si>
    <t>36/IB/27IN00037</t>
  </si>
  <si>
    <t>36/IB/27IN00033</t>
  </si>
  <si>
    <t>36/IB/27IN00028</t>
  </si>
  <si>
    <t>36/IB/27IN00032</t>
  </si>
  <si>
    <t>36/IB/27IN00038</t>
  </si>
  <si>
    <t>36/IB/27IN00040</t>
  </si>
  <si>
    <t>36/IB/27IN00039</t>
  </si>
  <si>
    <t>As per Zoho P&amp;L (FY 2026-27)</t>
  </si>
  <si>
    <t>Warehouse (FY 2026-27)</t>
  </si>
  <si>
    <t>MHPV333</t>
  </si>
  <si>
    <t>MHPV334</t>
  </si>
  <si>
    <t>SHMPIB0001</t>
  </si>
  <si>
    <t>SH04260202</t>
  </si>
  <si>
    <t>SH042614013</t>
  </si>
  <si>
    <t>27/MET/27IN00001</t>
  </si>
  <si>
    <t>27/IB/27IN00001</t>
  </si>
  <si>
    <t>27/IB/27IN00002</t>
  </si>
  <si>
    <t>36/IB/27IN00029</t>
  </si>
  <si>
    <t>27/IB/27DN00001</t>
  </si>
  <si>
    <t>VINAYAK METAL AND ALLOYS PRIVATE LIMITED</t>
  </si>
  <si>
    <t>Service Charges (Apr-26)</t>
  </si>
  <si>
    <t>27/IB/27CN00001</t>
  </si>
  <si>
    <t>MCIPL/695/25-26</t>
  </si>
  <si>
    <t>26-27/PUR/000112</t>
  </si>
  <si>
    <t>26-27/PUR/000316</t>
  </si>
  <si>
    <t>Fy 2026-27</t>
  </si>
  <si>
    <t>Aluminium Spray Can Scrap</t>
  </si>
  <si>
    <t>Aluminium Casting Scrap</t>
  </si>
  <si>
    <t>Aluminium Extrusion Scrap</t>
  </si>
  <si>
    <t>Transport Charges</t>
  </si>
  <si>
    <t>DISMANTLED PnS</t>
  </si>
  <si>
    <t>350</t>
  </si>
  <si>
    <t>26-27/PUR/000286</t>
  </si>
  <si>
    <t>MH04GR7731</t>
  </si>
  <si>
    <t>Market Place Logistics</t>
  </si>
  <si>
    <t>352</t>
  </si>
  <si>
    <t>26-27/PUR/000268</t>
  </si>
  <si>
    <t>KA</t>
  </si>
  <si>
    <t>Labour charges</t>
  </si>
  <si>
    <t>243</t>
  </si>
  <si>
    <t>26-27/PUR/000301</t>
  </si>
  <si>
    <t>25/PUN/INV0271</t>
  </si>
  <si>
    <t>26-27/PUR/000347</t>
  </si>
  <si>
    <t>25/PUN/INV0262</t>
  </si>
  <si>
    <t>26-27/PUR/000388</t>
  </si>
  <si>
    <t>27/IB/27VC00001</t>
  </si>
  <si>
    <t>Apr-26</t>
  </si>
  <si>
    <t>Marketplace Sales (Institutional Business)</t>
  </si>
  <si>
    <t>debit_note</t>
  </si>
  <si>
    <t>2025-07-06</t>
  </si>
  <si>
    <t>26/MPPIB/DN0005</t>
  </si>
  <si>
    <t>2026-03-05</t>
  </si>
  <si>
    <t>2026-03-07</t>
  </si>
  <si>
    <t>2026-03-08</t>
  </si>
  <si>
    <t>2026-03-09</t>
  </si>
  <si>
    <t>2026-03-10</t>
  </si>
  <si>
    <t>2026-03-12</t>
  </si>
  <si>
    <t>2026-03-13</t>
  </si>
  <si>
    <t>2026-04-02</t>
  </si>
  <si>
    <t>check</t>
  </si>
  <si>
    <t>SH04262004</t>
  </si>
  <si>
    <t>25/AHM/INV0949</t>
  </si>
  <si>
    <t>26-27/PUR/001022</t>
  </si>
  <si>
    <t>GJ02ZZ5264</t>
  </si>
  <si>
    <t>SH04262008</t>
  </si>
  <si>
    <t>25/AHM/INV0950</t>
  </si>
  <si>
    <t>26-27/PUR/001042</t>
  </si>
  <si>
    <t>SH04262102</t>
  </si>
  <si>
    <t>25/AHM/INV0946</t>
  </si>
  <si>
    <t>26-27/PUR/001102</t>
  </si>
  <si>
    <t>Scrap PVC Pipe</t>
  </si>
  <si>
    <t>SH04262104</t>
  </si>
  <si>
    <t>25/AHM/INV0951</t>
  </si>
  <si>
    <t>26-27/PUR/001149</t>
  </si>
  <si>
    <t>SH04262105</t>
  </si>
  <si>
    <t>25/AHM/INV0952</t>
  </si>
  <si>
    <t>26-27/PUR/001098</t>
  </si>
  <si>
    <t>GJ17UU6621</t>
  </si>
  <si>
    <t>SH04262201</t>
  </si>
  <si>
    <t>25/AHM/INV0954</t>
  </si>
  <si>
    <t>26-27/PUR/001117</t>
  </si>
  <si>
    <t>Scrap hard wood pallet</t>
  </si>
  <si>
    <t>SH04262204</t>
  </si>
  <si>
    <t>25/AHM/INV0955</t>
  </si>
  <si>
    <t>26-27/PUR/001264</t>
  </si>
  <si>
    <t>SH04262205</t>
  </si>
  <si>
    <t>25/AHM/INV0956</t>
  </si>
  <si>
    <t>26-27/PUR/001263</t>
  </si>
  <si>
    <t>SH04262208</t>
  </si>
  <si>
    <t>25/AHM/INV0957</t>
  </si>
  <si>
    <t>26-27/PUR/001266</t>
  </si>
  <si>
    <t>GJ23T7003</t>
  </si>
  <si>
    <t>SCRAP; FORM WORK ITEM; H BEAM</t>
  </si>
  <si>
    <t>SH04262303</t>
  </si>
  <si>
    <t>25/AHM/INV0958</t>
  </si>
  <si>
    <t>26-27/PUR/001329</t>
  </si>
  <si>
    <t>SH04262401</t>
  </si>
  <si>
    <t>25/AHM/INV0959</t>
  </si>
  <si>
    <t>26-27/PUR/001348</t>
  </si>
  <si>
    <t>MS strapping Patti (MS Light)</t>
  </si>
  <si>
    <t>SH04262403</t>
  </si>
  <si>
    <t>25/AHM/INV0962</t>
  </si>
  <si>
    <t>26-27/PUR/001404</t>
  </si>
  <si>
    <t>Mixed Garbage</t>
  </si>
  <si>
    <t>SH04262404</t>
  </si>
  <si>
    <t>25/AHM/INV0961</t>
  </si>
  <si>
    <t>26-27/PUR/001403</t>
  </si>
  <si>
    <t>Scrap,Paper, Tube</t>
  </si>
  <si>
    <t>SH04262405</t>
  </si>
  <si>
    <t>25/AHM/INV0963</t>
  </si>
  <si>
    <t>26-27/PUR/001419</t>
  </si>
  <si>
    <t>GJ04X7245</t>
  </si>
  <si>
    <t>MS DRUM 200 LTR</t>
  </si>
  <si>
    <t>SH04262407</t>
  </si>
  <si>
    <t>25/AHM/INV0964</t>
  </si>
  <si>
    <t>26-27/PUR/001422</t>
  </si>
  <si>
    <t>SH04262502</t>
  </si>
  <si>
    <t>25/AHM/INV0965</t>
  </si>
  <si>
    <t>26-27/PUR/001434</t>
  </si>
  <si>
    <t>SS SCRAP (304 NUMBER)</t>
  </si>
  <si>
    <t>M S SCRAP (LIGHT) &amp; PATRA MIX</t>
  </si>
  <si>
    <t>M S SCRAP (HEAVY)</t>
  </si>
  <si>
    <t>36/IB/27IN00041</t>
  </si>
  <si>
    <t>36/IB/27IN00048</t>
  </si>
  <si>
    <t>36/IB/27IN00050</t>
  </si>
  <si>
    <t>36/IB/27IN00045</t>
  </si>
  <si>
    <t>832139000064664878</t>
  </si>
  <si>
    <t>H R STEEL TRADERS</t>
  </si>
  <si>
    <t>24BBLPY2170E1ZK</t>
  </si>
  <si>
    <t>36/IB/27IN00046</t>
  </si>
  <si>
    <t>36/IB/27IN00042</t>
  </si>
  <si>
    <t>36/IB/27IN00051</t>
  </si>
  <si>
    <t>36/IB/27IN00044</t>
  </si>
  <si>
    <t>Vadodara,Gujarat,390024</t>
  </si>
  <si>
    <t>36/IB/27IN00043</t>
  </si>
  <si>
    <t>36/IB/27IN00049</t>
  </si>
  <si>
    <t>36/IB/27IN00047</t>
  </si>
  <si>
    <t>36/IB/27IN00056</t>
  </si>
  <si>
    <t>36/IB/27IN00055</t>
  </si>
  <si>
    <t>36/IB/27IN00052</t>
  </si>
  <si>
    <t>36/IB/27IN00053</t>
  </si>
  <si>
    <t>36/IB/27IN00054</t>
  </si>
  <si>
    <t>832139000052418836</t>
  </si>
  <si>
    <t>Ghayaj,Gujarat,391440</t>
  </si>
  <si>
    <t>Khumarvad</t>
  </si>
  <si>
    <t>SH112519027</t>
  </si>
  <si>
    <t>SH092518035</t>
  </si>
  <si>
    <t>27/IB/27VC00002</t>
  </si>
  <si>
    <t>SH092519027</t>
  </si>
  <si>
    <t>27/IB/27VC00011</t>
  </si>
  <si>
    <t>SH10250101</t>
  </si>
  <si>
    <t>27/IB/27VC00010</t>
  </si>
  <si>
    <t>SH10251401</t>
  </si>
  <si>
    <t>27/IB/27VC00009</t>
  </si>
  <si>
    <t>SH102519028</t>
  </si>
  <si>
    <t>27/IB/27VC00008</t>
  </si>
  <si>
    <t>SH11250109</t>
  </si>
  <si>
    <t>27/IB/27VC00007</t>
  </si>
  <si>
    <t>SH11250209</t>
  </si>
  <si>
    <t>27/IB/27VC00006</t>
  </si>
  <si>
    <t>SH11250601</t>
  </si>
  <si>
    <t>27/IB/27VC00005</t>
  </si>
  <si>
    <t>SH112515030</t>
  </si>
  <si>
    <t>27/IB/27VC00004</t>
  </si>
  <si>
    <t>27/IB/27VC00003</t>
  </si>
  <si>
    <t>27/IB/27CN00004</t>
  </si>
  <si>
    <t>27/IB/27CN00013</t>
  </si>
  <si>
    <t>27/IB/27CN00012</t>
  </si>
  <si>
    <t>27/IB/27CN00011</t>
  </si>
  <si>
    <t>27/IB/27CN00010</t>
  </si>
  <si>
    <t>27/IB/27CN00009</t>
  </si>
  <si>
    <t>27/IB/27CN00008</t>
  </si>
  <si>
    <t>27/IB/27CN00007</t>
  </si>
  <si>
    <t>27/IB/27CN00006</t>
  </si>
  <si>
    <t>27/IB/27CN00005</t>
  </si>
  <si>
    <t>DN Provision in Zoho FY 25-26</t>
  </si>
  <si>
    <t>Debit note FY 25-26</t>
  </si>
  <si>
    <t>CN Provision in Zoho FY 25-26</t>
  </si>
  <si>
    <t xml:space="preserve">FY 2025-26 Credit notes </t>
  </si>
  <si>
    <t>SH04262705</t>
  </si>
  <si>
    <t>25/AHM/INV0967</t>
  </si>
  <si>
    <t>26-27/PUR/001474</t>
  </si>
  <si>
    <t>DD01Z9215</t>
  </si>
  <si>
    <t>SH04262704</t>
  </si>
  <si>
    <t>25/AHM/INV0966</t>
  </si>
  <si>
    <t>26-27/PUR/001476</t>
  </si>
  <si>
    <t>SH04262801</t>
  </si>
  <si>
    <t>25/AHM/INV0969</t>
  </si>
  <si>
    <t>26-27/PUR/001495</t>
  </si>
  <si>
    <t>SH04262902</t>
  </si>
  <si>
    <t>25/AHM/INV0970</t>
  </si>
  <si>
    <t>26-27/PUR/001567</t>
  </si>
  <si>
    <t>SH04262904</t>
  </si>
  <si>
    <t>25/AHM/INV0972</t>
  </si>
  <si>
    <t>26-27/PUR/001600</t>
  </si>
  <si>
    <t>GJ12BY7091</t>
  </si>
  <si>
    <t>SH04262908</t>
  </si>
  <si>
    <t>25/AHM/INV0974</t>
  </si>
  <si>
    <t>26-27/PUR/001627</t>
  </si>
  <si>
    <t>GJ27TG7990</t>
  </si>
  <si>
    <t>SH04262907</t>
  </si>
  <si>
    <t>25/AHM/INV0973</t>
  </si>
  <si>
    <t>26-27/PUR/001599</t>
  </si>
  <si>
    <t>SH04263001</t>
  </si>
  <si>
    <t>25/AHM/INV0975</t>
  </si>
  <si>
    <t>26-27/PUR/001647</t>
  </si>
  <si>
    <t>UP36AT9947</t>
  </si>
  <si>
    <t>SH04263003</t>
  </si>
  <si>
    <t>25/AHM/INV0976</t>
  </si>
  <si>
    <t>26-27/PUR/001651</t>
  </si>
  <si>
    <t>Plastic pallets old &amp; used</t>
  </si>
  <si>
    <t>36/IB/27IN00057</t>
  </si>
  <si>
    <t>36/IB/27IN00058</t>
  </si>
  <si>
    <t>36/IB/27IN00063</t>
  </si>
  <si>
    <t>36/IB/27IN00059</t>
  </si>
  <si>
    <t>36/IB/27IN00060</t>
  </si>
  <si>
    <t>36/IB/27IN00064</t>
  </si>
  <si>
    <t>36/IB/27IN00062</t>
  </si>
  <si>
    <t>36/IB/27IN00061</t>
  </si>
  <si>
    <t>36/IB/27IN00065</t>
  </si>
  <si>
    <t>VISHWAS TRANSOLUTIONS CO.</t>
  </si>
  <si>
    <t>27AAGFV4300A1ZQ</t>
  </si>
  <si>
    <t>043689</t>
  </si>
  <si>
    <t>26-27/PUR/001460</t>
  </si>
  <si>
    <t>MH04LY9123</t>
  </si>
  <si>
    <t xml:space="preserve">Extra Charges for proving LR </t>
  </si>
  <si>
    <t>SH04263004</t>
  </si>
  <si>
    <t>25/PUN/INV0272</t>
  </si>
  <si>
    <t>26-27/PUR/000346</t>
  </si>
  <si>
    <t>25/PUN/INV0261</t>
  </si>
  <si>
    <t>26-27/PUR/000389</t>
  </si>
  <si>
    <t>MHPV336</t>
  </si>
  <si>
    <t>25/PUN/INV0283</t>
  </si>
  <si>
    <t>26-27/PUR/000786</t>
  </si>
  <si>
    <t>unused_credits_receivable_amount</t>
  </si>
  <si>
    <t>Market Place Logistics (DN)</t>
  </si>
  <si>
    <t>893</t>
  </si>
  <si>
    <t>000003250306446</t>
  </si>
  <si>
    <t>March-2026</t>
  </si>
  <si>
    <t>918</t>
  </si>
  <si>
    <t>000003287694331</t>
  </si>
  <si>
    <t>12A80840</t>
  </si>
  <si>
    <t>25/AHM/INV0977</t>
  </si>
  <si>
    <t>26-27/PUR/001656</t>
  </si>
  <si>
    <t>SH04263005</t>
  </si>
  <si>
    <t>25/AHM/INV0980</t>
  </si>
  <si>
    <t>26-27/PUR/001668</t>
  </si>
  <si>
    <t>GJ23AW0884</t>
  </si>
  <si>
    <t>SH05260201</t>
  </si>
  <si>
    <t>25/AHM/INV0981</t>
  </si>
  <si>
    <t>26-27/PUR/001684</t>
  </si>
  <si>
    <t>36/IB/27IN00067</t>
  </si>
  <si>
    <t>36/IB/27IN00068</t>
  </si>
  <si>
    <t>36/IB/27IN00069</t>
  </si>
  <si>
    <t>Service Charges (May-26)</t>
  </si>
  <si>
    <t>SH05260501</t>
  </si>
  <si>
    <t>25/AHM/INV0985</t>
  </si>
  <si>
    <t>26-27/PUR/001804</t>
  </si>
  <si>
    <t>GJ06BT6189</t>
  </si>
  <si>
    <t>SH05260503</t>
  </si>
  <si>
    <t>25/AHM/INV0987</t>
  </si>
  <si>
    <t>26-27/PUR/001822</t>
  </si>
  <si>
    <t>SH05260502</t>
  </si>
  <si>
    <t>25/AHM/INV0986</t>
  </si>
  <si>
    <t>26-27/PUR/001823</t>
  </si>
  <si>
    <t>GJ12BZ6175</t>
  </si>
  <si>
    <t>SH05260403</t>
  </si>
  <si>
    <t>25/AHM/INV0983</t>
  </si>
  <si>
    <t>26-27/PUR/001825</t>
  </si>
  <si>
    <t>GJ36T8695</t>
  </si>
  <si>
    <t>SH05260402</t>
  </si>
  <si>
    <t>25/AHM/INV0982</t>
  </si>
  <si>
    <t>26-27/PUR/001824</t>
  </si>
  <si>
    <t>SH05260504</t>
  </si>
  <si>
    <t>25/AHM/INV0988</t>
  </si>
  <si>
    <t>26-27/PUR/001853</t>
  </si>
  <si>
    <t>WOODEN SCRAP</t>
  </si>
  <si>
    <t>36/IB/27IN00070</t>
  </si>
  <si>
    <t>ITOLA Gujarat 391243</t>
  </si>
  <si>
    <t>36/IB/27IN00071</t>
  </si>
  <si>
    <t>36/IB/27IN00072</t>
  </si>
  <si>
    <t>36/IB/27IN00074</t>
  </si>
  <si>
    <t>36/IB/27IN00073</t>
  </si>
  <si>
    <t>36/IB/27IN00075</t>
  </si>
  <si>
    <t>SH05260701</t>
  </si>
  <si>
    <t>25/AHM/INV0989</t>
  </si>
  <si>
    <t>26-27/PUR/001874</t>
  </si>
  <si>
    <t>SCRAP STARCH POWDER</t>
  </si>
  <si>
    <t>SH05260802</t>
  </si>
  <si>
    <t>25/AHM/INV0991</t>
  </si>
  <si>
    <t>26-27/PUR/001917</t>
  </si>
  <si>
    <t>GJ36T7279</t>
  </si>
  <si>
    <t>SH05260803</t>
  </si>
  <si>
    <t>25/AHM/INV0992</t>
  </si>
  <si>
    <t>26-27/PUR/001918</t>
  </si>
  <si>
    <t>SH05260902</t>
  </si>
  <si>
    <t>25/AHM/INV0993</t>
  </si>
  <si>
    <t>26-27/PUR/001931</t>
  </si>
  <si>
    <t>36/IB/27IN00076</t>
  </si>
  <si>
    <t>36/IB/27IN00077</t>
  </si>
  <si>
    <t>36/IB/27IN00078</t>
  </si>
  <si>
    <t>36/IB/27IN00079</t>
  </si>
  <si>
    <t>SH05261101</t>
  </si>
  <si>
    <t>25/AHM/INV0995</t>
  </si>
  <si>
    <t>26-27/PUR/002005</t>
  </si>
  <si>
    <t>SH05261201</t>
  </si>
  <si>
    <t>25/AHM/INV0996</t>
  </si>
  <si>
    <t>26-27/PUR/002023</t>
  </si>
  <si>
    <t>Trace Paper Waste</t>
  </si>
  <si>
    <t>SH05261304</t>
  </si>
  <si>
    <t>25/AHM/INV1000</t>
  </si>
  <si>
    <t>26-27/PUR/002088</t>
  </si>
  <si>
    <t>SH05260904</t>
  </si>
  <si>
    <t>25/AHM/INV0997</t>
  </si>
  <si>
    <t>26-27/PUR/002039</t>
  </si>
  <si>
    <t>GJ01BV2814</t>
  </si>
  <si>
    <t>SH05261302</t>
  </si>
  <si>
    <t>25/AHM/INV0999</t>
  </si>
  <si>
    <t>26-27/PUR/002079</t>
  </si>
  <si>
    <t>SH05261306</t>
  </si>
  <si>
    <t>25/AHM/INV1001</t>
  </si>
  <si>
    <t>26-27/PUR/002089</t>
  </si>
  <si>
    <t>PLASTIC SCRAP MIX</t>
  </si>
  <si>
    <t>SH05261401</t>
  </si>
  <si>
    <t>25/AHM/INV1002</t>
  </si>
  <si>
    <t>26-27/PUR/002152</t>
  </si>
  <si>
    <t>DD01C9856</t>
  </si>
  <si>
    <t>SH05261403</t>
  </si>
  <si>
    <t>25/AHM/INV1003</t>
  </si>
  <si>
    <t>26-27/PUR/002195</t>
  </si>
  <si>
    <t>SH05261405</t>
  </si>
  <si>
    <t>25/AHM/INV1004</t>
  </si>
  <si>
    <t>26-27/PUR/002237</t>
  </si>
  <si>
    <t>SH05261503</t>
  </si>
  <si>
    <t>25/AHM/INV1005</t>
  </si>
  <si>
    <t>26-27/PUR/002257</t>
  </si>
  <si>
    <t>SH05261505</t>
  </si>
  <si>
    <t>25/AHM/INV1007</t>
  </si>
  <si>
    <t>26-27/PUR/002260</t>
  </si>
  <si>
    <t>SH05261504</t>
  </si>
  <si>
    <t>25/AHM/INV1006</t>
  </si>
  <si>
    <t>26-27/PUR/002258</t>
  </si>
  <si>
    <t>SH05261601</t>
  </si>
  <si>
    <t>25/AHM/INV1008</t>
  </si>
  <si>
    <t>26-27/PUR/002261</t>
  </si>
  <si>
    <t>36/IB/27IN00080</t>
  </si>
  <si>
    <t>36/IB/27IN00092</t>
  </si>
  <si>
    <t>36/IB/27IN00084</t>
  </si>
  <si>
    <t>36/IB/27IN00083</t>
  </si>
  <si>
    <t>36/IB/27IN00085</t>
  </si>
  <si>
    <t>36/IB/27IN00082</t>
  </si>
  <si>
    <t>36/IB/27IN00081</t>
  </si>
  <si>
    <t>36/IB/27IN00089</t>
  </si>
  <si>
    <t>36/IB/27IN00087</t>
  </si>
  <si>
    <t>36/IB/27IN00090</t>
  </si>
  <si>
    <t>36/IB/27IN00088</t>
  </si>
  <si>
    <t>36/IB/27IN00091</t>
  </si>
  <si>
    <t>36/IB/27IN00086</t>
  </si>
  <si>
    <t>27/IB/27IN00003</t>
  </si>
  <si>
    <t>SH102511015</t>
  </si>
  <si>
    <t>27/IB/27CN00016</t>
  </si>
  <si>
    <t>SH102510050</t>
  </si>
  <si>
    <t>27/IB/27CN00015</t>
  </si>
  <si>
    <t>MHPV339</t>
  </si>
  <si>
    <t>25/PUN/INV0299</t>
  </si>
  <si>
    <t>26-27/PUR/001961</t>
  </si>
  <si>
    <t>354</t>
  </si>
  <si>
    <t>26-27/PUR/002130</t>
  </si>
  <si>
    <t>May-26</t>
  </si>
  <si>
    <t>2026-05-19</t>
  </si>
  <si>
    <t>IB(B2B &amp; Warehouse)</t>
  </si>
  <si>
    <t>SH05261804</t>
  </si>
  <si>
    <t>BIRLA COPPER ASOJ PRIVATE LIMITED</t>
  </si>
  <si>
    <t>24AAHCR8445C1ZF</t>
  </si>
  <si>
    <t>2627700165</t>
  </si>
  <si>
    <t>26-27/PUR/002305</t>
  </si>
  <si>
    <t>SH05261801</t>
  </si>
  <si>
    <t>25/AHM/INV1010</t>
  </si>
  <si>
    <t>26-27/PUR/002279</t>
  </si>
  <si>
    <t>SH05261904</t>
  </si>
  <si>
    <t>25/AHM/INV1011</t>
  </si>
  <si>
    <t>26-27/PUR/002315</t>
  </si>
  <si>
    <t>DD01R9302</t>
  </si>
  <si>
    <t>SH05261907</t>
  </si>
  <si>
    <t>2627700175</t>
  </si>
  <si>
    <t>26-27/PUR/002373</t>
  </si>
  <si>
    <t>SH05262002</t>
  </si>
  <si>
    <t>25/AHM/INV1014</t>
  </si>
  <si>
    <t>26-27/PUR/002387</t>
  </si>
  <si>
    <t>SH05262001</t>
  </si>
  <si>
    <t>25/AHM/INV1013</t>
  </si>
  <si>
    <t>26-27/PUR/002374</t>
  </si>
  <si>
    <t>OLD USED&amp;BRKN PLSTCS,PIPS,PATI,CARBUY,ETC</t>
  </si>
  <si>
    <t>SH05262103</t>
  </si>
  <si>
    <t>25/AHM/INV1015</t>
  </si>
  <si>
    <t>26-27/PUR/002443</t>
  </si>
  <si>
    <t>SCRAP-SHREDDED CARTONS</t>
  </si>
  <si>
    <t>SH05262104</t>
  </si>
  <si>
    <t>2627700196</t>
  </si>
  <si>
    <t>26-27/PUR/002444</t>
  </si>
  <si>
    <t>SH05262206</t>
  </si>
  <si>
    <t>25/AHM/INV1018</t>
  </si>
  <si>
    <t>26-27/PUR/002491</t>
  </si>
  <si>
    <t>HDPE MIX JUMBO BAGS (Damaged)</t>
  </si>
  <si>
    <t>SH05262205</t>
  </si>
  <si>
    <t>25/AHM/INV1017</t>
  </si>
  <si>
    <t>26-27/PUR/002492</t>
  </si>
  <si>
    <t>SH05262204</t>
  </si>
  <si>
    <t>25/AHM/INV1016</t>
  </si>
  <si>
    <t>26-27/PUR/002482</t>
  </si>
  <si>
    <t>Garbage</t>
  </si>
  <si>
    <t>SH05262308</t>
  </si>
  <si>
    <t>25/AHM/INV1019</t>
  </si>
  <si>
    <t>26-27/PUR/002498</t>
  </si>
  <si>
    <t>36/IB/27IN00095</t>
  </si>
  <si>
    <t>Jarod Gujarat 391510</t>
  </si>
  <si>
    <t>162432685056</t>
  </si>
  <si>
    <t>36/IB/27IN00093</t>
  </si>
  <si>
    <t>36/IB/27IN00096</t>
  </si>
  <si>
    <t>36/IB/27IN00097</t>
  </si>
  <si>
    <t>Jarod,Gujarat,391510</t>
  </si>
  <si>
    <t>182433766497</t>
  </si>
  <si>
    <t>36/IB/27IN00103</t>
  </si>
  <si>
    <t>36/IB/27IN00102</t>
  </si>
  <si>
    <t>36/IB/27IN00104</t>
  </si>
  <si>
    <t>36/IB/27IN00100</t>
  </si>
  <si>
    <t>36/IB/27IN00098</t>
  </si>
  <si>
    <t>36/IB/27IN00105</t>
  </si>
  <si>
    <t>36/IB/27IN00101</t>
  </si>
  <si>
    <t>192435071727</t>
  </si>
  <si>
    <t>36/IB/27IN00099</t>
  </si>
  <si>
    <t>SH05261602</t>
  </si>
  <si>
    <t>25/AHM/INV1009</t>
  </si>
  <si>
    <t>26-27/PUR/002262</t>
  </si>
  <si>
    <t>36/IB/27IN00094</t>
  </si>
  <si>
    <t>M/S HINDALCO INDUSTRIES LIMITED</t>
  </si>
  <si>
    <t>ODADT2550002024</t>
  </si>
  <si>
    <t>26-27/PUR/002453</t>
  </si>
  <si>
    <t>OD</t>
  </si>
  <si>
    <t>MH16CC2977</t>
  </si>
  <si>
    <t>penality</t>
  </si>
  <si>
    <t>Debit note Pertaining to FY 2025-26</t>
  </si>
  <si>
    <t>Credit note Pertaining to FY 25-26</t>
  </si>
  <si>
    <t>25/AHM/INV0990</t>
  </si>
  <si>
    <t>SH05262502</t>
  </si>
  <si>
    <t>2627700228</t>
  </si>
  <si>
    <t>26-27/PUR/002608</t>
  </si>
  <si>
    <t>SH05262703</t>
  </si>
  <si>
    <t>25/AHM/INV1021</t>
  </si>
  <si>
    <t>26-27/PUR/002690</t>
  </si>
  <si>
    <t>GJ36V1739</t>
  </si>
  <si>
    <t>SH05262702</t>
  </si>
  <si>
    <t>25/AHM/INV1020</t>
  </si>
  <si>
    <t>26-27/PUR/002691</t>
  </si>
  <si>
    <t>36/IB/27IN00106</t>
  </si>
  <si>
    <t>132439578057</t>
  </si>
  <si>
    <t>36/IB/27IN00108</t>
  </si>
  <si>
    <t>36/IB/27IN00107</t>
  </si>
  <si>
    <t>SH05262701</t>
  </si>
  <si>
    <t>27/IB/27IN00004</t>
  </si>
  <si>
    <t>2026-06-05</t>
  </si>
  <si>
    <t>On Submission of Invoices</t>
  </si>
  <si>
    <t>27AAACJ4323N1ZG</t>
  </si>
  <si>
    <t>z</t>
  </si>
  <si>
    <t>SH05262905</t>
  </si>
  <si>
    <t>25/AHM/INV1023</t>
  </si>
  <si>
    <t>26-27/PUR/002979</t>
  </si>
  <si>
    <t>SH05262904</t>
  </si>
  <si>
    <t>25/AHM/INV1022</t>
  </si>
  <si>
    <t>26-27/PUR/002959</t>
  </si>
  <si>
    <t>SH05262902</t>
  </si>
  <si>
    <t>2627700261</t>
  </si>
  <si>
    <t>26-27/PUR/002964</t>
  </si>
  <si>
    <t>SH052630011</t>
  </si>
  <si>
    <t>25/AHM/INV1024</t>
  </si>
  <si>
    <t>26-27/PUR/002992</t>
  </si>
  <si>
    <t>36/IB/27IN00112</t>
  </si>
  <si>
    <t>36/IB/27IN00109</t>
  </si>
  <si>
    <t>36/IB/27IN00110</t>
  </si>
  <si>
    <t>122442444289</t>
  </si>
  <si>
    <t>36/IB/27IN00113</t>
  </si>
  <si>
    <t>SH05262901</t>
  </si>
  <si>
    <t>27/IB/27IN00005</t>
  </si>
  <si>
    <t>Reimbursement - Prakash (RT0951)</t>
  </si>
  <si>
    <t>SHIV KUMAR HARICHANDAR YADAV</t>
  </si>
  <si>
    <t>SIKANDAR RAMPRASAD MAL</t>
  </si>
  <si>
    <t>April-2026</t>
  </si>
  <si>
    <t>HF2727I002297557</t>
  </si>
  <si>
    <t>12A82611</t>
  </si>
  <si>
    <t>43406253</t>
  </si>
  <si>
    <t>000003328582784</t>
  </si>
  <si>
    <t>13602</t>
  </si>
  <si>
    <t>13399</t>
  </si>
  <si>
    <t>13765</t>
  </si>
  <si>
    <t>13543</t>
  </si>
  <si>
    <t>13542</t>
  </si>
  <si>
    <t>13331</t>
  </si>
  <si>
    <t>752</t>
  </si>
  <si>
    <t>970</t>
  </si>
  <si>
    <t>2026-06-07</t>
  </si>
  <si>
    <t>MHPV337</t>
  </si>
  <si>
    <t>MHPV338</t>
  </si>
  <si>
    <t>MHPV335</t>
  </si>
  <si>
    <t>MHPV340</t>
  </si>
  <si>
    <t>MHPV341</t>
  </si>
  <si>
    <t>25/PUN/INV0289</t>
  </si>
  <si>
    <t>26-27/PUR/001418</t>
  </si>
  <si>
    <t>25/PUN/INV0291</t>
  </si>
  <si>
    <t>26-27/PUR/001638</t>
  </si>
  <si>
    <t>25/PUN/INV0301</t>
  </si>
  <si>
    <t>26-27/PUR/001960</t>
  </si>
  <si>
    <t>25/PUN/INV0281</t>
  </si>
  <si>
    <t>26-27/PUR/000452</t>
  </si>
  <si>
    <t>25/PUN/INV0308</t>
  </si>
  <si>
    <t>26-27/PUR/002517</t>
  </si>
  <si>
    <t>25/PUN/INV0311</t>
  </si>
  <si>
    <t>26-27/PUR/002616</t>
  </si>
  <si>
    <t>SH06260102</t>
  </si>
  <si>
    <t>25/AHM/INV1025</t>
  </si>
  <si>
    <t>26-27/PUR/003133</t>
  </si>
  <si>
    <t>SH06260107</t>
  </si>
  <si>
    <t>25/AHM/INV1027</t>
  </si>
  <si>
    <t>26-27/PUR/003147</t>
  </si>
  <si>
    <t>GJ12BZ6219</t>
  </si>
  <si>
    <t>SH06260202</t>
  </si>
  <si>
    <t>25/AHM/INV1028</t>
  </si>
  <si>
    <t>26-27/PUR/003170</t>
  </si>
  <si>
    <t>SH06260203</t>
  </si>
  <si>
    <t>25/AHM/INV1029</t>
  </si>
  <si>
    <t>26-27/PUR/003172</t>
  </si>
  <si>
    <t>SH06260303</t>
  </si>
  <si>
    <t>25/AHM/INV1030</t>
  </si>
  <si>
    <t>26-27/PUR/003217</t>
  </si>
  <si>
    <t>SH06260305</t>
  </si>
  <si>
    <t>25/AHM/INV1031</t>
  </si>
  <si>
    <t>26-27/PUR/003275</t>
  </si>
  <si>
    <t>Aluminum Scrap</t>
  </si>
  <si>
    <t>SH06260403</t>
  </si>
  <si>
    <t>25/AHM/INV1032</t>
  </si>
  <si>
    <t>26-27/PUR/003276</t>
  </si>
  <si>
    <t>DD01AC9820</t>
  </si>
  <si>
    <t>SH06260501</t>
  </si>
  <si>
    <t>25/AHM/INV1033</t>
  </si>
  <si>
    <t>26-27/PUR/003288</t>
  </si>
  <si>
    <t>SHREDDED WASTE ALUMINUM FOILS</t>
  </si>
  <si>
    <t>SH06260502</t>
  </si>
  <si>
    <t>25/AHM/INV1034</t>
  </si>
  <si>
    <t>26-27/PUR/003289</t>
  </si>
  <si>
    <t>GJ17XX7258</t>
  </si>
  <si>
    <t>SH06260605</t>
  </si>
  <si>
    <t>25/AHM/INV1038</t>
  </si>
  <si>
    <t>26-27/PUR/003300</t>
  </si>
  <si>
    <t>SH06260601</t>
  </si>
  <si>
    <t>25/AHM/INV1035</t>
  </si>
  <si>
    <t>26-27/PUR/003293</t>
  </si>
  <si>
    <t>GJ06Z8150</t>
  </si>
  <si>
    <t>SH06260603</t>
  </si>
  <si>
    <t>25/AHM/INV1037</t>
  </si>
  <si>
    <t>26-27/PUR/003295</t>
  </si>
  <si>
    <t>GJ11Z8253</t>
  </si>
  <si>
    <t>SH06260803</t>
  </si>
  <si>
    <t>25/AHM/INV1040</t>
  </si>
  <si>
    <t>26-27/PUR/003331</t>
  </si>
  <si>
    <t>SH06260804</t>
  </si>
  <si>
    <t>2627700362</t>
  </si>
  <si>
    <t>26-27/PUR/003334</t>
  </si>
  <si>
    <t>SH06260905</t>
  </si>
  <si>
    <t>25/AHM/INV1042</t>
  </si>
  <si>
    <t>26-27/PUR/003489</t>
  </si>
  <si>
    <t>SH06260906</t>
  </si>
  <si>
    <t>25/AHM/INV1043</t>
  </si>
  <si>
    <t>26-27/PUR/003513</t>
  </si>
  <si>
    <t>SH06260904</t>
  </si>
  <si>
    <t>25/AHM/INV1041</t>
  </si>
  <si>
    <t>26-27/PUR/003487</t>
  </si>
  <si>
    <t>SH062609010</t>
  </si>
  <si>
    <t>25/AHM/INV1044</t>
  </si>
  <si>
    <t>26-27/PUR/003518</t>
  </si>
  <si>
    <t>GJ12BY4946</t>
  </si>
  <si>
    <t>SH06261005</t>
  </si>
  <si>
    <t>25/AHM/INV1046</t>
  </si>
  <si>
    <t>26-27/PUR/003552</t>
  </si>
  <si>
    <t>SH06261003</t>
  </si>
  <si>
    <t>25/AHM/INV1045</t>
  </si>
  <si>
    <t>26-27/PUR/003548</t>
  </si>
  <si>
    <t>SH06261006</t>
  </si>
  <si>
    <t>25/AHM/INV1047</t>
  </si>
  <si>
    <t>26-27/PUR/003553</t>
  </si>
  <si>
    <t>SH06261106</t>
  </si>
  <si>
    <t>25/AHM/INV1049</t>
  </si>
  <si>
    <t>26-27/PUR/003576</t>
  </si>
  <si>
    <t>Waste of Plastic's</t>
  </si>
  <si>
    <t>SH06261102</t>
  </si>
  <si>
    <t>25/AHM/INV1051</t>
  </si>
  <si>
    <t>26-27/PUR/003567</t>
  </si>
  <si>
    <t>SH06261104</t>
  </si>
  <si>
    <t>25/AHM/INV1053</t>
  </si>
  <si>
    <t>26-27/PUR/003574</t>
  </si>
  <si>
    <t>SH06261103</t>
  </si>
  <si>
    <t>25/AHM/INV1055</t>
  </si>
  <si>
    <t>26-27/PUR/003572</t>
  </si>
  <si>
    <t>GJ15AX0859</t>
  </si>
  <si>
    <t>SH06261105</t>
  </si>
  <si>
    <t>25/AHM/INV1052</t>
  </si>
  <si>
    <t>26-27/PUR/003575</t>
  </si>
  <si>
    <t>GARBAGE SCRAP</t>
  </si>
  <si>
    <t>SH06261203</t>
  </si>
  <si>
    <t>25/AHM/INV1056</t>
  </si>
  <si>
    <t>26-27/PUR/003641</t>
  </si>
  <si>
    <t>SH06261302</t>
  </si>
  <si>
    <t>25/AHM/INV1057</t>
  </si>
  <si>
    <t>26-27/PUR/003644</t>
  </si>
  <si>
    <t>SH06261303</t>
  </si>
  <si>
    <t>25/AHM/INV1058</t>
  </si>
  <si>
    <t>26-27/PUR/003645</t>
  </si>
  <si>
    <t>SH06261501</t>
  </si>
  <si>
    <t>25/AHM/INV1062</t>
  </si>
  <si>
    <t>26-27/PUR/003751</t>
  </si>
  <si>
    <t>SH06261608</t>
  </si>
  <si>
    <t>25/AHM/INV1063</t>
  </si>
  <si>
    <t>26-27/PUR/003812</t>
  </si>
  <si>
    <t>SH06261503</t>
  </si>
  <si>
    <t>25/AHM/INV1061</t>
  </si>
  <si>
    <t>26-27/PUR/003853</t>
  </si>
  <si>
    <t>SH06261805</t>
  </si>
  <si>
    <t>25/AHM/INV1065</t>
  </si>
  <si>
    <t>26-27/PUR/003919</t>
  </si>
  <si>
    <t>SH06261804</t>
  </si>
  <si>
    <t>25/AHM/INV1064</t>
  </si>
  <si>
    <t>26-27/PUR/003918</t>
  </si>
  <si>
    <t>SH06261906</t>
  </si>
  <si>
    <t>2627700470</t>
  </si>
  <si>
    <t>26-27/PUR/003990</t>
  </si>
  <si>
    <t>GJ16AU3848</t>
  </si>
  <si>
    <t>SH06261907</t>
  </si>
  <si>
    <t>25/AHM/INV1067</t>
  </si>
  <si>
    <t>26-27/PUR/003993</t>
  </si>
  <si>
    <t>DD01N9712</t>
  </si>
  <si>
    <t>SH06261903</t>
  </si>
  <si>
    <t>25/AHM/INV1066</t>
  </si>
  <si>
    <t>26-27/PUR/003988</t>
  </si>
  <si>
    <t>SH06262102</t>
  </si>
  <si>
    <t>25/AHM/INV1068</t>
  </si>
  <si>
    <t>26-27/PUR/004001</t>
  </si>
  <si>
    <t>SH06262209</t>
  </si>
  <si>
    <t>25/AHM/INV1071</t>
  </si>
  <si>
    <t>26-27/PUR/004044</t>
  </si>
  <si>
    <t>SH06262207</t>
  </si>
  <si>
    <t>25/AHM/INV1069</t>
  </si>
  <si>
    <t>26-27/PUR/004042</t>
  </si>
  <si>
    <t>SH06262208</t>
  </si>
  <si>
    <t>25/AHM/INV1070</t>
  </si>
  <si>
    <t>26-27/PUR/004043</t>
  </si>
  <si>
    <t>DD01K9709</t>
  </si>
  <si>
    <t>SH06262306</t>
  </si>
  <si>
    <t>25/AHM/INV1073</t>
  </si>
  <si>
    <t>26-27/PUR/004103</t>
  </si>
  <si>
    <t>SH06262305</t>
  </si>
  <si>
    <t>25/AHM/INV1074</t>
  </si>
  <si>
    <t>26-27/PUR/004104</t>
  </si>
  <si>
    <t>WB11F3118</t>
  </si>
  <si>
    <t>NHO Shredded Bottles</t>
  </si>
  <si>
    <t>36/IB/27IN00114</t>
  </si>
  <si>
    <t>36/IB/27IN00117</t>
  </si>
  <si>
    <t>36/IB/27IN00115</t>
  </si>
  <si>
    <t>36/IB/27IN00116</t>
  </si>
  <si>
    <t>36/IB/27IN00123</t>
  </si>
  <si>
    <t>36/IB/27IN00126</t>
  </si>
  <si>
    <t>36/IB/27IN00130</t>
  </si>
  <si>
    <t>36/IB/27IN00129</t>
  </si>
  <si>
    <t>36/IB/27IN00119</t>
  </si>
  <si>
    <t>36/IB/27IN00127</t>
  </si>
  <si>
    <t>132451943709</t>
  </si>
  <si>
    <t>36/IB/27IN00122</t>
  </si>
  <si>
    <t>36/IB/27IN00121</t>
  </si>
  <si>
    <t>36/IB/27IN00128</t>
  </si>
  <si>
    <t>36/IB/27IN00124</t>
  </si>
  <si>
    <t>36/IB/27IN00131</t>
  </si>
  <si>
    <t>36/IB/27IN00120</t>
  </si>
  <si>
    <t>36/IB/27IN00125</t>
  </si>
  <si>
    <t>36/IB/27IN00118</t>
  </si>
  <si>
    <t>36/IB/27IN00133</t>
  </si>
  <si>
    <t>36/IB/27IN00135</t>
  </si>
  <si>
    <t>36/IB/27IN00138</t>
  </si>
  <si>
    <t>36/IB/27IN00144</t>
  </si>
  <si>
    <t>36/IB/27IN00143</t>
  </si>
  <si>
    <t>36/IB/27IN00141</t>
  </si>
  <si>
    <t>36/IB/27IN00145</t>
  </si>
  <si>
    <t>36/IB/27IN00134</t>
  </si>
  <si>
    <t>36/IB/27IN00132</t>
  </si>
  <si>
    <t>36/IB/27IN00139</t>
  </si>
  <si>
    <t>36/IB/27IN00136</t>
  </si>
  <si>
    <t>36/IB/27IN00140</t>
  </si>
  <si>
    <t>36/IB/27IN00137</t>
  </si>
  <si>
    <t>36/IB/27IN00142</t>
  </si>
  <si>
    <t>36/IB/27IN00146</t>
  </si>
  <si>
    <t>36/IB/27IN00156</t>
  </si>
  <si>
    <t>832139000070384333</t>
  </si>
  <si>
    <t>New Town West Bengal 700160</t>
  </si>
  <si>
    <t>Kanaipur Hooghly</t>
  </si>
  <si>
    <t>West Bengal</t>
  </si>
  <si>
    <t>36/IB/27IN00151</t>
  </si>
  <si>
    <t>36/IB/27IN00149</t>
  </si>
  <si>
    <t>102462727388</t>
  </si>
  <si>
    <t>36/IB/27IN00150</t>
  </si>
  <si>
    <t>36/IB/27IN00152</t>
  </si>
  <si>
    <t>36/IB/27IN00148</t>
  </si>
  <si>
    <t>36/IB/27IN00154</t>
  </si>
  <si>
    <t>36/IB/27IN00147</t>
  </si>
  <si>
    <t>36/IB/27IN00153</t>
  </si>
  <si>
    <t>36/IB/27IN00155</t>
  </si>
  <si>
    <t>MHPV342</t>
  </si>
  <si>
    <t>25/PUN/INV0317</t>
  </si>
  <si>
    <t>26-27/PUR/003545</t>
  </si>
  <si>
    <t>26-27/PUR/003326</t>
  </si>
  <si>
    <t>SH06260101</t>
  </si>
  <si>
    <t>27/IB/27IN00006</t>
  </si>
  <si>
    <t>SH06260702</t>
  </si>
  <si>
    <t>27/IB/27IN00007</t>
  </si>
  <si>
    <t>SH06261101</t>
  </si>
  <si>
    <t>27/IB/27IN00008</t>
  </si>
  <si>
    <t>26-27/PUR/003596</t>
  </si>
  <si>
    <t>RC06261101</t>
  </si>
  <si>
    <t>SKH M India Private Limited</t>
  </si>
  <si>
    <t>RC06261801</t>
  </si>
  <si>
    <t>RC06261802</t>
  </si>
  <si>
    <t>RC06261803</t>
  </si>
  <si>
    <t>27ABLCS9391P1Z4</t>
  </si>
  <si>
    <t>2613530799</t>
  </si>
  <si>
    <t>25/PUN/INV0316</t>
  </si>
  <si>
    <t>2613533714</t>
  </si>
  <si>
    <t>2613533678</t>
  </si>
  <si>
    <t>2613533711</t>
  </si>
  <si>
    <t>26-27/PUR/003547</t>
  </si>
  <si>
    <t>26-27/PUR/003995</t>
  </si>
  <si>
    <t>26-27/PUR/003997</t>
  </si>
  <si>
    <t>26-27/PUR/003996</t>
  </si>
  <si>
    <t>MH14NE4190</t>
  </si>
  <si>
    <t>MH46F0156</t>
  </si>
  <si>
    <t>MH43Y6066</t>
  </si>
  <si>
    <t>General Scrap (MS Mix)</t>
  </si>
  <si>
    <t>Turning Scrap (MS)</t>
  </si>
  <si>
    <t>360</t>
  </si>
  <si>
    <t>26-27/PUR/003309</t>
  </si>
  <si>
    <t>1026</t>
  </si>
  <si>
    <t>26-27/PUR/003324</t>
  </si>
  <si>
    <t>MH12KP7859</t>
  </si>
  <si>
    <t>1025</t>
  </si>
  <si>
    <t>26-27/PUR/003321</t>
  </si>
  <si>
    <t>MH14EM8173</t>
  </si>
  <si>
    <t>26-27/PUR/003325</t>
  </si>
  <si>
    <t>MH12UM2102</t>
  </si>
  <si>
    <t>1030</t>
  </si>
  <si>
    <t>26-27/PUR/003735</t>
  </si>
  <si>
    <t>MH14HU0379</t>
  </si>
  <si>
    <t>1029</t>
  </si>
  <si>
    <t>26-27/PUR/003781</t>
  </si>
  <si>
    <t>1027</t>
  </si>
  <si>
    <t>26-27/PUR/004070</t>
  </si>
  <si>
    <t>MH12LT6525</t>
  </si>
  <si>
    <t>Halting charges at the loading point</t>
  </si>
  <si>
    <t>SH11251002</t>
  </si>
  <si>
    <t>SH102512020</t>
  </si>
  <si>
    <t>27/IB/27VC00016</t>
  </si>
  <si>
    <t>27/IB/27VC00020</t>
  </si>
  <si>
    <t>27/IB/27CN00029</t>
  </si>
  <si>
    <t>27/IB/27CN00031</t>
  </si>
  <si>
    <t>Logistic DN</t>
  </si>
  <si>
    <t>27/IB/27VC00019</t>
  </si>
  <si>
    <t>36/IB/27VC00003</t>
  </si>
  <si>
    <t>36/IB/27VC00004</t>
  </si>
  <si>
    <t>27/IB/27CN00018</t>
  </si>
  <si>
    <t>27/IB/27CN00019</t>
  </si>
  <si>
    <t>27/IB/27CN00020</t>
  </si>
  <si>
    <t>27/IB/27CN00021</t>
  </si>
  <si>
    <t>27/IB/27CN00022</t>
  </si>
  <si>
    <t>27/IB/27CN00023</t>
  </si>
  <si>
    <t>27/IB/27CN00024</t>
  </si>
  <si>
    <t>27/IB/27CN00025</t>
  </si>
  <si>
    <t>27/IB/27CN00026</t>
  </si>
  <si>
    <t>27/IB/27CN00027</t>
  </si>
  <si>
    <t>27/IB/27CN00028</t>
  </si>
  <si>
    <t>27/IB/27CN00033</t>
  </si>
  <si>
    <t>27/IB/27CN00037</t>
  </si>
  <si>
    <t>27/IB/27CN00034</t>
  </si>
  <si>
    <t>27/IB/27CN00035</t>
  </si>
  <si>
    <t>27/IB/27CN00036</t>
  </si>
  <si>
    <t>27/IB/27CN00040</t>
  </si>
  <si>
    <t>27/IB/27CN00041</t>
  </si>
  <si>
    <t>27/IB/27CN00042</t>
  </si>
  <si>
    <t>27/IB/27CN00043</t>
  </si>
  <si>
    <t>27/IB/27CN00049</t>
  </si>
  <si>
    <t>27/IB/27CN00044</t>
  </si>
  <si>
    <t>27/IB/27CN00045</t>
  </si>
  <si>
    <t>27/IB/27CN00047</t>
  </si>
  <si>
    <t>27/IB/27CN00048</t>
  </si>
  <si>
    <t>27/IB/27CN00050</t>
  </si>
  <si>
    <t>27/IB/27CN00051</t>
  </si>
  <si>
    <t>27/IB/27CN00053</t>
  </si>
  <si>
    <t>27/IB/27CN00052</t>
  </si>
  <si>
    <t>27/IB/27CN00054</t>
  </si>
  <si>
    <t>27/IB/27CN00046</t>
  </si>
  <si>
    <t>27/IB/27CN00056</t>
  </si>
  <si>
    <t>MHPV338 , MHPV337</t>
  </si>
  <si>
    <t>Service Charges (June-26)</t>
  </si>
  <si>
    <t>SH06262405</t>
  </si>
  <si>
    <t>25/AHM/INV1075</t>
  </si>
  <si>
    <t>26-27/PUR/004166</t>
  </si>
  <si>
    <t>SH06262406</t>
  </si>
  <si>
    <t>25/AHM/INV1076</t>
  </si>
  <si>
    <t>26-27/PUR/004165</t>
  </si>
  <si>
    <t>WB03D6671</t>
  </si>
  <si>
    <t>SH06262407</t>
  </si>
  <si>
    <t>25/AHM/INV1077</t>
  </si>
  <si>
    <t>26-27/PUR/004167</t>
  </si>
  <si>
    <t>GJ19V0189</t>
  </si>
  <si>
    <t>SH06262509</t>
  </si>
  <si>
    <t>25/AHM/INV1079</t>
  </si>
  <si>
    <t>26-27/PUR/004242</t>
  </si>
  <si>
    <t>36/IB/27IN00158</t>
  </si>
  <si>
    <t>36/IB/27IN00157</t>
  </si>
  <si>
    <t>New Town,West Bengal,700160</t>
  </si>
  <si>
    <t>Hooghly</t>
  </si>
  <si>
    <t>36/IB/27IN00159</t>
  </si>
  <si>
    <t>36/IB/27IN00160</t>
  </si>
  <si>
    <t>112</t>
  </si>
  <si>
    <t>2026-06-10</t>
  </si>
  <si>
    <t>2026-06-16</t>
  </si>
  <si>
    <t>2026-06-20</t>
  </si>
  <si>
    <t>partially_paid</t>
  </si>
  <si>
    <t>2026-07-23</t>
  </si>
  <si>
    <t>Provision for EMD Forfeiture</t>
  </si>
  <si>
    <t>Apr</t>
  </si>
  <si>
    <t>May</t>
  </si>
  <si>
    <t>Customs duty</t>
  </si>
  <si>
    <t>SH06262602</t>
  </si>
  <si>
    <t>25/AHM/INV1084</t>
  </si>
  <si>
    <t>26-27/PUR/004306</t>
  </si>
  <si>
    <t>SH06262604</t>
  </si>
  <si>
    <t>25/AHM/INV1083</t>
  </si>
  <si>
    <t>26-27/PUR/004292</t>
  </si>
  <si>
    <t>36/IB/27IN00162</t>
  </si>
  <si>
    <t>36/IB/27IN00161</t>
  </si>
  <si>
    <t>RC06262201</t>
  </si>
  <si>
    <t>2613534690</t>
  </si>
  <si>
    <t>26-27/PUR/004132</t>
  </si>
  <si>
    <t>115</t>
  </si>
  <si>
    <t>114</t>
  </si>
  <si>
    <t>113</t>
  </si>
  <si>
    <t>89</t>
  </si>
  <si>
    <t>2026-07-02</t>
  </si>
  <si>
    <t>SH06262605</t>
  </si>
  <si>
    <t>25/AHM/INV1085</t>
  </si>
  <si>
    <t>26-27/PUR/004309</t>
  </si>
  <si>
    <t>SH062629011</t>
  </si>
  <si>
    <t>25/AHM/INV1086</t>
  </si>
  <si>
    <t>26-27/PUR/004474</t>
  </si>
  <si>
    <t>SH062629012</t>
  </si>
  <si>
    <t>25/AHM/INV1087</t>
  </si>
  <si>
    <t>26-27/PUR/004475</t>
  </si>
  <si>
    <t>SH062629016</t>
  </si>
  <si>
    <t>25/AHM/INV1088</t>
  </si>
  <si>
    <t>26-27/PUR/004487</t>
  </si>
  <si>
    <t>SH062629013</t>
  </si>
  <si>
    <t>2627700561</t>
  </si>
  <si>
    <t>26-27/PUR/004486</t>
  </si>
  <si>
    <t>SH062630014</t>
  </si>
  <si>
    <t>25/AHM/INV1089</t>
  </si>
  <si>
    <t>26-27/PUR/004583</t>
  </si>
  <si>
    <t>36/IB/27IN00163</t>
  </si>
  <si>
    <t>36/IB/27IN00165</t>
  </si>
  <si>
    <t>36/IB/27IN00167</t>
  </si>
  <si>
    <t>36/IB/27IN00164</t>
  </si>
  <si>
    <t>36/IB/27IN00168</t>
  </si>
  <si>
    <t>36/IB/27IN00166</t>
  </si>
  <si>
    <t>152472187858</t>
  </si>
  <si>
    <t>RC06262601</t>
  </si>
  <si>
    <t>2613537216</t>
  </si>
  <si>
    <t>26-27/PUR/004391</t>
  </si>
  <si>
    <t>RC06263001</t>
  </si>
  <si>
    <t>2613538461</t>
  </si>
  <si>
    <t>26-27/PUR/004534</t>
  </si>
  <si>
    <t>MHPV343</t>
  </si>
  <si>
    <t>25/PUN/INV0332</t>
  </si>
  <si>
    <t>26-27/PUR/004561</t>
  </si>
  <si>
    <t>MHPV344</t>
  </si>
  <si>
    <t>25/PUN/INV0331</t>
  </si>
  <si>
    <t>26-27/PUR/004569</t>
  </si>
  <si>
    <t>Service Charges (Apr &amp; May)</t>
  </si>
  <si>
    <t>382</t>
  </si>
  <si>
    <t>359</t>
  </si>
  <si>
    <t>305</t>
  </si>
  <si>
    <t>258</t>
  </si>
  <si>
    <t>246</t>
  </si>
  <si>
    <t>231</t>
  </si>
  <si>
    <t>122</t>
  </si>
  <si>
    <t>116</t>
  </si>
  <si>
    <t>109</t>
  </si>
  <si>
    <t>101</t>
  </si>
  <si>
    <t>98</t>
  </si>
  <si>
    <t>91</t>
  </si>
  <si>
    <t>72</t>
  </si>
  <si>
    <t>2026-07-05</t>
  </si>
  <si>
    <t>2026-07-06</t>
  </si>
  <si>
    <t>Marketplace (Enterprise)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</si>
</sst>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_ * #,##0.0000_ ;_ * \-#,##0.0000_ ;_ * &quot;-&quot;??_ ;_ @_ 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u/>
      <sz val="11"/>
      <color theme="1" tint="0.34998626667073579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mbria"/>
      <family val="1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 val="singleAccounting"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21252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8"/>
      <name val="Times New Roman"/>
      <family val="1"/>
    </font>
    <font>
      <sz val="14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4"/>
      <color rgb="FF0000FF"/>
      <name val="Calibri"/>
      <family val="2"/>
      <scheme val="minor"/>
    </font>
    <font>
      <sz val="9"/>
      <color theme="1"/>
      <name val="Cambria"/>
      <family val="1"/>
    </font>
    <font>
      <b/>
      <sz val="9"/>
      <color theme="0"/>
      <name val="Calibri"/>
      <family val="2"/>
      <scheme val="minor"/>
    </font>
    <font>
      <b/>
      <sz val="9"/>
      <color theme="0"/>
      <name val="Cambria"/>
      <family val="1"/>
    </font>
    <font>
      <sz val="9"/>
      <color rgb="FF0000FF"/>
      <name val="Calibri"/>
      <family val="2"/>
      <scheme val="minor"/>
    </font>
    <font>
      <i/>
      <sz val="9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b/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9"/>
      <color theme="1"/>
      <name val="Cambria"/>
      <family val="1"/>
    </font>
    <font>
      <b/>
      <sz val="11"/>
      <color indexed="8"/>
      <name val="Calibri"/>
      <family val="2"/>
    </font>
    <font>
      <b/>
      <i/>
      <u/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Cambria"/>
      <family val="1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9F0FE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 style="medium">
        <color theme="1"/>
      </top>
      <bottom/>
      <diagonal/>
    </border>
    <border>
      <left style="medium">
        <color theme="0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9" fontId="1" fillId="0" borderId="0" applyFont="0" applyFill="0" applyBorder="0" applyAlignment="0" applyProtection="0"/>
    <xf numFmtId="0" fontId="18" fillId="0" borderId="0"/>
  </cellStyleXfs>
  <cellXfs count="573">
    <xf numFmtId="0" fontId="0" fillId="0" borderId="0" xfId="0"/>
    <xf numFmtId="165" fontId="0" fillId="0" borderId="0" xfId="0" applyNumberFormat="1"/>
    <xf numFmtId="0" fontId="4" fillId="0" borderId="0" xfId="0" applyFont="1"/>
    <xf numFmtId="165" fontId="0" fillId="0" borderId="0" xfId="7" applyNumberFormat="1" applyFont="1"/>
    <xf numFmtId="0" fontId="0" fillId="0" borderId="0" xfId="0" applyAlignment="1">
      <alignment horizontal="center"/>
    </xf>
    <xf numFmtId="0" fontId="5" fillId="0" borderId="0" xfId="0" applyFont="1"/>
    <xf numFmtId="0" fontId="0" fillId="0" borderId="2" xfId="0" applyBorder="1"/>
    <xf numFmtId="0" fontId="4" fillId="0" borderId="5" xfId="0" applyFont="1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165" fontId="0" fillId="0" borderId="9" xfId="7" applyNumberFormat="1" applyFont="1" applyBorder="1"/>
    <xf numFmtId="1" fontId="4" fillId="0" borderId="8" xfId="7" applyNumberFormat="1" applyFont="1" applyBorder="1"/>
    <xf numFmtId="3" fontId="0" fillId="0" borderId="9" xfId="0" applyNumberFormat="1" applyBorder="1" applyAlignment="1">
      <alignment horizontal="right"/>
    </xf>
    <xf numFmtId="1" fontId="4" fillId="0" borderId="0" xfId="7" applyNumberFormat="1" applyFont="1" applyBorder="1"/>
    <xf numFmtId="0" fontId="0" fillId="0" borderId="13" xfId="0" applyBorder="1"/>
    <xf numFmtId="3" fontId="0" fillId="0" borderId="9" xfId="0" applyNumberFormat="1" applyBorder="1"/>
    <xf numFmtId="4" fontId="0" fillId="0" borderId="2" xfId="0" applyNumberFormat="1" applyBorder="1"/>
    <xf numFmtId="165" fontId="0" fillId="0" borderId="3" xfId="7" applyNumberFormat="1" applyFont="1" applyBorder="1"/>
    <xf numFmtId="0" fontId="0" fillId="0" borderId="10" xfId="0" applyBorder="1"/>
    <xf numFmtId="3" fontId="0" fillId="0" borderId="3" xfId="0" applyNumberFormat="1" applyBorder="1"/>
    <xf numFmtId="3" fontId="0" fillId="0" borderId="10" xfId="0" applyNumberFormat="1" applyBorder="1"/>
    <xf numFmtId="3" fontId="0" fillId="0" borderId="0" xfId="0" applyNumberFormat="1"/>
    <xf numFmtId="0" fontId="4" fillId="3" borderId="0" xfId="0" applyFont="1" applyFill="1"/>
    <xf numFmtId="165" fontId="4" fillId="3" borderId="0" xfId="7" applyNumberFormat="1" applyFont="1" applyFill="1"/>
    <xf numFmtId="165" fontId="4" fillId="3" borderId="0" xfId="7" applyNumberFormat="1" applyFont="1" applyFill="1" applyBorder="1"/>
    <xf numFmtId="0" fontId="7" fillId="4" borderId="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 vertical="center"/>
    </xf>
    <xf numFmtId="3" fontId="4" fillId="0" borderId="8" xfId="0" applyNumberFormat="1" applyFont="1" applyBorder="1"/>
    <xf numFmtId="14" fontId="7" fillId="4" borderId="5" xfId="0" applyNumberFormat="1" applyFont="1" applyFill="1" applyBorder="1" applyAlignment="1">
      <alignment horizontal="center"/>
    </xf>
    <xf numFmtId="3" fontId="7" fillId="4" borderId="8" xfId="0" applyNumberFormat="1" applyFont="1" applyFill="1" applyBorder="1"/>
    <xf numFmtId="3" fontId="6" fillId="0" borderId="9" xfId="0" applyNumberFormat="1" applyFont="1" applyBorder="1"/>
    <xf numFmtId="165" fontId="4" fillId="0" borderId="8" xfId="0" applyNumberFormat="1" applyFont="1" applyBorder="1"/>
    <xf numFmtId="3" fontId="4" fillId="0" borderId="0" xfId="7" applyNumberFormat="1" applyFont="1" applyBorder="1" applyAlignment="1">
      <alignment vertical="center"/>
    </xf>
    <xf numFmtId="3" fontId="4" fillId="0" borderId="8" xfId="0" applyNumberFormat="1" applyFont="1" applyBorder="1" applyAlignment="1">
      <alignment horizontal="center"/>
    </xf>
    <xf numFmtId="0" fontId="4" fillId="0" borderId="8" xfId="0" applyFont="1" applyBorder="1"/>
    <xf numFmtId="0" fontId="7" fillId="4" borderId="6" xfId="0" applyFont="1" applyFill="1" applyBorder="1" applyAlignment="1">
      <alignment horizontal="center"/>
    </xf>
    <xf numFmtId="3" fontId="4" fillId="0" borderId="6" xfId="7" applyNumberFormat="1" applyFont="1" applyBorder="1"/>
    <xf numFmtId="14" fontId="0" fillId="0" borderId="2" xfId="0" applyNumberFormat="1" applyBorder="1"/>
    <xf numFmtId="0" fontId="9" fillId="0" borderId="13" xfId="0" applyFont="1" applyBorder="1"/>
    <xf numFmtId="0" fontId="4" fillId="0" borderId="5" xfId="0" applyFont="1" applyBorder="1" applyAlignment="1">
      <alignment horizontal="center"/>
    </xf>
    <xf numFmtId="14" fontId="0" fillId="0" borderId="9" xfId="0" applyNumberFormat="1" applyBorder="1"/>
    <xf numFmtId="3" fontId="4" fillId="0" borderId="6" xfId="0" applyNumberFormat="1" applyFont="1" applyBorder="1"/>
    <xf numFmtId="0" fontId="8" fillId="0" borderId="13" xfId="0" applyFont="1" applyBorder="1"/>
    <xf numFmtId="0" fontId="15" fillId="0" borderId="0" xfId="0" applyFont="1"/>
    <xf numFmtId="0" fontId="0" fillId="3" borderId="2" xfId="0" applyFill="1" applyBorder="1"/>
    <xf numFmtId="0" fontId="7" fillId="4" borderId="23" xfId="0" applyFont="1" applyFill="1" applyBorder="1" applyAlignment="1">
      <alignment horizontal="center"/>
    </xf>
    <xf numFmtId="165" fontId="7" fillId="4" borderId="14" xfId="7" applyNumberFormat="1" applyFont="1" applyFill="1" applyBorder="1" applyAlignment="1">
      <alignment horizontal="center"/>
    </xf>
    <xf numFmtId="165" fontId="0" fillId="3" borderId="9" xfId="7" applyNumberFormat="1" applyFont="1" applyFill="1" applyBorder="1"/>
    <xf numFmtId="165" fontId="4" fillId="3" borderId="6" xfId="7" applyNumberFormat="1" applyFont="1" applyFill="1" applyBorder="1"/>
    <xf numFmtId="0" fontId="4" fillId="3" borderId="2" xfId="0" applyFont="1" applyFill="1" applyBorder="1"/>
    <xf numFmtId="0" fontId="4" fillId="3" borderId="5" xfId="0" applyFont="1" applyFill="1" applyBorder="1" applyAlignment="1">
      <alignment horizontal="center"/>
    </xf>
    <xf numFmtId="165" fontId="4" fillId="3" borderId="6" xfId="7" applyNumberFormat="1" applyFont="1" applyFill="1" applyBorder="1" applyAlignment="1">
      <alignment horizontal="center"/>
    </xf>
    <xf numFmtId="0" fontId="0" fillId="3" borderId="23" xfId="0" applyFill="1" applyBorder="1"/>
    <xf numFmtId="165" fontId="0" fillId="3" borderId="14" xfId="7" applyNumberFormat="1" applyFont="1" applyFill="1" applyBorder="1"/>
    <xf numFmtId="165" fontId="3" fillId="3" borderId="8" xfId="7" applyNumberFormat="1" applyFont="1" applyFill="1" applyBorder="1"/>
    <xf numFmtId="3" fontId="4" fillId="0" borderId="7" xfId="0" applyNumberFormat="1" applyFont="1" applyBorder="1"/>
    <xf numFmtId="0" fontId="7" fillId="4" borderId="14" xfId="0" applyFont="1" applyFill="1" applyBorder="1" applyAlignment="1">
      <alignment horizontal="center"/>
    </xf>
    <xf numFmtId="0" fontId="13" fillId="0" borderId="0" xfId="0" applyFont="1"/>
    <xf numFmtId="165" fontId="0" fillId="0" borderId="2" xfId="7" applyNumberFormat="1" applyFont="1" applyBorder="1"/>
    <xf numFmtId="165" fontId="0" fillId="0" borderId="0" xfId="7" applyNumberFormat="1" applyFont="1" applyBorder="1"/>
    <xf numFmtId="165" fontId="3" fillId="0" borderId="0" xfId="7" applyNumberFormat="1" applyFont="1"/>
    <xf numFmtId="10" fontId="3" fillId="0" borderId="0" xfId="12" applyNumberFormat="1" applyFont="1"/>
    <xf numFmtId="10" fontId="16" fillId="0" borderId="0" xfId="12" applyNumberFormat="1" applyFont="1" applyBorder="1"/>
    <xf numFmtId="10" fontId="16" fillId="0" borderId="9" xfId="12" applyNumberFormat="1" applyFont="1" applyBorder="1"/>
    <xf numFmtId="165" fontId="7" fillId="6" borderId="5" xfId="7" applyNumberFormat="1" applyFont="1" applyFill="1" applyBorder="1" applyAlignment="1">
      <alignment horizontal="center"/>
    </xf>
    <xf numFmtId="165" fontId="7" fillId="6" borderId="8" xfId="7" applyNumberFormat="1" applyFont="1" applyFill="1" applyBorder="1" applyAlignment="1">
      <alignment horizontal="center"/>
    </xf>
    <xf numFmtId="165" fontId="7" fillId="6" borderId="7" xfId="7" applyNumberFormat="1" applyFont="1" applyFill="1" applyBorder="1" applyAlignment="1">
      <alignment horizontal="center"/>
    </xf>
    <xf numFmtId="165" fontId="7" fillId="6" borderId="11" xfId="7" applyNumberFormat="1" applyFont="1" applyFill="1" applyBorder="1" applyAlignment="1">
      <alignment horizontal="center"/>
    </xf>
    <xf numFmtId="4" fontId="0" fillId="0" borderId="3" xfId="7" applyNumberFormat="1" applyFont="1" applyBorder="1"/>
    <xf numFmtId="165" fontId="7" fillId="6" borderId="23" xfId="7" applyNumberFormat="1" applyFont="1" applyFill="1" applyBorder="1" applyAlignment="1">
      <alignment horizontal="center"/>
    </xf>
    <xf numFmtId="165" fontId="17" fillId="0" borderId="0" xfId="7" applyNumberFormat="1" applyFont="1" applyAlignment="1">
      <alignment horizontal="center"/>
    </xf>
    <xf numFmtId="165" fontId="7" fillId="6" borderId="0" xfId="7" applyNumberFormat="1" applyFont="1" applyFill="1" applyBorder="1" applyAlignment="1">
      <alignment horizontal="center"/>
    </xf>
    <xf numFmtId="165" fontId="3" fillId="0" borderId="0" xfId="7" applyNumberFormat="1" applyFont="1" applyBorder="1"/>
    <xf numFmtId="165" fontId="19" fillId="0" borderId="0" xfId="7" applyNumberFormat="1" applyFont="1" applyAlignment="1"/>
    <xf numFmtId="165" fontId="20" fillId="0" borderId="0" xfId="7" applyNumberFormat="1" applyFont="1" applyAlignment="1">
      <alignment vertical="center"/>
    </xf>
    <xf numFmtId="165" fontId="19" fillId="0" borderId="0" xfId="7" applyNumberFormat="1" applyFont="1" applyAlignment="1">
      <alignment horizontal="left"/>
    </xf>
    <xf numFmtId="14" fontId="19" fillId="0" borderId="0" xfId="7" applyNumberFormat="1" applyFont="1" applyAlignment="1">
      <alignment horizontal="left"/>
    </xf>
    <xf numFmtId="165" fontId="19" fillId="4" borderId="0" xfId="7" applyNumberFormat="1" applyFont="1" applyFill="1" applyBorder="1" applyAlignment="1">
      <alignment horizontal="center"/>
    </xf>
    <xf numFmtId="165" fontId="19" fillId="0" borderId="0" xfId="7" applyNumberFormat="1" applyFont="1" applyFill="1" applyBorder="1" applyAlignment="1">
      <alignment horizontal="right"/>
    </xf>
    <xf numFmtId="165" fontId="19" fillId="0" borderId="0" xfId="7" applyNumberFormat="1" applyFont="1" applyAlignment="1">
      <alignment horizontal="center" vertical="center"/>
    </xf>
    <xf numFmtId="165" fontId="19" fillId="4" borderId="0" xfId="7" applyNumberFormat="1" applyFont="1" applyFill="1" applyAlignment="1">
      <alignment vertical="center"/>
    </xf>
    <xf numFmtId="165" fontId="19" fillId="0" borderId="0" xfId="7" applyNumberFormat="1" applyFont="1" applyFill="1" applyBorder="1" applyAlignment="1"/>
    <xf numFmtId="165" fontId="19" fillId="5" borderId="0" xfId="7" applyNumberFormat="1" applyFont="1" applyFill="1" applyBorder="1" applyAlignment="1">
      <alignment horizontal="center"/>
    </xf>
    <xf numFmtId="165" fontId="19" fillId="0" borderId="0" xfId="7" applyNumberFormat="1" applyFont="1" applyAlignment="1">
      <alignment horizontal="left" vertical="top"/>
    </xf>
    <xf numFmtId="165" fontId="22" fillId="0" borderId="13" xfId="7" applyNumberFormat="1" applyFont="1" applyBorder="1" applyAlignment="1"/>
    <xf numFmtId="14" fontId="22" fillId="0" borderId="13" xfId="7" applyNumberFormat="1" applyFont="1" applyBorder="1" applyAlignment="1"/>
    <xf numFmtId="165" fontId="20" fillId="0" borderId="0" xfId="7" applyNumberFormat="1" applyFont="1" applyFill="1" applyBorder="1" applyAlignment="1">
      <alignment horizontal="right"/>
    </xf>
    <xf numFmtId="165" fontId="22" fillId="0" borderId="13" xfId="7" applyNumberFormat="1" applyFont="1" applyBorder="1" applyAlignment="1">
      <alignment vertical="center"/>
    </xf>
    <xf numFmtId="165" fontId="19" fillId="0" borderId="0" xfId="7" applyNumberFormat="1" applyFont="1" applyAlignment="1">
      <alignment horizontal="right"/>
    </xf>
    <xf numFmtId="165" fontId="23" fillId="0" borderId="13" xfId="7" applyNumberFormat="1" applyFont="1" applyFill="1" applyBorder="1" applyAlignment="1"/>
    <xf numFmtId="10" fontId="19" fillId="0" borderId="0" xfId="12" applyNumberFormat="1" applyFont="1" applyFill="1" applyBorder="1" applyAlignment="1">
      <alignment horizontal="right"/>
    </xf>
    <xf numFmtId="165" fontId="23" fillId="0" borderId="0" xfId="7" applyNumberFormat="1" applyFont="1" applyBorder="1" applyAlignment="1">
      <alignment horizontal="center" vertical="center"/>
    </xf>
    <xf numFmtId="165" fontId="20" fillId="0" borderId="0" xfId="7" applyNumberFormat="1" applyFont="1" applyBorder="1" applyAlignment="1">
      <alignment horizontal="center"/>
    </xf>
    <xf numFmtId="165" fontId="19" fillId="0" borderId="0" xfId="7" applyNumberFormat="1" applyFont="1" applyAlignment="1">
      <alignment horizontal="left" vertical="center"/>
    </xf>
    <xf numFmtId="165" fontId="19" fillId="0" borderId="0" xfId="7" applyNumberFormat="1" applyFont="1" applyBorder="1" applyAlignment="1">
      <alignment horizontal="right"/>
    </xf>
    <xf numFmtId="165" fontId="19" fillId="0" borderId="0" xfId="7" applyNumberFormat="1" applyFont="1" applyBorder="1" applyAlignment="1"/>
    <xf numFmtId="165" fontId="19" fillId="0" borderId="0" xfId="7" applyNumberFormat="1" applyFont="1" applyAlignment="1">
      <alignment horizontal="center"/>
    </xf>
    <xf numFmtId="165" fontId="20" fillId="0" borderId="0" xfId="7" applyNumberFormat="1" applyFont="1" applyAlignment="1">
      <alignment horizontal="right"/>
    </xf>
    <xf numFmtId="165" fontId="20" fillId="0" borderId="0" xfId="7" applyNumberFormat="1" applyFont="1" applyAlignment="1"/>
    <xf numFmtId="165" fontId="19" fillId="0" borderId="0" xfId="7" applyNumberFormat="1" applyFont="1" applyAlignment="1">
      <alignment horizontal="right" vertical="center"/>
    </xf>
    <xf numFmtId="165" fontId="24" fillId="0" borderId="0" xfId="7" applyNumberFormat="1" applyFont="1" applyBorder="1" applyAlignment="1">
      <alignment horizontal="right"/>
    </xf>
    <xf numFmtId="165" fontId="19" fillId="0" borderId="1" xfId="7" applyNumberFormat="1" applyFont="1" applyBorder="1" applyAlignment="1"/>
    <xf numFmtId="165" fontId="19" fillId="0" borderId="0" xfId="7" applyNumberFormat="1" applyFont="1" applyBorder="1" applyAlignment="1">
      <alignment horizontal="center" vertical="center"/>
    </xf>
    <xf numFmtId="165" fontId="1" fillId="0" borderId="0" xfId="7" applyNumberFormat="1" applyFont="1" applyAlignment="1"/>
    <xf numFmtId="165" fontId="1" fillId="0" borderId="0" xfId="7" applyNumberFormat="1" applyFont="1" applyAlignment="1">
      <alignment horizontal="right"/>
    </xf>
    <xf numFmtId="165" fontId="3" fillId="0" borderId="0" xfId="7" applyNumberFormat="1" applyFont="1" applyBorder="1" applyAlignment="1"/>
    <xf numFmtId="165" fontId="25" fillId="6" borderId="5" xfId="7" applyNumberFormat="1" applyFont="1" applyFill="1" applyBorder="1" applyAlignment="1">
      <alignment horizontal="center" vertical="center"/>
    </xf>
    <xf numFmtId="165" fontId="25" fillId="6" borderId="8" xfId="7" applyNumberFormat="1" applyFont="1" applyFill="1" applyBorder="1" applyAlignment="1">
      <alignment horizontal="center" vertical="center"/>
    </xf>
    <xf numFmtId="165" fontId="25" fillId="6" borderId="7" xfId="7" applyNumberFormat="1" applyFont="1" applyFill="1" applyBorder="1" applyAlignment="1">
      <alignment horizontal="center" vertical="center"/>
    </xf>
    <xf numFmtId="14" fontId="25" fillId="6" borderId="8" xfId="7" applyNumberFormat="1" applyFont="1" applyFill="1" applyBorder="1" applyAlignment="1">
      <alignment horizontal="center" vertical="center"/>
    </xf>
    <xf numFmtId="165" fontId="25" fillId="6" borderId="6" xfId="7" applyNumberFormat="1" applyFont="1" applyFill="1" applyBorder="1" applyAlignment="1">
      <alignment horizontal="center" vertical="center"/>
    </xf>
    <xf numFmtId="165" fontId="25" fillId="6" borderId="0" xfId="7" applyNumberFormat="1" applyFont="1" applyFill="1" applyBorder="1" applyAlignment="1">
      <alignment horizontal="center" vertical="center"/>
    </xf>
    <xf numFmtId="165" fontId="25" fillId="6" borderId="19" xfId="7" applyNumberFormat="1" applyFont="1" applyFill="1" applyBorder="1" applyAlignment="1">
      <alignment horizontal="center" vertical="center"/>
    </xf>
    <xf numFmtId="165" fontId="20" fillId="0" borderId="0" xfId="7" applyNumberFormat="1" applyFont="1" applyAlignment="1">
      <alignment horizontal="center" vertical="center"/>
    </xf>
    <xf numFmtId="165" fontId="11" fillId="0" borderId="20" xfId="7" applyNumberFormat="1" applyFont="1" applyBorder="1" applyAlignment="1">
      <alignment horizontal="center"/>
    </xf>
    <xf numFmtId="17" fontId="11" fillId="0" borderId="21" xfId="7" applyNumberFormat="1" applyFont="1" applyBorder="1" applyAlignment="1">
      <alignment horizontal="center"/>
    </xf>
    <xf numFmtId="14" fontId="11" fillId="0" borderId="20" xfId="7" applyNumberFormat="1" applyFont="1" applyBorder="1" applyAlignment="1">
      <alignment horizontal="left"/>
    </xf>
    <xf numFmtId="165" fontId="11" fillId="0" borderId="21" xfId="7" applyNumberFormat="1" applyFont="1" applyBorder="1" applyAlignment="1">
      <alignment horizontal="left"/>
    </xf>
    <xf numFmtId="165" fontId="11" fillId="0" borderId="22" xfId="7" applyNumberFormat="1" applyFont="1" applyBorder="1" applyAlignment="1">
      <alignment horizontal="left"/>
    </xf>
    <xf numFmtId="165" fontId="11" fillId="0" borderId="18" xfId="7" applyNumberFormat="1" applyFont="1" applyFill="1" applyBorder="1" applyAlignment="1"/>
    <xf numFmtId="165" fontId="11" fillId="0" borderId="19" xfId="7" applyNumberFormat="1" applyFont="1" applyFill="1" applyBorder="1" applyAlignment="1"/>
    <xf numFmtId="165" fontId="11" fillId="0" borderId="16" xfId="7" applyNumberFormat="1" applyFont="1" applyFill="1" applyBorder="1" applyAlignment="1"/>
    <xf numFmtId="165" fontId="11" fillId="0" borderId="15" xfId="7" applyNumberFormat="1" applyFont="1" applyFill="1" applyBorder="1" applyAlignment="1"/>
    <xf numFmtId="165" fontId="11" fillId="0" borderId="19" xfId="5" applyNumberFormat="1" applyFont="1" applyFill="1" applyBorder="1" applyAlignment="1"/>
    <xf numFmtId="165" fontId="11" fillId="0" borderId="18" xfId="5" applyNumberFormat="1" applyFont="1" applyFill="1" applyBorder="1" applyAlignment="1"/>
    <xf numFmtId="43" fontId="11" fillId="0" borderId="16" xfId="7" applyFont="1" applyFill="1" applyBorder="1" applyAlignment="1"/>
    <xf numFmtId="165" fontId="11" fillId="0" borderId="18" xfId="7" applyNumberFormat="1" applyFont="1" applyFill="1" applyBorder="1" applyAlignment="1">
      <alignment horizontal="right"/>
    </xf>
    <xf numFmtId="14" fontId="11" fillId="0" borderId="22" xfId="7" applyNumberFormat="1" applyFont="1" applyBorder="1" applyAlignment="1"/>
    <xf numFmtId="165" fontId="11" fillId="0" borderId="21" xfId="7" applyNumberFormat="1" applyFont="1" applyFill="1" applyBorder="1" applyAlignment="1">
      <alignment horizontal="left"/>
    </xf>
    <xf numFmtId="165" fontId="11" fillId="0" borderId="22" xfId="7" applyNumberFormat="1" applyFont="1" applyFill="1" applyBorder="1" applyAlignment="1">
      <alignment horizontal="left"/>
    </xf>
    <xf numFmtId="165" fontId="11" fillId="0" borderId="21" xfId="7" applyNumberFormat="1" applyFont="1" applyFill="1" applyBorder="1" applyAlignment="1"/>
    <xf numFmtId="165" fontId="11" fillId="0" borderId="21" xfId="7" applyNumberFormat="1" applyFont="1" applyBorder="1" applyAlignment="1"/>
    <xf numFmtId="165" fontId="11" fillId="0" borderId="22" xfId="7" applyNumberFormat="1" applyFont="1" applyFill="1" applyBorder="1" applyAlignment="1"/>
    <xf numFmtId="165" fontId="11" fillId="0" borderId="22" xfId="7" applyNumberFormat="1" applyFont="1" applyBorder="1" applyAlignment="1"/>
    <xf numFmtId="165" fontId="11" fillId="0" borderId="19" xfId="7" applyNumberFormat="1" applyFont="1" applyBorder="1" applyAlignment="1"/>
    <xf numFmtId="165" fontId="11" fillId="0" borderId="18" xfId="7" applyNumberFormat="1" applyFont="1" applyBorder="1" applyAlignment="1"/>
    <xf numFmtId="165" fontId="11" fillId="0" borderId="16" xfId="7" applyNumberFormat="1" applyFont="1" applyFill="1" applyBorder="1" applyAlignment="1">
      <alignment horizontal="center"/>
    </xf>
    <xf numFmtId="165" fontId="11" fillId="0" borderId="15" xfId="7" applyNumberFormat="1" applyFont="1" applyBorder="1" applyAlignment="1"/>
    <xf numFmtId="165" fontId="11" fillId="0" borderId="17" xfId="7" applyNumberFormat="1" applyFont="1" applyFill="1" applyBorder="1" applyAlignment="1"/>
    <xf numFmtId="10" fontId="11" fillId="0" borderId="17" xfId="12" applyNumberFormat="1" applyFont="1" applyFill="1" applyBorder="1" applyAlignment="1"/>
    <xf numFmtId="165" fontId="11" fillId="0" borderId="16" xfId="7" applyNumberFormat="1" applyFont="1" applyBorder="1" applyAlignment="1"/>
    <xf numFmtId="165" fontId="11" fillId="0" borderId="21" xfId="5" applyNumberFormat="1" applyFont="1" applyFill="1" applyBorder="1" applyAlignment="1"/>
    <xf numFmtId="165" fontId="11" fillId="0" borderId="0" xfId="7" applyNumberFormat="1" applyFont="1" applyAlignment="1">
      <alignment horizontal="center" vertical="center"/>
    </xf>
    <xf numFmtId="165" fontId="11" fillId="0" borderId="0" xfId="7" applyNumberFormat="1" applyFont="1" applyAlignment="1"/>
    <xf numFmtId="14" fontId="11" fillId="0" borderId="21" xfId="7" applyNumberFormat="1" applyFont="1" applyBorder="1" applyAlignment="1">
      <alignment horizontal="left"/>
    </xf>
    <xf numFmtId="165" fontId="11" fillId="0" borderId="25" xfId="7" applyNumberFormat="1" applyFont="1" applyBorder="1" applyAlignment="1">
      <alignment horizontal="left"/>
    </xf>
    <xf numFmtId="165" fontId="11" fillId="0" borderId="25" xfId="7" applyNumberFormat="1" applyFont="1" applyFill="1" applyBorder="1" applyAlignment="1"/>
    <xf numFmtId="165" fontId="11" fillId="0" borderId="21" xfId="7" applyNumberFormat="1" applyFont="1" applyFill="1" applyBorder="1" applyAlignment="1">
      <alignment horizontal="center"/>
    </xf>
    <xf numFmtId="165" fontId="26" fillId="0" borderId="5" xfId="7" applyNumberFormat="1" applyFont="1" applyFill="1" applyBorder="1" applyAlignment="1"/>
    <xf numFmtId="165" fontId="26" fillId="0" borderId="7" xfId="7" applyNumberFormat="1" applyFont="1" applyFill="1" applyBorder="1" applyAlignment="1"/>
    <xf numFmtId="165" fontId="26" fillId="0" borderId="7" xfId="7" applyNumberFormat="1" applyFont="1" applyBorder="1" applyAlignment="1">
      <alignment horizontal="left"/>
    </xf>
    <xf numFmtId="14" fontId="26" fillId="0" borderId="7" xfId="7" applyNumberFormat="1" applyFont="1" applyFill="1" applyBorder="1" applyAlignment="1"/>
    <xf numFmtId="165" fontId="11" fillId="0" borderId="8" xfId="7" applyNumberFormat="1" applyFont="1" applyBorder="1" applyAlignment="1">
      <alignment horizontal="left"/>
    </xf>
    <xf numFmtId="165" fontId="26" fillId="0" borderId="7" xfId="7" applyNumberFormat="1" applyFont="1" applyBorder="1" applyAlignment="1">
      <alignment horizontal="left" vertical="top"/>
    </xf>
    <xf numFmtId="165" fontId="26" fillId="0" borderId="7" xfId="7" applyNumberFormat="1" applyFont="1" applyFill="1" applyBorder="1" applyAlignment="1">
      <alignment horizontal="right"/>
    </xf>
    <xf numFmtId="165" fontId="26" fillId="0" borderId="7" xfId="7" applyNumberFormat="1" applyFont="1" applyBorder="1" applyAlignment="1">
      <alignment horizontal="right"/>
    </xf>
    <xf numFmtId="165" fontId="26" fillId="0" borderId="7" xfId="7" applyNumberFormat="1" applyFont="1" applyBorder="1" applyAlignment="1">
      <alignment horizontal="left" vertical="center"/>
    </xf>
    <xf numFmtId="165" fontId="26" fillId="0" borderId="7" xfId="7" applyNumberFormat="1" applyFont="1" applyBorder="1" applyAlignment="1">
      <alignment horizontal="center" vertical="center"/>
    </xf>
    <xf numFmtId="165" fontId="26" fillId="0" borderId="7" xfId="7" applyNumberFormat="1" applyFont="1" applyBorder="1" applyAlignment="1">
      <alignment horizontal="center"/>
    </xf>
    <xf numFmtId="165" fontId="26" fillId="0" borderId="6" xfId="7" applyNumberFormat="1" applyFont="1" applyFill="1" applyBorder="1" applyAlignment="1">
      <alignment horizontal="right"/>
    </xf>
    <xf numFmtId="165" fontId="26" fillId="0" borderId="7" xfId="7" applyNumberFormat="1" applyFont="1" applyBorder="1" applyAlignment="1">
      <alignment horizontal="right" vertical="center"/>
    </xf>
    <xf numFmtId="165" fontId="26" fillId="0" borderId="0" xfId="7" applyNumberFormat="1" applyFont="1" applyFill="1" applyBorder="1" applyAlignment="1"/>
    <xf numFmtId="165" fontId="11" fillId="0" borderId="0" xfId="7" applyNumberFormat="1" applyFont="1" applyFill="1" applyBorder="1" applyAlignment="1"/>
    <xf numFmtId="165" fontId="11" fillId="0" borderId="0" xfId="7" applyNumberFormat="1" applyFont="1" applyAlignment="1">
      <alignment horizontal="left" vertical="top"/>
    </xf>
    <xf numFmtId="165" fontId="11" fillId="0" borderId="0" xfId="7" applyNumberFormat="1" applyFont="1" applyAlignment="1">
      <alignment horizontal="left"/>
    </xf>
    <xf numFmtId="14" fontId="11" fillId="0" borderId="0" xfId="7" applyNumberFormat="1" applyFont="1" applyAlignment="1">
      <alignment horizontal="left" vertical="top"/>
    </xf>
    <xf numFmtId="165" fontId="11" fillId="0" borderId="0" xfId="7" applyNumberFormat="1" applyFont="1" applyAlignment="1">
      <alignment horizontal="left" vertical="center"/>
    </xf>
    <xf numFmtId="165" fontId="11" fillId="7" borderId="0" xfId="7" applyNumberFormat="1" applyFont="1" applyFill="1" applyBorder="1" applyAlignment="1">
      <alignment horizontal="center"/>
    </xf>
    <xf numFmtId="165" fontId="11" fillId="0" borderId="0" xfId="7" applyNumberFormat="1" applyFont="1" applyBorder="1" applyAlignment="1">
      <alignment horizontal="center"/>
    </xf>
    <xf numFmtId="165" fontId="11" fillId="0" borderId="0" xfId="7" applyNumberFormat="1" applyFont="1" applyBorder="1" applyAlignment="1">
      <alignment horizontal="right"/>
    </xf>
    <xf numFmtId="165" fontId="11" fillId="0" borderId="0" xfId="7" applyNumberFormat="1" applyFont="1" applyBorder="1" applyAlignment="1"/>
    <xf numFmtId="165" fontId="11" fillId="0" borderId="0" xfId="7" applyNumberFormat="1" applyFont="1" applyAlignment="1">
      <alignment horizontal="right"/>
    </xf>
    <xf numFmtId="165" fontId="11" fillId="0" borderId="0" xfId="7" applyNumberFormat="1" applyFont="1" applyAlignment="1">
      <alignment horizontal="center"/>
    </xf>
    <xf numFmtId="165" fontId="26" fillId="0" borderId="13" xfId="7" applyNumberFormat="1" applyFont="1" applyBorder="1" applyAlignment="1">
      <alignment horizontal="left"/>
    </xf>
    <xf numFmtId="10" fontId="11" fillId="0" borderId="0" xfId="12" applyNumberFormat="1" applyFont="1" applyAlignment="1"/>
    <xf numFmtId="10" fontId="11" fillId="0" borderId="0" xfId="12" applyNumberFormat="1" applyFont="1" applyBorder="1" applyAlignment="1"/>
    <xf numFmtId="10" fontId="11" fillId="0" borderId="1" xfId="12" applyNumberFormat="1" applyFont="1" applyBorder="1" applyAlignment="1"/>
    <xf numFmtId="165" fontId="12" fillId="0" borderId="0" xfId="7" applyNumberFormat="1" applyFont="1" applyAlignment="1">
      <alignment horizontal="right"/>
    </xf>
    <xf numFmtId="165" fontId="12" fillId="0" borderId="0" xfId="7" applyNumberFormat="1" applyFont="1" applyAlignment="1"/>
    <xf numFmtId="165" fontId="11" fillId="2" borderId="0" xfId="7" applyNumberFormat="1" applyFont="1" applyFill="1" applyAlignment="1"/>
    <xf numFmtId="165" fontId="12" fillId="0" borderId="0" xfId="7" applyNumberFormat="1" applyFont="1" applyBorder="1" applyAlignment="1">
      <alignment horizontal="right"/>
    </xf>
    <xf numFmtId="165" fontId="11" fillId="0" borderId="0" xfId="7" applyNumberFormat="1" applyFont="1" applyAlignment="1">
      <alignment horizontal="right" vertical="center"/>
    </xf>
    <xf numFmtId="165" fontId="26" fillId="0" borderId="0" xfId="7" applyNumberFormat="1" applyFont="1" applyBorder="1" applyAlignment="1"/>
    <xf numFmtId="165" fontId="26" fillId="0" borderId="0" xfId="7" applyNumberFormat="1" applyFont="1" applyBorder="1" applyAlignment="1">
      <alignment horizontal="right"/>
    </xf>
    <xf numFmtId="165" fontId="11" fillId="0" borderId="1" xfId="7" applyNumberFormat="1" applyFont="1" applyBorder="1" applyAlignment="1"/>
    <xf numFmtId="14" fontId="11" fillId="0" borderId="0" xfId="7" applyNumberFormat="1" applyFont="1" applyAlignment="1">
      <alignment horizontal="left"/>
    </xf>
    <xf numFmtId="165" fontId="12" fillId="0" borderId="5" xfId="7" applyNumberFormat="1" applyFont="1" applyBorder="1" applyAlignment="1">
      <alignment horizontal="center" vertical="center"/>
    </xf>
    <xf numFmtId="165" fontId="12" fillId="0" borderId="8" xfId="7" applyNumberFormat="1" applyFont="1" applyBorder="1" applyAlignment="1">
      <alignment horizontal="center" vertical="center"/>
    </xf>
    <xf numFmtId="165" fontId="27" fillId="0" borderId="0" xfId="7" applyNumberFormat="1" applyFont="1" applyAlignment="1"/>
    <xf numFmtId="165" fontId="12" fillId="0" borderId="6" xfId="7" applyNumberFormat="1" applyFont="1" applyBorder="1" applyAlignment="1">
      <alignment horizontal="center" vertical="center"/>
    </xf>
    <xf numFmtId="165" fontId="12" fillId="0" borderId="8" xfId="7" applyNumberFormat="1" applyFont="1" applyBorder="1" applyAlignment="1">
      <alignment horizontal="center"/>
    </xf>
    <xf numFmtId="165" fontId="12" fillId="0" borderId="0" xfId="7" applyNumberFormat="1" applyFont="1" applyBorder="1" applyAlignment="1">
      <alignment horizontal="center"/>
    </xf>
    <xf numFmtId="165" fontId="11" fillId="0" borderId="2" xfId="7" applyNumberFormat="1" applyFont="1" applyBorder="1" applyAlignment="1">
      <alignment horizontal="center"/>
    </xf>
    <xf numFmtId="165" fontId="12" fillId="0" borderId="9" xfId="7" applyNumberFormat="1" applyFont="1" applyBorder="1" applyAlignment="1">
      <alignment horizontal="center"/>
    </xf>
    <xf numFmtId="165" fontId="12" fillId="0" borderId="11" xfId="7" applyNumberFormat="1" applyFont="1" applyFill="1" applyBorder="1" applyAlignment="1"/>
    <xf numFmtId="165" fontId="12" fillId="0" borderId="9" xfId="7" applyNumberFormat="1" applyFont="1" applyBorder="1" applyAlignment="1"/>
    <xf numFmtId="165" fontId="12" fillId="0" borderId="0" xfId="7" applyNumberFormat="1" applyFont="1" applyBorder="1" applyAlignment="1"/>
    <xf numFmtId="14" fontId="12" fillId="0" borderId="0" xfId="7" applyNumberFormat="1" applyFont="1" applyAlignment="1">
      <alignment horizontal="left"/>
    </xf>
    <xf numFmtId="165" fontId="12" fillId="2" borderId="3" xfId="7" applyNumberFormat="1" applyFont="1" applyFill="1" applyBorder="1" applyAlignment="1"/>
    <xf numFmtId="165" fontId="12" fillId="0" borderId="9" xfId="7" applyNumberFormat="1" applyFont="1" applyBorder="1" applyAlignment="1">
      <alignment horizontal="right"/>
    </xf>
    <xf numFmtId="165" fontId="26" fillId="0" borderId="9" xfId="7" applyNumberFormat="1" applyFont="1" applyBorder="1" applyAlignment="1"/>
    <xf numFmtId="165" fontId="26" fillId="0" borderId="3" xfId="7" applyNumberFormat="1" applyFont="1" applyBorder="1" applyAlignment="1"/>
    <xf numFmtId="165" fontId="12" fillId="0" borderId="3" xfId="7" applyNumberFormat="1" applyFont="1" applyFill="1" applyBorder="1" applyAlignment="1"/>
    <xf numFmtId="165" fontId="11" fillId="0" borderId="0" xfId="7" applyNumberFormat="1" applyFont="1" applyFill="1" applyAlignment="1"/>
    <xf numFmtId="165" fontId="11" fillId="0" borderId="0" xfId="7" applyNumberFormat="1" applyFont="1" applyFill="1" applyBorder="1" applyAlignment="1">
      <alignment horizontal="right"/>
    </xf>
    <xf numFmtId="165" fontId="12" fillId="0" borderId="3" xfId="7" applyNumberFormat="1" applyFont="1" applyBorder="1" applyAlignment="1"/>
    <xf numFmtId="165" fontId="12" fillId="0" borderId="10" xfId="7" applyNumberFormat="1" applyFont="1" applyBorder="1" applyAlignment="1"/>
    <xf numFmtId="165" fontId="26" fillId="0" borderId="5" xfId="7" applyNumberFormat="1" applyFont="1" applyBorder="1" applyAlignment="1">
      <alignment horizontal="center"/>
    </xf>
    <xf numFmtId="165" fontId="26" fillId="0" borderId="6" xfId="7" applyNumberFormat="1" applyFont="1" applyBorder="1" applyAlignment="1"/>
    <xf numFmtId="165" fontId="26" fillId="0" borderId="8" xfId="7" applyNumberFormat="1" applyFont="1" applyBorder="1" applyAlignment="1"/>
    <xf numFmtId="10" fontId="12" fillId="0" borderId="0" xfId="12" applyNumberFormat="1" applyFont="1" applyAlignment="1">
      <alignment horizontal="right"/>
    </xf>
    <xf numFmtId="10" fontId="12" fillId="0" borderId="0" xfId="12" applyNumberFormat="1" applyFont="1" applyAlignment="1"/>
    <xf numFmtId="165" fontId="12" fillId="0" borderId="0" xfId="7" applyNumberFormat="1" applyFont="1" applyFill="1" applyBorder="1" applyAlignment="1"/>
    <xf numFmtId="165" fontId="12" fillId="0" borderId="2" xfId="7" applyNumberFormat="1" applyFont="1" applyBorder="1" applyAlignment="1"/>
    <xf numFmtId="0" fontId="7" fillId="4" borderId="27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4" fontId="0" fillId="0" borderId="29" xfId="0" applyNumberFormat="1" applyBorder="1"/>
    <xf numFmtId="0" fontId="0" fillId="0" borderId="30" xfId="0" applyBorder="1"/>
    <xf numFmtId="0" fontId="0" fillId="0" borderId="31" xfId="0" applyBorder="1"/>
    <xf numFmtId="0" fontId="7" fillId="4" borderId="32" xfId="0" applyFont="1" applyFill="1" applyBorder="1" applyAlignment="1">
      <alignment horizontal="center" vertical="center"/>
    </xf>
    <xf numFmtId="165" fontId="0" fillId="0" borderId="33" xfId="0" applyNumberFormat="1" applyBorder="1"/>
    <xf numFmtId="165" fontId="0" fillId="0" borderId="34" xfId="7" applyNumberFormat="1" applyFont="1" applyBorder="1"/>
    <xf numFmtId="165" fontId="0" fillId="0" borderId="35" xfId="7" applyNumberFormat="1" applyFont="1" applyBorder="1"/>
    <xf numFmtId="165" fontId="4" fillId="0" borderId="35" xfId="7" applyNumberFormat="1" applyFont="1" applyBorder="1"/>
    <xf numFmtId="165" fontId="0" fillId="0" borderId="36" xfId="7" applyNumberFormat="1" applyFont="1" applyBorder="1"/>
    <xf numFmtId="43" fontId="11" fillId="0" borderId="22" xfId="7" applyFont="1" applyBorder="1" applyAlignment="1">
      <alignment horizontal="left"/>
    </xf>
    <xf numFmtId="165" fontId="18" fillId="0" borderId="0" xfId="7" applyNumberFormat="1" applyFont="1"/>
    <xf numFmtId="43" fontId="0" fillId="0" borderId="0" xfId="7" applyFont="1"/>
    <xf numFmtId="0" fontId="3" fillId="0" borderId="0" xfId="0" applyFont="1"/>
    <xf numFmtId="43" fontId="3" fillId="0" borderId="0" xfId="7" applyFont="1"/>
    <xf numFmtId="14" fontId="33" fillId="8" borderId="0" xfId="1" applyNumberFormat="1" applyFont="1" applyFill="1" applyAlignment="1">
      <alignment horizontal="center"/>
    </xf>
    <xf numFmtId="0" fontId="33" fillId="8" borderId="0" xfId="1" applyFont="1" applyFill="1" applyAlignment="1">
      <alignment horizontal="center"/>
    </xf>
    <xf numFmtId="43" fontId="33" fillId="8" borderId="0" xfId="7" applyFont="1" applyFill="1" applyAlignment="1">
      <alignment horizontal="center"/>
    </xf>
    <xf numFmtId="14" fontId="18" fillId="0" borderId="0" xfId="1" applyNumberFormat="1" applyFont="1"/>
    <xf numFmtId="0" fontId="18" fillId="0" borderId="0" xfId="1" applyFont="1"/>
    <xf numFmtId="43" fontId="18" fillId="0" borderId="0" xfId="7" applyFont="1"/>
    <xf numFmtId="14" fontId="0" fillId="0" borderId="0" xfId="0" applyNumberFormat="1"/>
    <xf numFmtId="43" fontId="11" fillId="0" borderId="21" xfId="7" applyFont="1" applyBorder="1" applyAlignment="1">
      <alignment horizontal="left"/>
    </xf>
    <xf numFmtId="165" fontId="11" fillId="0" borderId="10" xfId="7" applyNumberFormat="1" applyFont="1" applyFill="1" applyBorder="1" applyAlignment="1"/>
    <xf numFmtId="14" fontId="0" fillId="2" borderId="0" xfId="0" applyNumberFormat="1" applyFill="1"/>
    <xf numFmtId="165" fontId="35" fillId="0" borderId="0" xfId="7" applyNumberFormat="1" applyFont="1"/>
    <xf numFmtId="4" fontId="36" fillId="0" borderId="0" xfId="7" applyNumberFormat="1" applyFont="1"/>
    <xf numFmtId="4" fontId="35" fillId="0" borderId="0" xfId="7" applyNumberFormat="1" applyFont="1"/>
    <xf numFmtId="4" fontId="35" fillId="0" borderId="0" xfId="7" applyNumberFormat="1" applyFont="1" applyBorder="1"/>
    <xf numFmtId="4" fontId="37" fillId="0" borderId="0" xfId="7" applyNumberFormat="1" applyFont="1"/>
    <xf numFmtId="165" fontId="38" fillId="0" borderId="0" xfId="7" applyNumberFormat="1" applyFont="1" applyAlignment="1">
      <alignment horizontal="left" indent="1"/>
    </xf>
    <xf numFmtId="165" fontId="38" fillId="0" borderId="0" xfId="7" applyNumberFormat="1" applyFont="1"/>
    <xf numFmtId="165" fontId="11" fillId="0" borderId="0" xfId="7" applyNumberFormat="1" applyFont="1"/>
    <xf numFmtId="0" fontId="39" fillId="6" borderId="23" xfId="1" applyFont="1" applyFill="1" applyBorder="1" applyAlignment="1">
      <alignment horizontal="center"/>
    </xf>
    <xf numFmtId="17" fontId="40" fillId="6" borderId="12" xfId="1" applyNumberFormat="1" applyFont="1" applyFill="1" applyBorder="1" applyAlignment="1">
      <alignment horizontal="center" vertical="center"/>
    </xf>
    <xf numFmtId="0" fontId="11" fillId="0" borderId="0" xfId="0" applyFont="1"/>
    <xf numFmtId="0" fontId="11" fillId="0" borderId="2" xfId="1" applyFont="1" applyBorder="1" applyAlignment="1">
      <alignment horizontal="left" indent="1"/>
    </xf>
    <xf numFmtId="164" fontId="11" fillId="0" borderId="9" xfId="2" applyNumberFormat="1" applyFont="1" applyBorder="1" applyAlignment="1"/>
    <xf numFmtId="165" fontId="11" fillId="0" borderId="9" xfId="7" applyNumberFormat="1" applyFont="1" applyBorder="1" applyAlignment="1"/>
    <xf numFmtId="0" fontId="42" fillId="0" borderId="2" xfId="1" applyFont="1" applyBorder="1" applyAlignment="1">
      <alignment horizontal="left" indent="1"/>
    </xf>
    <xf numFmtId="10" fontId="42" fillId="0" borderId="9" xfId="3" applyNumberFormat="1" applyFont="1" applyBorder="1" applyAlignment="1"/>
    <xf numFmtId="165" fontId="11" fillId="0" borderId="9" xfId="2" applyNumberFormat="1" applyFont="1" applyBorder="1" applyAlignment="1"/>
    <xf numFmtId="0" fontId="11" fillId="0" borderId="3" xfId="0" applyFont="1" applyBorder="1"/>
    <xf numFmtId="165" fontId="11" fillId="0" borderId="0" xfId="2" applyNumberFormat="1" applyFont="1" applyBorder="1" applyAlignment="1"/>
    <xf numFmtId="17" fontId="40" fillId="6" borderId="14" xfId="1" applyNumberFormat="1" applyFont="1" applyFill="1" applyBorder="1" applyAlignment="1">
      <alignment horizontal="center" vertical="center"/>
    </xf>
    <xf numFmtId="0" fontId="40" fillId="6" borderId="11" xfId="1" applyFont="1" applyFill="1" applyBorder="1" applyAlignment="1">
      <alignment horizontal="center" vertical="center"/>
    </xf>
    <xf numFmtId="0" fontId="11" fillId="0" borderId="2" xfId="0" applyFont="1" applyBorder="1"/>
    <xf numFmtId="165" fontId="11" fillId="0" borderId="9" xfId="7" applyNumberFormat="1" applyFont="1" applyBorder="1"/>
    <xf numFmtId="165" fontId="11" fillId="0" borderId="3" xfId="7" applyNumberFormat="1" applyFont="1" applyBorder="1" applyAlignment="1"/>
    <xf numFmtId="0" fontId="11" fillId="0" borderId="4" xfId="0" applyFont="1" applyBorder="1"/>
    <xf numFmtId="164" fontId="11" fillId="0" borderId="10" xfId="2" applyNumberFormat="1" applyFont="1" applyBorder="1" applyAlignment="1"/>
    <xf numFmtId="0" fontId="43" fillId="0" borderId="0" xfId="0" applyFont="1"/>
    <xf numFmtId="14" fontId="43" fillId="0" borderId="0" xfId="0" applyNumberFormat="1" applyFont="1"/>
    <xf numFmtId="165" fontId="43" fillId="0" borderId="0" xfId="0" applyNumberFormat="1" applyFont="1"/>
    <xf numFmtId="43" fontId="43" fillId="0" borderId="0" xfId="0" applyNumberFormat="1" applyFont="1"/>
    <xf numFmtId="0" fontId="44" fillId="0" borderId="0" xfId="0" applyFont="1"/>
    <xf numFmtId="14" fontId="44" fillId="0" borderId="0" xfId="0" applyNumberFormat="1" applyFont="1"/>
    <xf numFmtId="165" fontId="44" fillId="0" borderId="0" xfId="7" applyNumberFormat="1" applyFont="1"/>
    <xf numFmtId="10" fontId="44" fillId="0" borderId="0" xfId="12" applyNumberFormat="1" applyFont="1"/>
    <xf numFmtId="10" fontId="43" fillId="0" borderId="3" xfId="12" applyNumberFormat="1" applyFont="1" applyBorder="1"/>
    <xf numFmtId="0" fontId="7" fillId="6" borderId="5" xfId="0" applyFont="1" applyFill="1" applyBorder="1"/>
    <xf numFmtId="0" fontId="7" fillId="6" borderId="8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14" fontId="7" fillId="6" borderId="8" xfId="0" applyNumberFormat="1" applyFont="1" applyFill="1" applyBorder="1" applyAlignment="1">
      <alignment horizontal="center"/>
    </xf>
    <xf numFmtId="0" fontId="43" fillId="0" borderId="2" xfId="0" applyFont="1" applyBorder="1"/>
    <xf numFmtId="0" fontId="43" fillId="0" borderId="9" xfId="0" applyFont="1" applyBorder="1"/>
    <xf numFmtId="14" fontId="43" fillId="3" borderId="9" xfId="0" applyNumberFormat="1" applyFont="1" applyFill="1" applyBorder="1"/>
    <xf numFmtId="0" fontId="43" fillId="3" borderId="9" xfId="0" applyFont="1" applyFill="1" applyBorder="1"/>
    <xf numFmtId="0" fontId="43" fillId="3" borderId="0" xfId="0" applyFont="1" applyFill="1"/>
    <xf numFmtId="14" fontId="43" fillId="0" borderId="9" xfId="0" applyNumberFormat="1" applyFont="1" applyBorder="1"/>
    <xf numFmtId="43" fontId="43" fillId="0" borderId="9" xfId="7" applyFont="1" applyBorder="1"/>
    <xf numFmtId="165" fontId="43" fillId="0" borderId="9" xfId="7" applyNumberFormat="1" applyFont="1" applyBorder="1"/>
    <xf numFmtId="43" fontId="43" fillId="3" borderId="0" xfId="7" applyFont="1" applyFill="1" applyBorder="1"/>
    <xf numFmtId="43" fontId="43" fillId="3" borderId="9" xfId="7" applyFont="1" applyFill="1" applyBorder="1"/>
    <xf numFmtId="14" fontId="43" fillId="3" borderId="9" xfId="7" applyNumberFormat="1" applyFont="1" applyFill="1" applyBorder="1"/>
    <xf numFmtId="43" fontId="43" fillId="0" borderId="0" xfId="7" applyFont="1" applyBorder="1"/>
    <xf numFmtId="10" fontId="43" fillId="0" borderId="2" xfId="12" applyNumberFormat="1" applyFont="1" applyBorder="1"/>
    <xf numFmtId="0" fontId="43" fillId="0" borderId="3" xfId="0" applyFont="1" applyBorder="1"/>
    <xf numFmtId="0" fontId="43" fillId="0" borderId="10" xfId="0" applyFont="1" applyBorder="1"/>
    <xf numFmtId="14" fontId="43" fillId="0" borderId="10" xfId="0" applyNumberFormat="1" applyFont="1" applyBorder="1"/>
    <xf numFmtId="43" fontId="43" fillId="0" borderId="10" xfId="7" applyFont="1" applyBorder="1"/>
    <xf numFmtId="14" fontId="43" fillId="0" borderId="10" xfId="7" applyNumberFormat="1" applyFont="1" applyBorder="1"/>
    <xf numFmtId="43" fontId="43" fillId="0" borderId="0" xfId="7" applyFont="1"/>
    <xf numFmtId="10" fontId="41" fillId="0" borderId="9" xfId="12" applyNumberFormat="1" applyFont="1" applyBorder="1" applyAlignment="1"/>
    <xf numFmtId="14" fontId="45" fillId="0" borderId="0" xfId="0" applyNumberFormat="1" applyFont="1"/>
    <xf numFmtId="43" fontId="45" fillId="0" borderId="0" xfId="7" applyFont="1"/>
    <xf numFmtId="14" fontId="45" fillId="0" borderId="0" xfId="7" applyNumberFormat="1" applyFont="1"/>
    <xf numFmtId="165" fontId="45" fillId="0" borderId="0" xfId="7" applyNumberFormat="1" applyFont="1"/>
    <xf numFmtId="14" fontId="46" fillId="6" borderId="0" xfId="0" applyNumberFormat="1" applyFont="1" applyFill="1" applyAlignment="1">
      <alignment horizontal="center"/>
    </xf>
    <xf numFmtId="0" fontId="46" fillId="6" borderId="0" xfId="0" applyFont="1" applyFill="1" applyAlignment="1">
      <alignment horizontal="center"/>
    </xf>
    <xf numFmtId="43" fontId="46" fillId="6" borderId="0" xfId="7" applyFont="1" applyFill="1" applyAlignment="1">
      <alignment horizontal="center"/>
    </xf>
    <xf numFmtId="43" fontId="43" fillId="0" borderId="14" xfId="7" applyFont="1" applyBorder="1"/>
    <xf numFmtId="165" fontId="0" fillId="2" borderId="0" xfId="7" applyNumberFormat="1" applyFont="1" applyFill="1"/>
    <xf numFmtId="164" fontId="11" fillId="0" borderId="0" xfId="0" applyNumberFormat="1" applyFont="1"/>
    <xf numFmtId="166" fontId="11" fillId="0" borderId="0" xfId="7" applyNumberFormat="1" applyFont="1" applyAlignment="1"/>
    <xf numFmtId="14" fontId="43" fillId="0" borderId="9" xfId="7" applyNumberFormat="1" applyFont="1" applyBorder="1"/>
    <xf numFmtId="14" fontId="3" fillId="0" borderId="0" xfId="0" applyNumberFormat="1" applyFont="1"/>
    <xf numFmtId="165" fontId="43" fillId="0" borderId="0" xfId="0" applyNumberFormat="1" applyFont="1" applyAlignment="1">
      <alignment horizontal="center"/>
    </xf>
    <xf numFmtId="165" fontId="44" fillId="0" borderId="0" xfId="0" applyNumberFormat="1" applyFont="1"/>
    <xf numFmtId="0" fontId="48" fillId="0" borderId="2" xfId="1" applyFont="1" applyBorder="1" applyAlignment="1">
      <alignment horizontal="left" indent="1"/>
    </xf>
    <xf numFmtId="164" fontId="48" fillId="0" borderId="9" xfId="2" applyNumberFormat="1" applyFont="1" applyBorder="1" applyAlignment="1"/>
    <xf numFmtId="0" fontId="48" fillId="0" borderId="0" xfId="0" applyFont="1"/>
    <xf numFmtId="164" fontId="48" fillId="0" borderId="0" xfId="0" applyNumberFormat="1" applyFont="1"/>
    <xf numFmtId="164" fontId="48" fillId="0" borderId="9" xfId="3" applyNumberFormat="1" applyFont="1" applyBorder="1" applyAlignment="1"/>
    <xf numFmtId="0" fontId="49" fillId="0" borderId="2" xfId="1" applyFont="1" applyBorder="1" applyAlignment="1">
      <alignment horizontal="left" indent="1"/>
    </xf>
    <xf numFmtId="10" fontId="49" fillId="0" borderId="9" xfId="3" applyNumberFormat="1" applyFont="1" applyBorder="1" applyAlignment="1"/>
    <xf numFmtId="43" fontId="48" fillId="0" borderId="9" xfId="2" applyFont="1" applyBorder="1" applyAlignment="1"/>
    <xf numFmtId="43" fontId="48" fillId="0" borderId="9" xfId="7" applyFont="1" applyBorder="1" applyAlignment="1"/>
    <xf numFmtId="14" fontId="0" fillId="0" borderId="0" xfId="7" applyNumberFormat="1" applyFont="1"/>
    <xf numFmtId="0" fontId="52" fillId="2" borderId="8" xfId="1" applyFont="1" applyFill="1" applyBorder="1" applyAlignment="1">
      <alignment horizontal="center" vertical="center"/>
    </xf>
    <xf numFmtId="3" fontId="44" fillId="0" borderId="0" xfId="0" applyNumberFormat="1" applyFont="1"/>
    <xf numFmtId="165" fontId="11" fillId="0" borderId="15" xfId="7" applyNumberFormat="1" applyFont="1" applyBorder="1" applyAlignment="1">
      <alignment horizontal="left"/>
    </xf>
    <xf numFmtId="164" fontId="11" fillId="0" borderId="9" xfId="2" applyNumberFormat="1" applyFont="1" applyBorder="1" applyAlignment="1">
      <alignment horizontal="right"/>
    </xf>
    <xf numFmtId="164" fontId="48" fillId="0" borderId="9" xfId="2" applyNumberFormat="1" applyFont="1" applyBorder="1" applyAlignment="1">
      <alignment horizontal="right"/>
    </xf>
    <xf numFmtId="10" fontId="42" fillId="0" borderId="9" xfId="3" applyNumberFormat="1" applyFont="1" applyBorder="1" applyAlignment="1">
      <alignment horizontal="right"/>
    </xf>
    <xf numFmtId="10" fontId="41" fillId="0" borderId="9" xfId="12" applyNumberFormat="1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165" fontId="11" fillId="0" borderId="9" xfId="7" applyNumberFormat="1" applyFont="1" applyBorder="1" applyAlignment="1">
      <alignment horizontal="right"/>
    </xf>
    <xf numFmtId="165" fontId="33" fillId="8" borderId="0" xfId="7" applyNumberFormat="1" applyFont="1" applyFill="1" applyAlignment="1">
      <alignment horizontal="center"/>
    </xf>
    <xf numFmtId="14" fontId="11" fillId="0" borderId="0" xfId="7" applyNumberFormat="1" applyFont="1" applyFill="1" applyBorder="1" applyAlignment="1"/>
    <xf numFmtId="14" fontId="19" fillId="0" borderId="0" xfId="7" applyNumberFormat="1" applyFont="1" applyFill="1" applyBorder="1" applyAlignment="1"/>
    <xf numFmtId="17" fontId="40" fillId="6" borderId="12" xfId="1" quotePrefix="1" applyNumberFormat="1" applyFont="1" applyFill="1" applyBorder="1" applyAlignment="1">
      <alignment horizontal="center" vertical="center"/>
    </xf>
    <xf numFmtId="165" fontId="3" fillId="0" borderId="7" xfId="7" applyNumberFormat="1" applyFont="1" applyBorder="1" applyAlignment="1">
      <alignment horizontal="center"/>
    </xf>
    <xf numFmtId="165" fontId="3" fillId="0" borderId="6" xfId="7" applyNumberFormat="1" applyFont="1" applyBorder="1" applyAlignment="1">
      <alignment horizontal="center"/>
    </xf>
    <xf numFmtId="0" fontId="9" fillId="0" borderId="0" xfId="0" applyFont="1"/>
    <xf numFmtId="165" fontId="3" fillId="0" borderId="0" xfId="7" applyNumberFormat="1" applyFont="1" applyAlignment="1">
      <alignment horizontal="center"/>
    </xf>
    <xf numFmtId="165" fontId="7" fillId="4" borderId="8" xfId="7" applyNumberFormat="1" applyFont="1" applyFill="1" applyBorder="1" applyAlignment="1">
      <alignment horizontal="center"/>
    </xf>
    <xf numFmtId="165" fontId="0" fillId="0" borderId="0" xfId="7" applyNumberFormat="1" applyFont="1" applyAlignment="1">
      <alignment horizontal="center"/>
    </xf>
    <xf numFmtId="165" fontId="0" fillId="0" borderId="9" xfId="7" applyNumberFormat="1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5" fontId="4" fillId="0" borderId="7" xfId="7" applyNumberFormat="1" applyFont="1" applyBorder="1"/>
    <xf numFmtId="165" fontId="4" fillId="0" borderId="0" xfId="7" applyNumberFormat="1" applyFont="1" applyAlignment="1">
      <alignment horizontal="center"/>
    </xf>
    <xf numFmtId="165" fontId="6" fillId="0" borderId="9" xfId="7" applyNumberFormat="1" applyFont="1" applyBorder="1"/>
    <xf numFmtId="165" fontId="0" fillId="0" borderId="9" xfId="7" applyNumberFormat="1" applyFont="1" applyBorder="1" applyAlignment="1">
      <alignment horizontal="center"/>
    </xf>
    <xf numFmtId="165" fontId="4" fillId="0" borderId="8" xfId="7" applyNumberFormat="1" applyFont="1" applyBorder="1" applyAlignment="1">
      <alignment horizontal="center"/>
    </xf>
    <xf numFmtId="165" fontId="0" fillId="0" borderId="10" xfId="7" applyNumberFormat="1" applyFont="1" applyBorder="1" applyAlignment="1">
      <alignment horizontal="center"/>
    </xf>
    <xf numFmtId="14" fontId="35" fillId="0" borderId="0" xfId="7" applyNumberFormat="1" applyFont="1"/>
    <xf numFmtId="0" fontId="0" fillId="0" borderId="0" xfId="0" quotePrefix="1"/>
    <xf numFmtId="14" fontId="3" fillId="0" borderId="5" xfId="0" applyNumberFormat="1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165" fontId="53" fillId="0" borderId="7" xfId="7" applyNumberFormat="1" applyFont="1" applyBorder="1" applyAlignment="1">
      <alignment horizontal="center"/>
    </xf>
    <xf numFmtId="165" fontId="45" fillId="0" borderId="0" xfId="7" applyNumberFormat="1" applyFont="1" applyBorder="1"/>
    <xf numFmtId="0" fontId="19" fillId="0" borderId="9" xfId="0" applyFont="1" applyBorder="1"/>
    <xf numFmtId="165" fontId="0" fillId="0" borderId="14" xfId="7" applyNumberFormat="1" applyFont="1" applyBorder="1"/>
    <xf numFmtId="43" fontId="45" fillId="0" borderId="0" xfId="7" applyFont="1" applyBorder="1"/>
    <xf numFmtId="43" fontId="45" fillId="0" borderId="3" xfId="7" applyFont="1" applyBorder="1"/>
    <xf numFmtId="0" fontId="11" fillId="0" borderId="9" xfId="0" applyFont="1" applyBorder="1"/>
    <xf numFmtId="17" fontId="11" fillId="0" borderId="9" xfId="0" applyNumberFormat="1" applyFont="1" applyBorder="1"/>
    <xf numFmtId="165" fontId="0" fillId="2" borderId="0" xfId="7" applyNumberFormat="1" applyFont="1" applyFill="1" applyBorder="1"/>
    <xf numFmtId="43" fontId="0" fillId="0" borderId="0" xfId="7" applyFont="1" applyBorder="1"/>
    <xf numFmtId="17" fontId="19" fillId="0" borderId="9" xfId="0" applyNumberFormat="1" applyFont="1" applyBorder="1"/>
    <xf numFmtId="14" fontId="11" fillId="0" borderId="9" xfId="0" applyNumberFormat="1" applyFont="1" applyBorder="1"/>
    <xf numFmtId="0" fontId="11" fillId="0" borderId="9" xfId="0" quotePrefix="1" applyFont="1" applyBorder="1"/>
    <xf numFmtId="14" fontId="0" fillId="0" borderId="4" xfId="0" applyNumberFormat="1" applyBorder="1"/>
    <xf numFmtId="165" fontId="21" fillId="0" borderId="13" xfId="7" applyNumberFormat="1" applyFont="1" applyBorder="1" applyAlignment="1"/>
    <xf numFmtId="0" fontId="43" fillId="0" borderId="5" xfId="0" applyFont="1" applyBorder="1"/>
    <xf numFmtId="0" fontId="43" fillId="0" borderId="7" xfId="0" applyFont="1" applyBorder="1"/>
    <xf numFmtId="14" fontId="43" fillId="0" borderId="7" xfId="0" applyNumberFormat="1" applyFont="1" applyBorder="1"/>
    <xf numFmtId="0" fontId="43" fillId="0" borderId="6" xfId="0" applyFont="1" applyBorder="1"/>
    <xf numFmtId="43" fontId="44" fillId="0" borderId="0" xfId="7" applyFont="1"/>
    <xf numFmtId="1" fontId="43" fillId="0" borderId="0" xfId="0" applyNumberFormat="1" applyFont="1"/>
    <xf numFmtId="1" fontId="44" fillId="0" borderId="0" xfId="0" applyNumberFormat="1" applyFont="1"/>
    <xf numFmtId="1" fontId="7" fillId="6" borderId="7" xfId="0" applyNumberFormat="1" applyFont="1" applyFill="1" applyBorder="1" applyAlignment="1">
      <alignment horizontal="center"/>
    </xf>
    <xf numFmtId="1" fontId="43" fillId="3" borderId="0" xfId="0" applyNumberFormat="1" applyFont="1" applyFill="1" applyAlignment="1">
      <alignment horizontal="right"/>
    </xf>
    <xf numFmtId="1" fontId="44" fillId="0" borderId="7" xfId="0" applyNumberFormat="1" applyFont="1" applyBorder="1"/>
    <xf numFmtId="1" fontId="43" fillId="0" borderId="7" xfId="0" applyNumberFormat="1" applyFont="1" applyBorder="1"/>
    <xf numFmtId="165" fontId="44" fillId="0" borderId="8" xfId="7" applyNumberFormat="1" applyFont="1" applyBorder="1" applyAlignment="1">
      <alignment horizontal="center"/>
    </xf>
    <xf numFmtId="165" fontId="43" fillId="0" borderId="0" xfId="7" applyNumberFormat="1" applyFont="1"/>
    <xf numFmtId="165" fontId="44" fillId="0" borderId="7" xfId="7" applyNumberFormat="1" applyFont="1" applyBorder="1"/>
    <xf numFmtId="165" fontId="44" fillId="0" borderId="5" xfId="7" applyNumberFormat="1" applyFont="1" applyBorder="1" applyAlignment="1">
      <alignment horizontal="center"/>
    </xf>
    <xf numFmtId="165" fontId="43" fillId="0" borderId="2" xfId="7" applyNumberFormat="1" applyFont="1" applyBorder="1"/>
    <xf numFmtId="165" fontId="44" fillId="0" borderId="0" xfId="7" applyNumberFormat="1" applyFont="1" applyBorder="1" applyAlignment="1">
      <alignment horizontal="center"/>
    </xf>
    <xf numFmtId="165" fontId="43" fillId="0" borderId="14" xfId="7" applyNumberFormat="1" applyFont="1" applyBorder="1"/>
    <xf numFmtId="165" fontId="43" fillId="0" borderId="10" xfId="7" applyNumberFormat="1" applyFont="1" applyBorder="1"/>
    <xf numFmtId="0" fontId="43" fillId="0" borderId="14" xfId="0" applyFont="1" applyBorder="1"/>
    <xf numFmtId="14" fontId="43" fillId="0" borderId="14" xfId="0" applyNumberFormat="1" applyFont="1" applyBorder="1"/>
    <xf numFmtId="43" fontId="0" fillId="0" borderId="0" xfId="0" applyNumberFormat="1"/>
    <xf numFmtId="165" fontId="43" fillId="0" borderId="7" xfId="7" applyNumberFormat="1" applyFont="1" applyBorder="1"/>
    <xf numFmtId="3" fontId="0" fillId="0" borderId="0" xfId="0" applyNumberFormat="1" applyAlignment="1">
      <alignment horizontal="center"/>
    </xf>
    <xf numFmtId="2" fontId="44" fillId="0" borderId="0" xfId="7" applyNumberFormat="1" applyFont="1"/>
    <xf numFmtId="2" fontId="43" fillId="0" borderId="9" xfId="7" applyNumberFormat="1" applyFont="1" applyBorder="1"/>
    <xf numFmtId="1" fontId="44" fillId="0" borderId="5" xfId="0" applyNumberFormat="1" applyFont="1" applyBorder="1"/>
    <xf numFmtId="1" fontId="44" fillId="0" borderId="6" xfId="0" applyNumberFormat="1" applyFont="1" applyBorder="1"/>
    <xf numFmtId="14" fontId="44" fillId="0" borderId="0" xfId="0" applyNumberFormat="1" applyFont="1" applyAlignment="1">
      <alignment horizontal="left"/>
    </xf>
    <xf numFmtId="14" fontId="7" fillId="6" borderId="7" xfId="0" applyNumberFormat="1" applyFont="1" applyFill="1" applyBorder="1" applyAlignment="1">
      <alignment horizontal="center"/>
    </xf>
    <xf numFmtId="14" fontId="43" fillId="3" borderId="0" xfId="7" applyNumberFormat="1" applyFont="1" applyFill="1" applyBorder="1"/>
    <xf numFmtId="14" fontId="43" fillId="0" borderId="0" xfId="7" applyNumberFormat="1" applyFont="1" applyBorder="1"/>
    <xf numFmtId="1" fontId="0" fillId="0" borderId="0" xfId="0" applyNumberFormat="1"/>
    <xf numFmtId="43" fontId="7" fillId="6" borderId="8" xfId="7" applyFont="1" applyFill="1" applyBorder="1" applyAlignment="1">
      <alignment horizontal="center"/>
    </xf>
    <xf numFmtId="43" fontId="43" fillId="0" borderId="7" xfId="7" applyFont="1" applyBorder="1"/>
    <xf numFmtId="0" fontId="28" fillId="0" borderId="0" xfId="1" applyFont="1" applyAlignment="1">
      <alignment horizontal="left"/>
    </xf>
    <xf numFmtId="165" fontId="28" fillId="0" borderId="0" xfId="7" applyNumberFormat="1" applyFont="1" applyAlignment="1"/>
    <xf numFmtId="0" fontId="28" fillId="0" borderId="0" xfId="1" applyFont="1"/>
    <xf numFmtId="43" fontId="28" fillId="0" borderId="0" xfId="7" applyFont="1" applyAlignment="1"/>
    <xf numFmtId="43" fontId="28" fillId="0" borderId="0" xfId="1" applyNumberFormat="1" applyFont="1"/>
    <xf numFmtId="0" fontId="29" fillId="0" borderId="0" xfId="1" applyFont="1" applyAlignment="1">
      <alignment horizontal="left"/>
    </xf>
    <xf numFmtId="0" fontId="29" fillId="0" borderId="0" xfId="1" applyFont="1"/>
    <xf numFmtId="43" fontId="29" fillId="0" borderId="0" xfId="7" applyFont="1" applyAlignment="1"/>
    <xf numFmtId="17" fontId="29" fillId="0" borderId="0" xfId="1" applyNumberFormat="1" applyFont="1" applyAlignment="1">
      <alignment horizontal="center"/>
    </xf>
    <xf numFmtId="0" fontId="30" fillId="6" borderId="23" xfId="1" applyFont="1" applyFill="1" applyBorder="1" applyAlignment="1">
      <alignment horizontal="center"/>
    </xf>
    <xf numFmtId="17" fontId="30" fillId="6" borderId="14" xfId="1" applyNumberFormat="1" applyFont="1" applyFill="1" applyBorder="1" applyAlignment="1">
      <alignment horizontal="center" vertical="center"/>
    </xf>
    <xf numFmtId="0" fontId="28" fillId="0" borderId="2" xfId="1" applyFont="1" applyBorder="1" applyAlignment="1">
      <alignment horizontal="left"/>
    </xf>
    <xf numFmtId="164" fontId="28" fillId="0" borderId="9" xfId="2" applyNumberFormat="1" applyFont="1" applyBorder="1" applyAlignment="1"/>
    <xf numFmtId="164" fontId="28" fillId="0" borderId="0" xfId="1" applyNumberFormat="1" applyFont="1"/>
    <xf numFmtId="165" fontId="28" fillId="0" borderId="9" xfId="7" applyNumberFormat="1" applyFont="1" applyBorder="1" applyAlignment="1"/>
    <xf numFmtId="165" fontId="28" fillId="0" borderId="0" xfId="7" applyNumberFormat="1" applyFont="1" applyBorder="1" applyAlignment="1"/>
    <xf numFmtId="43" fontId="28" fillId="0" borderId="0" xfId="7" applyFont="1" applyBorder="1" applyAlignment="1"/>
    <xf numFmtId="0" fontId="50" fillId="0" borderId="2" xfId="1" applyFont="1" applyBorder="1" applyAlignment="1">
      <alignment horizontal="left"/>
    </xf>
    <xf numFmtId="164" fontId="50" fillId="0" borderId="9" xfId="2" applyNumberFormat="1" applyFont="1" applyBorder="1" applyAlignment="1"/>
    <xf numFmtId="164" fontId="50" fillId="0" borderId="0" xfId="2" applyNumberFormat="1" applyFont="1" applyBorder="1" applyAlignment="1"/>
    <xf numFmtId="164" fontId="50" fillId="0" borderId="0" xfId="1" applyNumberFormat="1" applyFont="1"/>
    <xf numFmtId="43" fontId="50" fillId="0" borderId="0" xfId="7" applyFont="1" applyAlignment="1"/>
    <xf numFmtId="0" fontId="50" fillId="0" borderId="0" xfId="1" applyFont="1"/>
    <xf numFmtId="0" fontId="32" fillId="0" borderId="2" xfId="1" applyFont="1" applyBorder="1" applyAlignment="1">
      <alignment horizontal="left"/>
    </xf>
    <xf numFmtId="10" fontId="32" fillId="0" borderId="9" xfId="3" applyNumberFormat="1" applyFont="1" applyBorder="1" applyAlignment="1"/>
    <xf numFmtId="10" fontId="32" fillId="0" borderId="0" xfId="3" applyNumberFormat="1" applyFont="1" applyBorder="1" applyAlignment="1"/>
    <xf numFmtId="165" fontId="28" fillId="0" borderId="0" xfId="1" applyNumberFormat="1" applyFont="1"/>
    <xf numFmtId="164" fontId="28" fillId="0" borderId="0" xfId="2" applyNumberFormat="1" applyFont="1" applyBorder="1" applyAlignment="1"/>
    <xf numFmtId="10" fontId="31" fillId="0" borderId="9" xfId="12" applyNumberFormat="1" applyFont="1" applyBorder="1" applyAlignment="1">
      <alignment horizontal="left"/>
    </xf>
    <xf numFmtId="10" fontId="31" fillId="0" borderId="9" xfId="12" applyNumberFormat="1" applyFont="1" applyBorder="1" applyAlignment="1"/>
    <xf numFmtId="10" fontId="28" fillId="0" borderId="0" xfId="12" applyNumberFormat="1" applyFont="1" applyAlignment="1"/>
    <xf numFmtId="10" fontId="28" fillId="0" borderId="0" xfId="12" applyNumberFormat="1" applyFont="1" applyBorder="1" applyAlignment="1"/>
    <xf numFmtId="10" fontId="51" fillId="0" borderId="9" xfId="3" applyNumberFormat="1" applyFont="1" applyBorder="1" applyAlignment="1"/>
    <xf numFmtId="10" fontId="51" fillId="0" borderId="0" xfId="3" applyNumberFormat="1" applyFont="1" applyBorder="1" applyAlignment="1"/>
    <xf numFmtId="43" fontId="50" fillId="0" borderId="9" xfId="2" applyFont="1" applyBorder="1" applyAlignment="1"/>
    <xf numFmtId="43" fontId="50" fillId="0" borderId="0" xfId="2" applyFont="1" applyBorder="1" applyAlignment="1"/>
    <xf numFmtId="4" fontId="50" fillId="0" borderId="9" xfId="2" applyNumberFormat="1" applyFont="1" applyBorder="1" applyAlignment="1"/>
    <xf numFmtId="2" fontId="50" fillId="0" borderId="9" xfId="2" applyNumberFormat="1" applyFont="1" applyBorder="1" applyAlignment="1"/>
    <xf numFmtId="0" fontId="28" fillId="0" borderId="9" xfId="1" applyFont="1" applyBorder="1"/>
    <xf numFmtId="165" fontId="28" fillId="0" borderId="9" xfId="2" applyNumberFormat="1" applyFont="1" applyBorder="1" applyAlignment="1"/>
    <xf numFmtId="165" fontId="28" fillId="0" borderId="0" xfId="2" applyNumberFormat="1" applyFont="1" applyBorder="1" applyAlignment="1"/>
    <xf numFmtId="0" fontId="28" fillId="0" borderId="4" xfId="1" applyFont="1" applyBorder="1" applyAlignment="1">
      <alignment horizontal="left"/>
    </xf>
    <xf numFmtId="165" fontId="31" fillId="0" borderId="10" xfId="2" applyNumberFormat="1" applyFont="1" applyBorder="1" applyAlignment="1"/>
    <xf numFmtId="165" fontId="28" fillId="0" borderId="10" xfId="7" applyNumberFormat="1" applyFont="1" applyBorder="1" applyAlignment="1"/>
    <xf numFmtId="2" fontId="43" fillId="3" borderId="0" xfId="7" applyNumberFormat="1" applyFont="1" applyFill="1" applyBorder="1"/>
    <xf numFmtId="2" fontId="43" fillId="0" borderId="0" xfId="7" applyNumberFormat="1" applyFont="1" applyBorder="1"/>
    <xf numFmtId="2" fontId="43" fillId="0" borderId="0" xfId="7" applyNumberFormat="1" applyFont="1"/>
    <xf numFmtId="2" fontId="43" fillId="0" borderId="10" xfId="7" applyNumberFormat="1" applyFont="1" applyBorder="1"/>
    <xf numFmtId="2" fontId="44" fillId="0" borderId="7" xfId="7" applyNumberFormat="1" applyFont="1" applyBorder="1"/>
    <xf numFmtId="165" fontId="26" fillId="0" borderId="5" xfId="7" applyNumberFormat="1" applyFont="1" applyBorder="1" applyAlignment="1"/>
    <xf numFmtId="165" fontId="12" fillId="0" borderId="5" xfId="7" applyNumberFormat="1" applyFont="1" applyBorder="1" applyAlignment="1"/>
    <xf numFmtId="0" fontId="11" fillId="0" borderId="2" xfId="1" applyFont="1" applyBorder="1" applyAlignment="1">
      <alignment horizontal="left"/>
    </xf>
    <xf numFmtId="0" fontId="48" fillId="0" borderId="2" xfId="1" applyFont="1" applyBorder="1" applyAlignment="1">
      <alignment horizontal="left"/>
    </xf>
    <xf numFmtId="164" fontId="48" fillId="0" borderId="0" xfId="2" applyNumberFormat="1" applyFont="1" applyBorder="1" applyAlignment="1"/>
    <xf numFmtId="0" fontId="42" fillId="0" borderId="2" xfId="1" applyFont="1" applyBorder="1" applyAlignment="1">
      <alignment horizontal="left"/>
    </xf>
    <xf numFmtId="10" fontId="42" fillId="0" borderId="0" xfId="3" applyNumberFormat="1" applyFont="1" applyBorder="1" applyAlignment="1"/>
    <xf numFmtId="10" fontId="11" fillId="0" borderId="2" xfId="12" applyNumberFormat="1" applyFont="1" applyBorder="1" applyAlignment="1">
      <alignment horizontal="left"/>
    </xf>
    <xf numFmtId="10" fontId="49" fillId="0" borderId="0" xfId="3" applyNumberFormat="1" applyFont="1" applyBorder="1" applyAlignment="1"/>
    <xf numFmtId="43" fontId="48" fillId="0" borderId="0" xfId="2" applyFont="1" applyBorder="1" applyAlignment="1"/>
    <xf numFmtId="4" fontId="48" fillId="0" borderId="9" xfId="2" applyNumberFormat="1" applyFont="1" applyBorder="1" applyAlignment="1"/>
    <xf numFmtId="165" fontId="42" fillId="0" borderId="2" xfId="7" applyNumberFormat="1" applyFont="1" applyBorder="1" applyAlignment="1">
      <alignment horizontal="left" indent="1"/>
    </xf>
    <xf numFmtId="165" fontId="41" fillId="0" borderId="9" xfId="7" applyNumberFormat="1" applyFont="1" applyBorder="1" applyAlignment="1"/>
    <xf numFmtId="165" fontId="41" fillId="0" borderId="9" xfId="7" applyNumberFormat="1" applyFont="1" applyBorder="1" applyAlignment="1">
      <alignment horizontal="right"/>
    </xf>
    <xf numFmtId="0" fontId="42" fillId="0" borderId="4" xfId="1" applyFont="1" applyBorder="1" applyAlignment="1">
      <alignment horizontal="left" indent="1"/>
    </xf>
    <xf numFmtId="10" fontId="41" fillId="0" borderId="10" xfId="12" applyNumberFormat="1" applyFont="1" applyBorder="1" applyAlignment="1"/>
    <xf numFmtId="10" fontId="41" fillId="0" borderId="10" xfId="12" applyNumberFormat="1" applyFont="1" applyBorder="1" applyAlignment="1">
      <alignment horizontal="right"/>
    </xf>
    <xf numFmtId="43" fontId="11" fillId="0" borderId="20" xfId="7" applyFont="1" applyBorder="1" applyAlignment="1">
      <alignment horizontal="left"/>
    </xf>
    <xf numFmtId="14" fontId="34" fillId="8" borderId="0" xfId="1" applyNumberFormat="1" applyFont="1" applyFill="1" applyAlignment="1">
      <alignment horizontal="center"/>
    </xf>
    <xf numFmtId="0" fontId="34" fillId="8" borderId="0" xfId="1" applyFont="1" applyFill="1" applyAlignment="1">
      <alignment horizontal="center"/>
    </xf>
    <xf numFmtId="165" fontId="34" fillId="8" borderId="0" xfId="7" applyNumberFormat="1" applyFont="1" applyFill="1" applyAlignment="1">
      <alignment horizontal="center"/>
    </xf>
    <xf numFmtId="43" fontId="43" fillId="2" borderId="9" xfId="7" applyFont="1" applyFill="1" applyBorder="1"/>
    <xf numFmtId="165" fontId="31" fillId="0" borderId="9" xfId="2" applyNumberFormat="1" applyFont="1" applyBorder="1" applyAlignment="1"/>
    <xf numFmtId="165" fontId="42" fillId="0" borderId="2" xfId="7" applyNumberFormat="1" applyFont="1" applyBorder="1" applyAlignment="1">
      <alignment horizontal="left"/>
    </xf>
    <xf numFmtId="14" fontId="44" fillId="0" borderId="7" xfId="0" applyNumberFormat="1" applyFont="1" applyBorder="1"/>
    <xf numFmtId="14" fontId="43" fillId="0" borderId="14" xfId="7" applyNumberFormat="1" applyFont="1" applyBorder="1"/>
    <xf numFmtId="0" fontId="3" fillId="0" borderId="7" xfId="0" applyFont="1" applyBorder="1" applyAlignment="1">
      <alignment horizontal="center"/>
    </xf>
    <xf numFmtId="0" fontId="0" fillId="0" borderId="14" xfId="0" applyBorder="1"/>
    <xf numFmtId="165" fontId="0" fillId="0" borderId="10" xfId="7" applyNumberFormat="1" applyFont="1" applyBorder="1"/>
    <xf numFmtId="165" fontId="0" fillId="0" borderId="24" xfId="7" applyNumberFormat="1" applyFont="1" applyBorder="1"/>
    <xf numFmtId="0" fontId="0" fillId="2" borderId="0" xfId="0" applyFill="1"/>
    <xf numFmtId="0" fontId="0" fillId="2" borderId="13" xfId="0" applyFill="1" applyBorder="1"/>
    <xf numFmtId="17" fontId="43" fillId="0" borderId="9" xfId="7" applyNumberFormat="1" applyFont="1" applyBorder="1"/>
    <xf numFmtId="165" fontId="11" fillId="0" borderId="2" xfId="7" applyNumberFormat="1" applyFont="1" applyBorder="1"/>
    <xf numFmtId="165" fontId="11" fillId="0" borderId="14" xfId="7" applyNumberFormat="1" applyFont="1" applyBorder="1"/>
    <xf numFmtId="165" fontId="11" fillId="0" borderId="0" xfId="7" applyNumberFormat="1" applyFont="1" applyBorder="1"/>
    <xf numFmtId="165" fontId="11" fillId="0" borderId="10" xfId="7" applyNumberFormat="1" applyFont="1" applyBorder="1"/>
    <xf numFmtId="165" fontId="12" fillId="0" borderId="5" xfId="7" applyNumberFormat="1" applyFont="1" applyBorder="1" applyAlignment="1">
      <alignment horizontal="center"/>
    </xf>
    <xf numFmtId="165" fontId="12" fillId="0" borderId="7" xfId="7" applyNumberFormat="1" applyFont="1" applyBorder="1" applyAlignment="1">
      <alignment horizontal="center"/>
    </xf>
    <xf numFmtId="43" fontId="43" fillId="2" borderId="0" xfId="7" applyFont="1" applyFill="1" applyBorder="1"/>
    <xf numFmtId="0" fontId="0" fillId="0" borderId="2" xfId="0" quotePrefix="1" applyBorder="1"/>
    <xf numFmtId="0" fontId="9" fillId="0" borderId="2" xfId="0" applyFont="1" applyBorder="1"/>
    <xf numFmtId="165" fontId="11" fillId="0" borderId="0" xfId="0" applyNumberFormat="1" applyFont="1"/>
    <xf numFmtId="1" fontId="44" fillId="0" borderId="0" xfId="0" applyNumberFormat="1" applyFont="1" applyAlignment="1">
      <alignment horizontal="center"/>
    </xf>
    <xf numFmtId="1" fontId="47" fillId="0" borderId="0" xfId="12" applyNumberFormat="1" applyFont="1"/>
    <xf numFmtId="1" fontId="43" fillId="0" borderId="0" xfId="0" applyNumberFormat="1" applyFont="1" applyAlignment="1">
      <alignment horizontal="center"/>
    </xf>
    <xf numFmtId="1" fontId="44" fillId="0" borderId="0" xfId="7" applyNumberFormat="1" applyFont="1"/>
    <xf numFmtId="1" fontId="7" fillId="6" borderId="8" xfId="0" applyNumberFormat="1" applyFont="1" applyFill="1" applyBorder="1" applyAlignment="1">
      <alignment horizontal="center"/>
    </xf>
    <xf numFmtId="1" fontId="7" fillId="6" borderId="6" xfId="0" applyNumberFormat="1" applyFont="1" applyFill="1" applyBorder="1" applyAlignment="1">
      <alignment horizontal="center"/>
    </xf>
    <xf numFmtId="1" fontId="43" fillId="0" borderId="9" xfId="7" applyNumberFormat="1" applyFont="1" applyBorder="1"/>
    <xf numFmtId="1" fontId="43" fillId="0" borderId="3" xfId="7" applyNumberFormat="1" applyFont="1" applyBorder="1"/>
    <xf numFmtId="1" fontId="43" fillId="3" borderId="3" xfId="7" applyNumberFormat="1" applyFont="1" applyFill="1" applyBorder="1"/>
    <xf numFmtId="1" fontId="43" fillId="3" borderId="0" xfId="7" applyNumberFormat="1" applyFont="1" applyFill="1" applyBorder="1"/>
    <xf numFmtId="1" fontId="43" fillId="3" borderId="9" xfId="7" applyNumberFormat="1" applyFont="1" applyFill="1" applyBorder="1"/>
    <xf numFmtId="1" fontId="43" fillId="0" borderId="0" xfId="7" applyNumberFormat="1" applyFont="1" applyBorder="1"/>
    <xf numFmtId="1" fontId="43" fillId="0" borderId="10" xfId="7" applyNumberFormat="1" applyFont="1" applyBorder="1"/>
    <xf numFmtId="1" fontId="44" fillId="0" borderId="5" xfId="0" applyNumberFormat="1" applyFont="1" applyBorder="1" applyAlignment="1">
      <alignment horizontal="center"/>
    </xf>
    <xf numFmtId="1" fontId="44" fillId="0" borderId="6" xfId="0" applyNumberFormat="1" applyFont="1" applyBorder="1" applyAlignment="1">
      <alignment horizontal="center"/>
    </xf>
    <xf numFmtId="1" fontId="43" fillId="0" borderId="2" xfId="0" applyNumberFormat="1" applyFont="1" applyBorder="1"/>
    <xf numFmtId="1" fontId="43" fillId="0" borderId="2" xfId="7" applyNumberFormat="1" applyFont="1" applyBorder="1"/>
    <xf numFmtId="1" fontId="43" fillId="0" borderId="0" xfId="7" applyNumberFormat="1" applyFont="1"/>
    <xf numFmtId="1" fontId="7" fillId="6" borderId="6" xfId="7" applyNumberFormat="1" applyFont="1" applyFill="1" applyBorder="1" applyAlignment="1">
      <alignment horizontal="center"/>
    </xf>
    <xf numFmtId="1" fontId="43" fillId="0" borderId="14" xfId="7" applyNumberFormat="1" applyFont="1" applyBorder="1"/>
    <xf numFmtId="165" fontId="3" fillId="0" borderId="5" xfId="7" applyNumberFormat="1" applyFont="1" applyBorder="1" applyAlignment="1">
      <alignment horizontal="center"/>
    </xf>
    <xf numFmtId="43" fontId="11" fillId="0" borderId="14" xfId="7" applyFont="1" applyBorder="1"/>
    <xf numFmtId="43" fontId="11" fillId="0" borderId="9" xfId="7" applyFont="1" applyBorder="1"/>
    <xf numFmtId="43" fontId="11" fillId="0" borderId="10" xfId="7" applyFont="1" applyBorder="1"/>
    <xf numFmtId="165" fontId="43" fillId="0" borderId="0" xfId="7" applyNumberFormat="1" applyFont="1" applyBorder="1"/>
    <xf numFmtId="165" fontId="44" fillId="0" borderId="0" xfId="7" applyNumberFormat="1" applyFont="1" applyBorder="1"/>
    <xf numFmtId="10" fontId="11" fillId="0" borderId="0" xfId="12" applyNumberFormat="1" applyFont="1"/>
    <xf numFmtId="43" fontId="11" fillId="0" borderId="0" xfId="7" applyFont="1"/>
    <xf numFmtId="165" fontId="54" fillId="0" borderId="0" xfId="7" applyNumberFormat="1" applyFont="1"/>
    <xf numFmtId="165" fontId="12" fillId="0" borderId="6" xfId="7" applyNumberFormat="1" applyFont="1" applyBorder="1" applyAlignment="1">
      <alignment horizontal="center"/>
    </xf>
    <xf numFmtId="0" fontId="55" fillId="0" borderId="37" xfId="0" applyFont="1" applyBorder="1" applyAlignment="1">
      <alignment vertical="center"/>
    </xf>
    <xf numFmtId="0" fontId="55" fillId="0" borderId="38" xfId="0" applyFont="1" applyBorder="1" applyAlignment="1">
      <alignment vertical="center"/>
    </xf>
    <xf numFmtId="14" fontId="11" fillId="0" borderId="0" xfId="7" applyNumberFormat="1" applyFont="1"/>
    <xf numFmtId="0" fontId="56" fillId="0" borderId="39" xfId="0" applyFont="1" applyBorder="1" applyAlignment="1">
      <alignment vertical="center"/>
    </xf>
    <xf numFmtId="0" fontId="56" fillId="0" borderId="40" xfId="0" applyFont="1" applyBorder="1" applyAlignment="1">
      <alignment vertical="center"/>
    </xf>
    <xf numFmtId="0" fontId="56" fillId="0" borderId="40" xfId="0" applyFont="1" applyBorder="1" applyAlignment="1">
      <alignment horizontal="right" vertical="center"/>
    </xf>
    <xf numFmtId="0" fontId="54" fillId="0" borderId="0" xfId="0" applyFont="1"/>
    <xf numFmtId="17" fontId="11" fillId="0" borderId="0" xfId="7" applyNumberFormat="1" applyFont="1"/>
    <xf numFmtId="14" fontId="57" fillId="0" borderId="5" xfId="7" applyNumberFormat="1" applyFont="1" applyBorder="1" applyAlignment="1">
      <alignment horizontal="center"/>
    </xf>
    <xf numFmtId="165" fontId="57" fillId="0" borderId="7" xfId="7" applyNumberFormat="1" applyFont="1" applyBorder="1" applyAlignment="1">
      <alignment horizontal="center"/>
    </xf>
    <xf numFmtId="165" fontId="57" fillId="0" borderId="6" xfId="7" applyNumberFormat="1" applyFont="1" applyBorder="1" applyAlignment="1">
      <alignment horizontal="center"/>
    </xf>
    <xf numFmtId="0" fontId="45" fillId="0" borderId="0" xfId="1" applyFont="1"/>
    <xf numFmtId="14" fontId="45" fillId="0" borderId="0" xfId="1" applyNumberFormat="1" applyFont="1"/>
    <xf numFmtId="165" fontId="57" fillId="0" borderId="0" xfId="7" applyNumberFormat="1" applyFont="1" applyBorder="1" applyAlignment="1">
      <alignment horizontal="center"/>
    </xf>
    <xf numFmtId="165" fontId="11" fillId="0" borderId="20" xfId="7" applyNumberFormat="1" applyFont="1" applyBorder="1" applyAlignment="1">
      <alignment horizontal="left"/>
    </xf>
    <xf numFmtId="165" fontId="11" fillId="0" borderId="41" xfId="7" applyNumberFormat="1" applyFont="1" applyBorder="1" applyAlignment="1">
      <alignment horizontal="left"/>
    </xf>
    <xf numFmtId="165" fontId="11" fillId="0" borderId="14" xfId="7" applyNumberFormat="1" applyFont="1" applyBorder="1" applyAlignment="1">
      <alignment horizontal="left"/>
    </xf>
    <xf numFmtId="14" fontId="0" fillId="0" borderId="0" xfId="0" quotePrefix="1" applyNumberFormat="1"/>
    <xf numFmtId="17" fontId="39" fillId="6" borderId="14" xfId="1" applyNumberFormat="1" applyFont="1" applyFill="1" applyBorder="1" applyAlignment="1">
      <alignment horizontal="center" vertical="center"/>
    </xf>
    <xf numFmtId="43" fontId="43" fillId="3" borderId="0" xfId="7" applyFont="1" applyFill="1"/>
    <xf numFmtId="165" fontId="12" fillId="0" borderId="8" xfId="7" applyNumberFormat="1" applyFont="1" applyFill="1" applyBorder="1" applyAlignment="1">
      <alignment horizontal="center"/>
    </xf>
    <xf numFmtId="0" fontId="58" fillId="0" borderId="0" xfId="1" applyFont="1"/>
    <xf numFmtId="165" fontId="11" fillId="0" borderId="9" xfId="7" applyNumberFormat="1" applyFont="1" applyFill="1" applyBorder="1" applyAlignment="1"/>
    <xf numFmtId="165" fontId="12" fillId="0" borderId="2" xfId="7" applyNumberFormat="1" applyFont="1" applyBorder="1" applyAlignment="1">
      <alignment horizontal="center"/>
    </xf>
    <xf numFmtId="165" fontId="12" fillId="0" borderId="3" xfId="7" applyNumberFormat="1" applyFont="1" applyBorder="1" applyAlignment="1">
      <alignment horizontal="center"/>
    </xf>
    <xf numFmtId="165" fontId="19" fillId="5" borderId="0" xfId="7" applyNumberFormat="1" applyFont="1" applyFill="1" applyBorder="1" applyAlignment="1">
      <alignment horizontal="center"/>
    </xf>
    <xf numFmtId="165" fontId="25" fillId="6" borderId="26" xfId="7" applyNumberFormat="1" applyFont="1" applyFill="1" applyBorder="1" applyAlignment="1">
      <alignment horizontal="center"/>
    </xf>
    <xf numFmtId="165" fontId="12" fillId="0" borderId="5" xfId="7" applyNumberFormat="1" applyFont="1" applyBorder="1" applyAlignment="1">
      <alignment horizontal="center" vertical="center"/>
    </xf>
    <xf numFmtId="165" fontId="12" fillId="0" borderId="6" xfId="7" applyNumberFormat="1" applyFont="1" applyBorder="1" applyAlignment="1">
      <alignment horizontal="center" vertical="center"/>
    </xf>
    <xf numFmtId="165" fontId="12" fillId="0" borderId="2" xfId="7" applyNumberFormat="1" applyFont="1" applyBorder="1" applyAlignment="1">
      <alignment horizontal="center" vertical="center"/>
    </xf>
    <xf numFmtId="165" fontId="12" fillId="0" borderId="3" xfId="7" applyNumberFormat="1" applyFont="1" applyBorder="1" applyAlignment="1">
      <alignment horizontal="center" vertical="center"/>
    </xf>
    <xf numFmtId="165" fontId="20" fillId="0" borderId="5" xfId="7" applyNumberFormat="1" applyFont="1" applyBorder="1" applyAlignment="1">
      <alignment horizontal="center"/>
    </xf>
    <xf numFmtId="165" fontId="20" fillId="0" borderId="6" xfId="7" applyNumberFormat="1" applyFont="1" applyBorder="1" applyAlignment="1">
      <alignment horizontal="center"/>
    </xf>
    <xf numFmtId="165" fontId="23" fillId="0" borderId="13" xfId="7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4">
    <cellStyle name="Comma" xfId="7" builtinId="3"/>
    <cellStyle name="Comma 2" xfId="2" xr:uid="{00000000-0005-0000-0000-000001000000}"/>
    <cellStyle name="Comma 2 2" xfId="5" xr:uid="{00000000-0005-0000-0000-000002000000}"/>
    <cellStyle name="Comma 2 2 2" xfId="9" xr:uid="{00000000-0005-0000-0000-000003000000}"/>
    <cellStyle name="Comma 2 3" xfId="8" xr:uid="{00000000-0005-0000-0000-000004000000}"/>
    <cellStyle name="Comma 3" xfId="10" xr:uid="{00000000-0005-0000-0000-000005000000}"/>
    <cellStyle name="Normal" xfId="0" builtinId="0"/>
    <cellStyle name="Normal 2" xfId="1" xr:uid="{00000000-0005-0000-0000-000007000000}"/>
    <cellStyle name="Normal 2 2" xfId="4" xr:uid="{00000000-0005-0000-0000-000008000000}"/>
    <cellStyle name="Normal 3" xfId="11" xr:uid="{00000000-0005-0000-0000-000009000000}"/>
    <cellStyle name="Normal 4" xfId="13" xr:uid="{8FAAE49C-C846-45DC-B10A-C9258538E53C}"/>
    <cellStyle name="Percent" xfId="12" builtinId="5"/>
    <cellStyle name="Percent 2" xfId="3" xr:uid="{00000000-0005-0000-0000-00000B000000}"/>
    <cellStyle name="Percent 2 2" xfId="6" xr:uid="{00000000-0005-0000-0000-00000C000000}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7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24</v>
    <v>1</v>
  </rv>
  <rv s="0">
    <v>18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FCACCA-A769-4885-B6B2-93AB53DF1231}">
  <we:reference id="wa200005702" version="1.0.0.5" store="en-IN" storeType="OMEX"/>
  <we:alternateReferences>
    <we:reference id="wa200005702" version="1.0.0.5" store="WA20000570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Z48"/>
  <sheetViews>
    <sheetView showGridLines="0" tabSelected="1" zoomScale="73" zoomScaleNormal="110" workbookViewId="0">
      <selection activeCell="W17" sqref="W17"/>
    </sheetView>
  </sheetViews>
  <sheetFormatPr defaultColWidth="8.6640625" defaultRowHeight="15.6" x14ac:dyDescent="0.3"/>
  <cols>
    <col min="1" max="1" width="8.6640625" style="416"/>
    <col min="2" max="2" width="2.77734375" style="416" customWidth="1"/>
    <col min="3" max="3" width="32.33203125" style="414" bestFit="1" customWidth="1"/>
    <col min="4" max="6" width="10.88671875" style="416" bestFit="1" customWidth="1"/>
    <col min="7" max="15" width="8.21875" style="416" hidden="1" customWidth="1"/>
    <col min="16" max="17" width="12.5546875" style="416" bestFit="1" customWidth="1"/>
    <col min="18" max="18" width="5.109375" style="417" bestFit="1" customWidth="1"/>
    <col min="19" max="20" width="5" style="417" hidden="1" customWidth="1"/>
    <col min="21" max="21" width="11" style="416" hidden="1" customWidth="1"/>
    <col min="22" max="22" width="11" style="416" customWidth="1"/>
    <col min="23" max="24" width="8.21875" style="416" bestFit="1" customWidth="1"/>
    <col min="25" max="16384" width="8.6640625" style="416"/>
  </cols>
  <sheetData>
    <row r="1" spans="3:26" s="420" customFormat="1" x14ac:dyDescent="0.3">
      <c r="C1" s="419"/>
      <c r="R1" s="421"/>
      <c r="S1" s="421"/>
      <c r="T1" s="421"/>
    </row>
    <row r="2" spans="3:26" x14ac:dyDescent="0.3">
      <c r="D2" s="422" t="str">
        <f>TEXT(D4, "mmm-yy")</f>
        <v>Apr-26</v>
      </c>
      <c r="E2" s="422" t="str">
        <f t="shared" ref="E2:O2" si="0">TEXT(E4, "mmm-yy")</f>
        <v>May-26</v>
      </c>
      <c r="F2" s="422" t="str">
        <f t="shared" si="0"/>
        <v>Jun-26</v>
      </c>
      <c r="G2" s="422" t="str">
        <f t="shared" si="0"/>
        <v>Jul-26</v>
      </c>
      <c r="H2" s="422" t="str">
        <f t="shared" si="0"/>
        <v>Aug-26</v>
      </c>
      <c r="I2" s="422" t="str">
        <f t="shared" si="0"/>
        <v>Sep-26</v>
      </c>
      <c r="J2" s="422" t="str">
        <f t="shared" si="0"/>
        <v>Oct-26</v>
      </c>
      <c r="K2" s="422" t="str">
        <f t="shared" si="0"/>
        <v>Nov-26</v>
      </c>
      <c r="L2" s="422" t="str">
        <f t="shared" si="0"/>
        <v>Dec-26</v>
      </c>
      <c r="M2" s="422" t="str">
        <f t="shared" si="0"/>
        <v>Jan-27</v>
      </c>
      <c r="N2" s="422" t="str">
        <f t="shared" si="0"/>
        <v>Feb-27</v>
      </c>
      <c r="O2" s="422" t="str">
        <f t="shared" si="0"/>
        <v>Mar-27</v>
      </c>
    </row>
    <row r="3" spans="3:26" ht="16.2" thickBot="1" x14ac:dyDescent="0.35">
      <c r="D3" s="416">
        <v>30</v>
      </c>
      <c r="E3" s="416">
        <v>31</v>
      </c>
      <c r="F3" s="416">
        <v>30</v>
      </c>
      <c r="G3" s="416">
        <v>0</v>
      </c>
      <c r="H3" s="416">
        <v>0</v>
      </c>
      <c r="I3" s="416">
        <v>0</v>
      </c>
      <c r="J3" s="416">
        <v>0</v>
      </c>
      <c r="K3" s="416">
        <v>0</v>
      </c>
      <c r="L3" s="416">
        <v>0</v>
      </c>
      <c r="M3" s="416">
        <v>0</v>
      </c>
      <c r="N3" s="416">
        <v>0</v>
      </c>
      <c r="O3" s="416">
        <v>0</v>
      </c>
      <c r="P3" s="416">
        <f>SUM(D3:O3)</f>
        <v>91</v>
      </c>
    </row>
    <row r="4" spans="3:26" x14ac:dyDescent="0.3">
      <c r="C4" s="423" t="s">
        <v>4167</v>
      </c>
      <c r="D4" s="424">
        <v>46113</v>
      </c>
      <c r="E4" s="424">
        <v>46143</v>
      </c>
      <c r="F4" s="424">
        <v>46174</v>
      </c>
      <c r="G4" s="424">
        <v>46204</v>
      </c>
      <c r="H4" s="424">
        <v>46235</v>
      </c>
      <c r="I4" s="424">
        <v>46266</v>
      </c>
      <c r="J4" s="424">
        <v>46296</v>
      </c>
      <c r="K4" s="424">
        <v>46327</v>
      </c>
      <c r="L4" s="424">
        <v>46357</v>
      </c>
      <c r="M4" s="424">
        <v>46388</v>
      </c>
      <c r="N4" s="424">
        <v>46419</v>
      </c>
      <c r="O4" s="424">
        <v>46447</v>
      </c>
      <c r="P4" s="424" t="s">
        <v>3085</v>
      </c>
      <c r="W4" s="416" t="s">
        <v>4095</v>
      </c>
      <c r="X4" s="416" t="s">
        <v>4096</v>
      </c>
    </row>
    <row r="5" spans="3:26" x14ac:dyDescent="0.3">
      <c r="C5" s="425" t="s">
        <v>0</v>
      </c>
      <c r="D5" s="426">
        <v>202.39599999999999</v>
      </c>
      <c r="E5" s="426">
        <v>162.374</v>
      </c>
      <c r="F5" s="426">
        <v>213.291</v>
      </c>
      <c r="G5" s="426">
        <f>SUMIFS(Details!$BB$4:$BB$243,Details!$C$4:$C$243,Enterprise!G$4)/1000</f>
        <v>0</v>
      </c>
      <c r="H5" s="426">
        <f>SUMIFS(Details!$BB$4:$BB$243,Details!$C$4:$C$243,Enterprise!H$4)/1000</f>
        <v>0</v>
      </c>
      <c r="I5" s="426">
        <f>SUMIFS(Details!$BB$4:$BB$243,Details!$C$4:$C$243,Enterprise!I$4)/1000</f>
        <v>0</v>
      </c>
      <c r="J5" s="426">
        <f>SUMIFS(Details!$BB$4:$BB$243,Details!$C$4:$C$243,Enterprise!J$4)/1000</f>
        <v>0</v>
      </c>
      <c r="K5" s="426">
        <f>SUMIFS(Details!$BB$4:$BB$243,Details!$C$4:$C$243,Enterprise!K$4)/1000</f>
        <v>0</v>
      </c>
      <c r="L5" s="426">
        <f>SUMIFS(Details!$BB$4:$BB$243,Details!$C$4:$C$243,Enterprise!L$4)/1000</f>
        <v>0</v>
      </c>
      <c r="M5" s="426">
        <f>SUMIFS(Details!$BB$4:$BB$243,Details!$C$4:$C$243,Enterprise!M$4)/1000</f>
        <v>0</v>
      </c>
      <c r="N5" s="426">
        <f>SUMIFS(Details!$BB$4:$BB$243,Details!$C$4:$C$243,Enterprise!N$4)/1000</f>
        <v>0</v>
      </c>
      <c r="O5" s="426">
        <f>SUMIFS(Details!$BB$4:$BB$243,Details!$C$4:$C$243,Enterprise!O$4)/1000</f>
        <v>0</v>
      </c>
      <c r="P5" s="426">
        <f t="shared" ref="P5:P10" si="1">SUM(D5:O5)</f>
        <v>578.06099999999992</v>
      </c>
      <c r="Q5" s="427">
        <f>Details!BB244/1000</f>
        <v>578.06100000000004</v>
      </c>
      <c r="R5" s="417">
        <f>P5-Q5</f>
        <v>0</v>
      </c>
      <c r="W5" s="416">
        <v>128151</v>
      </c>
      <c r="X5" s="416">
        <v>124831</v>
      </c>
    </row>
    <row r="6" spans="3:26" x14ac:dyDescent="0.3">
      <c r="C6" s="425" t="s">
        <v>1</v>
      </c>
      <c r="D6" s="428">
        <v>3212253.5</v>
      </c>
      <c r="E6" s="428">
        <v>2824375</v>
      </c>
      <c r="F6" s="428">
        <v>4640707</v>
      </c>
      <c r="G6" s="428">
        <f>SUMIFS(Details!$BO$4:$BO$243,Details!$C$4:$C$243,Enterprise!G$4)-G47</f>
        <v>0</v>
      </c>
      <c r="H6" s="428">
        <f>SUMIFS(Details!$BO$4:$BO$243,Details!$C$4:$C$243,Enterprise!H$4)-H47</f>
        <v>0</v>
      </c>
      <c r="I6" s="428">
        <f>SUMIFS(Details!$BO$4:$BO$243,Details!$C$4:$C$243,Enterprise!I$4)-I47</f>
        <v>0</v>
      </c>
      <c r="J6" s="428">
        <f>SUMIFS(Details!$BO$4:$BO$243,Details!$C$4:$C$243,Enterprise!J$4)-J47</f>
        <v>0</v>
      </c>
      <c r="K6" s="428">
        <f>SUMIFS(Details!$BO$4:$BO$243,Details!$C$4:$C$243,Enterprise!K$4)-K47</f>
        <v>0</v>
      </c>
      <c r="L6" s="428">
        <f>SUMIFS(Details!$BO$4:$BO$243,Details!$C$4:$C$243,Enterprise!L$4)-L47</f>
        <v>0</v>
      </c>
      <c r="M6" s="428">
        <f>SUMIFS(Details!$BO$4:$BO$243,Details!$C$4:$C$243,Enterprise!M$4)-M47</f>
        <v>0</v>
      </c>
      <c r="N6" s="428">
        <f>SUMIFS(Details!$BO$4:$BO$243,Details!$C$4:$C$243,Enterprise!N$4)-N47</f>
        <v>0</v>
      </c>
      <c r="O6" s="428">
        <f>SUMIFS(Details!$BO$4:$BO$243,Details!$C$4:$C$243,Enterprise!O$4)-O47</f>
        <v>0</v>
      </c>
      <c r="P6" s="428">
        <f t="shared" si="1"/>
        <v>10677335.5</v>
      </c>
      <c r="Q6" s="429">
        <f>Details!BO244</f>
        <v>10677335.5</v>
      </c>
      <c r="R6" s="417">
        <f>P6-Q6</f>
        <v>0</v>
      </c>
      <c r="U6" s="427"/>
      <c r="V6" s="427"/>
      <c r="W6" s="416">
        <v>120737</v>
      </c>
      <c r="X6" s="416">
        <v>111891</v>
      </c>
    </row>
    <row r="7" spans="3:26" x14ac:dyDescent="0.3">
      <c r="C7" s="425" t="s">
        <v>2</v>
      </c>
      <c r="D7" s="428">
        <v>2748791</v>
      </c>
      <c r="E7" s="428">
        <v>2420732</v>
      </c>
      <c r="F7" s="428">
        <v>4175968</v>
      </c>
      <c r="G7" s="428">
        <f>SUMIFS(Details!$AM$4:$AM$243,Details!$C$4:$C$243,Enterprise!G$4)-SUMIFS(Details!$AB$4:$AB$243,Details!$C$4:$C$243,Enterprise!G$4)</f>
        <v>0</v>
      </c>
      <c r="H7" s="428">
        <f>SUMIFS(Details!$AM$4:$AM$243,Details!$C$4:$C$243,Enterprise!H$4)-SUMIFS(Details!$AB$4:$AB$243,Details!$C$4:$C$243,Enterprise!H$4)</f>
        <v>0</v>
      </c>
      <c r="I7" s="428">
        <f>SUMIFS(Details!$AM$4:$AM$243,Details!$C$4:$C$243,Enterprise!I$4)-SUMIFS(Details!$AB$4:$AB$243,Details!$C$4:$C$243,Enterprise!I$4)</f>
        <v>0</v>
      </c>
      <c r="J7" s="428">
        <f>SUMIFS(Details!$AM$4:$AM$243,Details!$C$4:$C$243,Enterprise!J$4)-SUMIFS(Details!$AB$4:$AB$243,Details!$C$4:$C$243,Enterprise!J$4)</f>
        <v>0</v>
      </c>
      <c r="K7" s="428">
        <f>SUMIFS(Details!$AM$4:$AM$243,Details!$C$4:$C$243,Enterprise!K$4)-SUMIFS(Details!$AB$4:$AB$243,Details!$C$4:$C$243,Enterprise!K$4)</f>
        <v>0</v>
      </c>
      <c r="L7" s="428">
        <f>SUMIFS(Details!$AM$4:$AM$243,Details!$C$4:$C$243,Enterprise!L$4)-SUMIFS(Details!$AB$4:$AB$243,Details!$C$4:$C$243,Enterprise!L$4)</f>
        <v>0</v>
      </c>
      <c r="M7" s="428">
        <f>SUMIFS(Details!$AM$4:$AM$243,Details!$C$4:$C$243,Enterprise!M$4)-SUMIFS(Details!$AB$4:$AB$243,Details!$C$4:$C$243,Enterprise!M$4)</f>
        <v>0</v>
      </c>
      <c r="N7" s="428">
        <f>SUMIFS(Details!$AM$4:$AM$243,Details!$C$4:$C$243,Enterprise!N$4)-SUMIFS(Details!$AB$4:$AB$243,Details!$C$4:$C$243,Enterprise!N$4)</f>
        <v>0</v>
      </c>
      <c r="O7" s="428">
        <f>SUMIFS(Details!$AM$4:$AM$243,Details!$C$4:$C$243,Enterprise!O$4)-SUMIFS(Details!$AB$4:$AB$243,Details!$C$4:$C$243,Enterprise!O$4)</f>
        <v>0</v>
      </c>
      <c r="P7" s="428">
        <f>SUM(D7:O7)</f>
        <v>9345491</v>
      </c>
      <c r="Q7" s="429">
        <f>Details!P245</f>
        <v>9345491</v>
      </c>
      <c r="R7" s="417">
        <f>P7-Q7</f>
        <v>0</v>
      </c>
      <c r="S7" s="430"/>
      <c r="T7" s="430"/>
      <c r="U7" s="427"/>
      <c r="V7" s="427"/>
      <c r="W7" s="416">
        <v>13200</v>
      </c>
      <c r="X7" s="416">
        <v>10800</v>
      </c>
    </row>
    <row r="8" spans="3:26" s="436" customFormat="1" x14ac:dyDescent="0.3">
      <c r="C8" s="431" t="s">
        <v>182</v>
      </c>
      <c r="D8" s="432">
        <f t="shared" ref="D8:O8" si="2">D6-D7</f>
        <v>463462.5</v>
      </c>
      <c r="E8" s="433">
        <f>E6-E7</f>
        <v>403643</v>
      </c>
      <c r="F8" s="432">
        <f t="shared" si="2"/>
        <v>464739</v>
      </c>
      <c r="G8" s="433">
        <f t="shared" si="2"/>
        <v>0</v>
      </c>
      <c r="H8" s="432">
        <f t="shared" si="2"/>
        <v>0</v>
      </c>
      <c r="I8" s="433">
        <f t="shared" si="2"/>
        <v>0</v>
      </c>
      <c r="J8" s="432">
        <f t="shared" si="2"/>
        <v>0</v>
      </c>
      <c r="K8" s="433">
        <f t="shared" si="2"/>
        <v>0</v>
      </c>
      <c r="L8" s="432">
        <f t="shared" si="2"/>
        <v>0</v>
      </c>
      <c r="M8" s="433">
        <f t="shared" si="2"/>
        <v>0</v>
      </c>
      <c r="N8" s="432">
        <f t="shared" si="2"/>
        <v>0</v>
      </c>
      <c r="O8" s="433">
        <f t="shared" si="2"/>
        <v>0</v>
      </c>
      <c r="P8" s="432">
        <f>SUM(D8:O8)</f>
        <v>1331844.5</v>
      </c>
      <c r="Q8" s="434" t="s">
        <v>108</v>
      </c>
      <c r="R8" s="435"/>
      <c r="S8" s="435"/>
      <c r="T8" s="435"/>
      <c r="Y8" s="416">
        <v>10725</v>
      </c>
      <c r="Z8" s="416">
        <v>18150</v>
      </c>
    </row>
    <row r="9" spans="3:26" x14ac:dyDescent="0.3">
      <c r="C9" s="437" t="s">
        <v>473</v>
      </c>
      <c r="D9" s="438">
        <f t="shared" ref="D9:O9" si="3">IFERROR((D8/D6),0)</f>
        <v>0.14427955327934111</v>
      </c>
      <c r="E9" s="439">
        <f>IFERROR((E8/E6),0)</f>
        <v>0.14291409603894667</v>
      </c>
      <c r="F9" s="438">
        <f t="shared" si="3"/>
        <v>0.10014400822978051</v>
      </c>
      <c r="G9" s="439">
        <f t="shared" si="3"/>
        <v>0</v>
      </c>
      <c r="H9" s="438">
        <f t="shared" si="3"/>
        <v>0</v>
      </c>
      <c r="I9" s="439">
        <f t="shared" si="3"/>
        <v>0</v>
      </c>
      <c r="J9" s="438">
        <f t="shared" si="3"/>
        <v>0</v>
      </c>
      <c r="K9" s="439">
        <f t="shared" si="3"/>
        <v>0</v>
      </c>
      <c r="L9" s="438">
        <f t="shared" si="3"/>
        <v>0</v>
      </c>
      <c r="M9" s="439">
        <f t="shared" si="3"/>
        <v>0</v>
      </c>
      <c r="N9" s="438">
        <f t="shared" si="3"/>
        <v>0</v>
      </c>
      <c r="O9" s="439">
        <f t="shared" si="3"/>
        <v>0</v>
      </c>
      <c r="P9" s="438">
        <f>IFERROR((P8/P6),0)</f>
        <v>0.12473566087719169</v>
      </c>
      <c r="Q9" s="440"/>
      <c r="Y9" s="416">
        <v>13527</v>
      </c>
      <c r="Z9" s="416">
        <v>1100</v>
      </c>
    </row>
    <row r="10" spans="3:26" x14ac:dyDescent="0.3">
      <c r="C10" s="425" t="s">
        <v>3</v>
      </c>
      <c r="D10" s="426">
        <f>SUMIFS(Details!$AB$4:$AB$243,Details!$C$4:$C$243,Enterprise!D$4)</f>
        <v>0</v>
      </c>
      <c r="E10" s="426">
        <f>SUMIFS(Details!$AB$4:$AB$243,Details!$C$4:$C$243,Enterprise!E$4)</f>
        <v>0</v>
      </c>
      <c r="F10" s="426">
        <f>SUMIFS(Details!$AB$4:$AB$243,Details!$C$4:$C$243,Enterprise!F$4)</f>
        <v>0</v>
      </c>
      <c r="G10" s="426">
        <f>SUMIFS(Details!$AB$4:$AB$243,Details!$C$4:$C$243,Enterprise!G$4)</f>
        <v>0</v>
      </c>
      <c r="H10" s="426">
        <f>SUMIFS(Details!$AB$4:$AB$243,Details!$C$4:$C$243,Enterprise!H$4)</f>
        <v>0</v>
      </c>
      <c r="I10" s="426">
        <f>SUMIFS(Details!$AB$4:$AB$243,Details!$C$4:$C$243,Enterprise!I$4)</f>
        <v>0</v>
      </c>
      <c r="J10" s="426">
        <f>SUMIFS(Details!$AB$4:$AB$243,Details!$C$4:$C$243,Enterprise!J$4)</f>
        <v>0</v>
      </c>
      <c r="K10" s="426">
        <f>SUMIFS(Details!$AB$4:$AB$243,Details!$C$4:$C$243,Enterprise!K$4)</f>
        <v>0</v>
      </c>
      <c r="L10" s="426">
        <f>SUMIFS(Details!$AB$4:$AB$243,Details!$C$4:$C$243,Enterprise!L$4)</f>
        <v>0</v>
      </c>
      <c r="M10" s="426">
        <f>SUMIFS(Details!$AB$4:$AB$243,Details!$C$4:$C$243,Enterprise!M$4)</f>
        <v>0</v>
      </c>
      <c r="N10" s="426">
        <f>SUMIFS(Details!$AB$4:$AB$243,Details!$C$4:$C$243,Enterprise!N$4)</f>
        <v>0</v>
      </c>
      <c r="O10" s="426">
        <f>SUMIFS(Details!$AB$4:$AB$243,Details!$C$4:$C$243,Enterprise!O$4)</f>
        <v>0</v>
      </c>
      <c r="P10" s="426">
        <f t="shared" si="1"/>
        <v>0</v>
      </c>
      <c r="Q10" s="441">
        <f>Details!AB244</f>
        <v>0</v>
      </c>
      <c r="R10" s="430">
        <f>P10-Q10</f>
        <v>0</v>
      </c>
      <c r="S10" s="430"/>
      <c r="T10" s="430"/>
      <c r="U10" s="427"/>
      <c r="V10" s="427"/>
      <c r="W10" s="557">
        <f>SUM(W5:W9)</f>
        <v>262088</v>
      </c>
      <c r="X10" s="557">
        <f>SUM(X5:X9)</f>
        <v>247522</v>
      </c>
    </row>
    <row r="11" spans="3:26" x14ac:dyDescent="0.3">
      <c r="C11" s="425" t="s">
        <v>472</v>
      </c>
      <c r="D11" s="428">
        <f>SUMIFS(Details!$AC:$AC,Details!$C:$C,Enterprise!D$4)</f>
        <v>249453.06999999998</v>
      </c>
      <c r="E11" s="428">
        <f>SUMIFS(Details!$AC:$AC,Details!$C:$C,Enterprise!E$4)</f>
        <v>200125.95499999999</v>
      </c>
      <c r="F11" s="428">
        <f>SUMIFS(Details!$AC:$AC,Details!$C:$C,Enterprise!F$4)</f>
        <v>336776.47500000009</v>
      </c>
      <c r="G11" s="428">
        <f>SUMIFS(Details!$AC:$AC,Details!$C:$C,Enterprise!G$4)</f>
        <v>0</v>
      </c>
      <c r="H11" s="428">
        <f>SUMIFS(Details!$AC:$AC,Details!$C:$C,Enterprise!H$4)</f>
        <v>0</v>
      </c>
      <c r="I11" s="428">
        <f>SUMIFS(Details!$AC:$AC,Details!$C:$C,Enterprise!I$4)</f>
        <v>0</v>
      </c>
      <c r="J11" s="428">
        <f>SUMIFS(Details!$AC:$AC,Details!$C:$C,Enterprise!J$4)</f>
        <v>0</v>
      </c>
      <c r="K11" s="428">
        <f>SUMIFS(Details!$AC:$AC,Details!$C:$C,Enterprise!K$4)</f>
        <v>0</v>
      </c>
      <c r="L11" s="428">
        <f>SUMIFS(Details!$AC:$AC,Details!$C:$C,Enterprise!L$4)</f>
        <v>0</v>
      </c>
      <c r="M11" s="428">
        <f>SUMIFS(Details!$AC:$AC,Details!$C:$C,Enterprise!M$4)</f>
        <v>0</v>
      </c>
      <c r="N11" s="428">
        <f>SUMIFS(Details!$AC:$AC,Details!$C:$C,Enterprise!N$4)</f>
        <v>0</v>
      </c>
      <c r="O11" s="428">
        <f>SUMIFS(Details!$AC:$AC,Details!$C:$C,Enterprise!O$4)</f>
        <v>0</v>
      </c>
      <c r="P11" s="428">
        <f>SUM(D11:O11)</f>
        <v>786355.5</v>
      </c>
      <c r="Q11" s="418"/>
      <c r="W11" s="440">
        <f>W10-D11</f>
        <v>12634.930000000022</v>
      </c>
      <c r="X11" s="440">
        <f>X10-E11</f>
        <v>47396.045000000013</v>
      </c>
    </row>
    <row r="12" spans="3:26" s="436" customFormat="1" x14ac:dyDescent="0.3">
      <c r="C12" s="431" t="s">
        <v>184</v>
      </c>
      <c r="D12" s="432">
        <f t="shared" ref="D12:O12" si="4">D6-D7-D10-D11</f>
        <v>214009.43000000002</v>
      </c>
      <c r="E12" s="432">
        <f>E6-E7-E10-E11</f>
        <v>203517.04500000001</v>
      </c>
      <c r="F12" s="432">
        <f t="shared" si="4"/>
        <v>127962.52499999991</v>
      </c>
      <c r="G12" s="432">
        <f t="shared" si="4"/>
        <v>0</v>
      </c>
      <c r="H12" s="432">
        <f t="shared" si="4"/>
        <v>0</v>
      </c>
      <c r="I12" s="432">
        <f t="shared" si="4"/>
        <v>0</v>
      </c>
      <c r="J12" s="432">
        <f t="shared" si="4"/>
        <v>0</v>
      </c>
      <c r="K12" s="432">
        <f t="shared" si="4"/>
        <v>0</v>
      </c>
      <c r="L12" s="432">
        <f t="shared" si="4"/>
        <v>0</v>
      </c>
      <c r="M12" s="432">
        <f t="shared" si="4"/>
        <v>0</v>
      </c>
      <c r="N12" s="432">
        <f t="shared" si="4"/>
        <v>0</v>
      </c>
      <c r="O12" s="432">
        <f t="shared" si="4"/>
        <v>0</v>
      </c>
      <c r="P12" s="432">
        <f>SUM(D12:O12)</f>
        <v>545489</v>
      </c>
      <c r="R12" s="435"/>
      <c r="S12" s="435"/>
      <c r="T12" s="435"/>
      <c r="W12" s="416"/>
      <c r="X12" s="416"/>
    </row>
    <row r="13" spans="3:26" s="444" customFormat="1" x14ac:dyDescent="0.3">
      <c r="C13" s="442" t="s">
        <v>503</v>
      </c>
      <c r="D13" s="443">
        <f t="shared" ref="D13:P13" si="5">IFERROR((D12/D6),0)</f>
        <v>6.662283347189131E-2</v>
      </c>
      <c r="E13" s="443">
        <f t="shared" si="5"/>
        <v>7.2057373755255588E-2</v>
      </c>
      <c r="F13" s="443">
        <f t="shared" si="5"/>
        <v>2.7573928929363545E-2</v>
      </c>
      <c r="G13" s="443">
        <f t="shared" si="5"/>
        <v>0</v>
      </c>
      <c r="H13" s="443">
        <f t="shared" si="5"/>
        <v>0</v>
      </c>
      <c r="I13" s="443">
        <f t="shared" si="5"/>
        <v>0</v>
      </c>
      <c r="J13" s="443">
        <f t="shared" si="5"/>
        <v>0</v>
      </c>
      <c r="K13" s="443">
        <f t="shared" si="5"/>
        <v>0</v>
      </c>
      <c r="L13" s="443">
        <f t="shared" si="5"/>
        <v>0</v>
      </c>
      <c r="M13" s="443">
        <f t="shared" si="5"/>
        <v>0</v>
      </c>
      <c r="N13" s="443">
        <f t="shared" si="5"/>
        <v>0</v>
      </c>
      <c r="O13" s="443">
        <f t="shared" si="5"/>
        <v>0</v>
      </c>
      <c r="P13" s="443">
        <f t="shared" si="5"/>
        <v>5.1088494877771708E-2</v>
      </c>
      <c r="R13" s="445"/>
      <c r="S13" s="445"/>
      <c r="T13" s="445"/>
      <c r="W13" s="416"/>
      <c r="X13" s="416"/>
    </row>
    <row r="14" spans="3:26" s="444" customFormat="1" x14ac:dyDescent="0.3">
      <c r="C14" s="431" t="s">
        <v>2103</v>
      </c>
      <c r="D14" s="432">
        <v>0</v>
      </c>
      <c r="E14" s="432">
        <v>0</v>
      </c>
      <c r="F14" s="432">
        <v>0</v>
      </c>
      <c r="G14" s="432">
        <v>0</v>
      </c>
      <c r="H14" s="432">
        <v>0</v>
      </c>
      <c r="I14" s="432">
        <v>0</v>
      </c>
      <c r="J14" s="432">
        <v>0</v>
      </c>
      <c r="K14" s="432">
        <v>0</v>
      </c>
      <c r="L14" s="432">
        <v>0</v>
      </c>
      <c r="M14" s="432">
        <v>0</v>
      </c>
      <c r="N14" s="432">
        <v>0</v>
      </c>
      <c r="O14" s="432">
        <v>0</v>
      </c>
      <c r="P14" s="426">
        <f>SUM(D14:O14)</f>
        <v>0</v>
      </c>
      <c r="R14" s="445"/>
      <c r="S14" s="445"/>
      <c r="T14" s="445"/>
      <c r="W14" s="436"/>
      <c r="X14" s="436"/>
    </row>
    <row r="15" spans="3:26" s="436" customFormat="1" x14ac:dyDescent="0.3">
      <c r="C15" s="431" t="s">
        <v>4</v>
      </c>
      <c r="D15" s="446">
        <f t="shared" ref="D15:P15" si="6">IFERROR((D10/D6),0)</f>
        <v>0</v>
      </c>
      <c r="E15" s="447">
        <f t="shared" si="6"/>
        <v>0</v>
      </c>
      <c r="F15" s="446">
        <f t="shared" si="6"/>
        <v>0</v>
      </c>
      <c r="G15" s="447">
        <f t="shared" si="6"/>
        <v>0</v>
      </c>
      <c r="H15" s="446">
        <f t="shared" si="6"/>
        <v>0</v>
      </c>
      <c r="I15" s="447">
        <f t="shared" si="6"/>
        <v>0</v>
      </c>
      <c r="J15" s="446">
        <f t="shared" si="6"/>
        <v>0</v>
      </c>
      <c r="K15" s="447">
        <f t="shared" si="6"/>
        <v>0</v>
      </c>
      <c r="L15" s="446">
        <f t="shared" si="6"/>
        <v>0</v>
      </c>
      <c r="M15" s="447">
        <f t="shared" si="6"/>
        <v>0</v>
      </c>
      <c r="N15" s="446">
        <f t="shared" si="6"/>
        <v>0</v>
      </c>
      <c r="O15" s="447">
        <f t="shared" si="6"/>
        <v>0</v>
      </c>
      <c r="P15" s="446">
        <f t="shared" si="6"/>
        <v>0</v>
      </c>
      <c r="R15" s="435"/>
      <c r="S15" s="435"/>
      <c r="T15" s="435"/>
      <c r="W15" s="444"/>
      <c r="X15" s="444"/>
    </row>
    <row r="16" spans="3:26" s="436" customFormat="1" x14ac:dyDescent="0.3">
      <c r="C16" s="431" t="s">
        <v>7</v>
      </c>
      <c r="D16" s="448">
        <f t="shared" ref="D16:P16" si="7">+D6/(D5*1000)</f>
        <v>15.871131346469298</v>
      </c>
      <c r="E16" s="449">
        <f t="shared" si="7"/>
        <v>17.394256469631838</v>
      </c>
      <c r="F16" s="448">
        <f t="shared" si="7"/>
        <v>21.757631592519139</v>
      </c>
      <c r="G16" s="449" t="e">
        <f>+G6/(G5*1000)</f>
        <v>#DIV/0!</v>
      </c>
      <c r="H16" s="448" t="e">
        <f t="shared" si="7"/>
        <v>#DIV/0!</v>
      </c>
      <c r="I16" s="449" t="e">
        <f>+I6/(I5*1000)</f>
        <v>#DIV/0!</v>
      </c>
      <c r="J16" s="448" t="e">
        <f t="shared" si="7"/>
        <v>#DIV/0!</v>
      </c>
      <c r="K16" s="449" t="e">
        <f t="shared" si="7"/>
        <v>#DIV/0!</v>
      </c>
      <c r="L16" s="448" t="e">
        <f t="shared" si="7"/>
        <v>#DIV/0!</v>
      </c>
      <c r="M16" s="449" t="e">
        <f t="shared" si="7"/>
        <v>#DIV/0!</v>
      </c>
      <c r="N16" s="448" t="e">
        <f t="shared" si="7"/>
        <v>#DIV/0!</v>
      </c>
      <c r="O16" s="449" t="e">
        <f t="shared" si="7"/>
        <v>#DIV/0!</v>
      </c>
      <c r="P16" s="448">
        <f t="shared" si="7"/>
        <v>18.470949432672334</v>
      </c>
      <c r="R16" s="435"/>
      <c r="S16" s="435"/>
      <c r="T16" s="435"/>
      <c r="W16" s="444"/>
      <c r="X16" s="444"/>
    </row>
    <row r="17" spans="3:24" s="436" customFormat="1" x14ac:dyDescent="0.3">
      <c r="C17" s="431" t="s">
        <v>8</v>
      </c>
      <c r="D17" s="448">
        <f t="shared" ref="D17:P17" si="8">+D7/(D5*1000)</f>
        <v>13.58125160576296</v>
      </c>
      <c r="E17" s="449">
        <f t="shared" si="8"/>
        <v>14.908372030004804</v>
      </c>
      <c r="F17" s="448">
        <f t="shared" si="8"/>
        <v>19.57873515525737</v>
      </c>
      <c r="G17" s="449" t="e">
        <f t="shared" si="8"/>
        <v>#DIV/0!</v>
      </c>
      <c r="H17" s="448" t="e">
        <f t="shared" si="8"/>
        <v>#DIV/0!</v>
      </c>
      <c r="I17" s="449" t="e">
        <f t="shared" si="8"/>
        <v>#DIV/0!</v>
      </c>
      <c r="J17" s="448" t="e">
        <f t="shared" si="8"/>
        <v>#DIV/0!</v>
      </c>
      <c r="K17" s="449" t="e">
        <f t="shared" si="8"/>
        <v>#DIV/0!</v>
      </c>
      <c r="L17" s="448" t="e">
        <f t="shared" si="8"/>
        <v>#DIV/0!</v>
      </c>
      <c r="M17" s="449" t="e">
        <f t="shared" si="8"/>
        <v>#DIV/0!</v>
      </c>
      <c r="N17" s="448" t="e">
        <f t="shared" si="8"/>
        <v>#DIV/0!</v>
      </c>
      <c r="O17" s="449" t="e">
        <f t="shared" si="8"/>
        <v>#DIV/0!</v>
      </c>
      <c r="P17" s="448">
        <f t="shared" si="8"/>
        <v>16.166963348158763</v>
      </c>
      <c r="R17" s="435"/>
      <c r="S17" s="435"/>
      <c r="T17" s="435"/>
    </row>
    <row r="18" spans="3:24" s="436" customFormat="1" x14ac:dyDescent="0.3">
      <c r="C18" s="431" t="s">
        <v>9</v>
      </c>
      <c r="D18" s="450">
        <f t="shared" ref="D18:P18" si="9">D10/(D5*1000)</f>
        <v>0</v>
      </c>
      <c r="E18" s="449">
        <f t="shared" si="9"/>
        <v>0</v>
      </c>
      <c r="F18" s="451">
        <f t="shared" si="9"/>
        <v>0</v>
      </c>
      <c r="G18" s="449" t="e">
        <f t="shared" si="9"/>
        <v>#DIV/0!</v>
      </c>
      <c r="H18" s="448" t="e">
        <f t="shared" si="9"/>
        <v>#DIV/0!</v>
      </c>
      <c r="I18" s="449" t="e">
        <f t="shared" si="9"/>
        <v>#DIV/0!</v>
      </c>
      <c r="J18" s="448" t="e">
        <f t="shared" si="9"/>
        <v>#DIV/0!</v>
      </c>
      <c r="K18" s="449" t="e">
        <f t="shared" si="9"/>
        <v>#DIV/0!</v>
      </c>
      <c r="L18" s="448" t="e">
        <f t="shared" si="9"/>
        <v>#DIV/0!</v>
      </c>
      <c r="M18" s="449" t="e">
        <f t="shared" si="9"/>
        <v>#DIV/0!</v>
      </c>
      <c r="N18" s="448" t="e">
        <f t="shared" si="9"/>
        <v>#DIV/0!</v>
      </c>
      <c r="O18" s="449" t="e">
        <f t="shared" si="9"/>
        <v>#DIV/0!</v>
      </c>
      <c r="P18" s="448">
        <f t="shared" si="9"/>
        <v>0</v>
      </c>
      <c r="Q18" s="434"/>
      <c r="R18" s="435"/>
      <c r="S18" s="435"/>
      <c r="T18" s="435"/>
    </row>
    <row r="19" spans="3:24" x14ac:dyDescent="0.3">
      <c r="C19" s="425" t="s">
        <v>10</v>
      </c>
      <c r="D19" s="452" cm="1">
        <f t="array" ref="D19">IFERROR(ROWS(_xlfn.UNIQUE(_xlfn._xlws.FILTER(Details!$AO$5:$AO$243, (Details!$C$5:$C$243)=Enterprise!D$2))),0)</f>
        <v>65</v>
      </c>
      <c r="E19" s="452" cm="1">
        <f t="array" ref="E19">IFERROR(ROWS(_xlfn.UNIQUE(_xlfn._xlws.FILTER(Details!$AO$5:$AO$243, (Details!$C$5:$C$243)=Enterprise!E$2))),0)</f>
        <v>46</v>
      </c>
      <c r="F19" s="452" cm="1">
        <f t="array" ref="F19">IFERROR(ROWS(_xlfn.UNIQUE(_xlfn._xlws.FILTER(Details!$AO$5:$AO$243, (Details!$C$5:$C$243)=Enterprise!F$2))),0)</f>
        <v>56</v>
      </c>
      <c r="G19" s="452" cm="1">
        <f t="array" ref="G19">IFERROR(ROWS(_xlfn.UNIQUE(_xlfn._xlws.FILTER(Details!$AO$5:$AO$243, (Details!$C$5:$C$243)=Enterprise!G$2))),0)</f>
        <v>0</v>
      </c>
      <c r="H19" s="452" cm="1">
        <f t="array" ref="H19">IFERROR(ROWS(_xlfn.UNIQUE(_xlfn._xlws.FILTER(Details!$AO$5:$AO$243, (Details!$C$5:$C$243)=Enterprise!H$2))),0)</f>
        <v>0</v>
      </c>
      <c r="I19" s="452" cm="1">
        <f t="array" ref="I19">IFERROR(ROWS(_xlfn.UNIQUE(_xlfn._xlws.FILTER(Details!$AO$5:$AO$243, (Details!$C$5:$C$243)=Enterprise!I$2))),0)</f>
        <v>0</v>
      </c>
      <c r="J19" s="452" cm="1">
        <f t="array" ref="J19">IFERROR(ROWS(_xlfn.UNIQUE(_xlfn._xlws.FILTER(Details!$AO$5:$AO$243, (Details!$C$5:$C$243)=Enterprise!J$2))),0)</f>
        <v>0</v>
      </c>
      <c r="K19" s="452" cm="1">
        <f t="array" ref="K19">IFERROR(ROWS(_xlfn.UNIQUE(_xlfn._xlws.FILTER(Details!$AO$5:$AO$243, (Details!$C$5:$C$243)=Enterprise!K$2))),0)</f>
        <v>0</v>
      </c>
      <c r="L19" s="452" cm="1">
        <f t="array" ref="L19">IFERROR(ROWS(_xlfn.UNIQUE(_xlfn._xlws.FILTER(Details!$AO$5:$AO$243, (Details!$C$5:$C$243)=Enterprise!L$2))),0)</f>
        <v>0</v>
      </c>
      <c r="M19" s="452" cm="1">
        <f t="array" ref="M19">IFERROR(ROWS(_xlfn.UNIQUE(_xlfn._xlws.FILTER(Details!$AO$5:$AO$243, (Details!$C$5:$C$243)=Enterprise!M$2))),0)</f>
        <v>0</v>
      </c>
      <c r="N19" s="452" cm="1">
        <f t="array" ref="N19">IFERROR(ROWS(_xlfn.UNIQUE(_xlfn._xlws.FILTER(Details!$AO$5:$AO$243, (Details!$C$5:$C$243)=Enterprise!N$2))),0)</f>
        <v>0</v>
      </c>
      <c r="O19" s="452" cm="1">
        <f t="array" ref="O19">IFERROR(ROWS(_xlfn.UNIQUE(_xlfn._xlws.FILTER(Details!$AO$5:$AO$243, (Details!$C$5:$C$243)=Enterprise!O$2))),0)</f>
        <v>0</v>
      </c>
      <c r="P19" s="426">
        <f>SUM(D19:O19)</f>
        <v>167</v>
      </c>
      <c r="W19" s="436"/>
      <c r="X19" s="436"/>
    </row>
    <row r="20" spans="3:24" x14ac:dyDescent="0.3">
      <c r="C20" s="425" t="s">
        <v>11</v>
      </c>
      <c r="D20" s="452" cm="1">
        <f t="array" ref="D20">IFERROR(ROWS(_xlfn.UNIQUE(_xlfn._xlws.FILTER(MID(Details!$G$5:$G$243,3,10), (Details!$C$5:$C$243)=Enterprise!D$2))),0)</f>
        <v>1</v>
      </c>
      <c r="E20" s="452" cm="1">
        <f t="array" ref="E20">IFERROR(ROWS(_xlfn.UNIQUE(_xlfn._xlws.FILTER(MID(Details!$G$5:$G$243,3,10), (Details!$C$5:$C$243)=Enterprise!E$2))),0)</f>
        <v>2</v>
      </c>
      <c r="F20" s="452" cm="1">
        <f t="array" ref="F20">IFERROR(ROWS(_xlfn.UNIQUE(_xlfn._xlws.FILTER(MID(Details!$G$5:$G$243,3,10), (Details!$C$5:$C$243)=Enterprise!F$2))),0)</f>
        <v>3</v>
      </c>
      <c r="G20" s="452" cm="1">
        <f t="array" ref="G20">IFERROR(ROWS(_xlfn.UNIQUE(_xlfn._xlws.FILTER(MID(Details!$G$5:$G$243,3,10), (Details!$C$5:$C$243)=Enterprise!G$2))),0)</f>
        <v>0</v>
      </c>
      <c r="H20" s="452" cm="1">
        <f t="array" ref="H20">IFERROR(ROWS(_xlfn.UNIQUE(_xlfn._xlws.FILTER(MID(Details!$G$5:$G$243,3,10), (Details!$C$5:$C$243)=Enterprise!H$2))),0)</f>
        <v>0</v>
      </c>
      <c r="I20" s="452" cm="1">
        <f t="array" ref="I20">IFERROR(ROWS(_xlfn.UNIQUE(_xlfn._xlws.FILTER(MID(Details!$G$5:$G$243,3,10), (Details!$C$5:$C$243)=Enterprise!I$2))),0)</f>
        <v>0</v>
      </c>
      <c r="J20" s="452" cm="1">
        <f t="array" ref="J20">IFERROR(ROWS(_xlfn.UNIQUE(_xlfn._xlws.FILTER(MID(Details!$G$5:$G$243,3,10), (Details!$C$5:$C$243)=Enterprise!J$2))),0)</f>
        <v>0</v>
      </c>
      <c r="K20" s="452" cm="1">
        <f t="array" ref="K20">IFERROR(ROWS(_xlfn.UNIQUE(_xlfn._xlws.FILTER(MID(Details!$G$5:$G$243,3,10), (Details!$C$5:$C$243)=Enterprise!K$2))),0)</f>
        <v>0</v>
      </c>
      <c r="L20" s="452" cm="1">
        <f t="array" ref="L20">IFERROR(ROWS(_xlfn.UNIQUE(_xlfn._xlws.FILTER(MID(Details!$G$5:$G$243,3,10), (Details!$C$5:$C$243)=Enterprise!L$2))),0)</f>
        <v>0</v>
      </c>
      <c r="M20" s="452" cm="1">
        <f t="array" ref="M20">IFERROR(ROWS(_xlfn.UNIQUE(_xlfn._xlws.FILTER(MID(Details!$G$5:$G$243,3,10), (Details!$C$5:$C$243)=Enterprise!M$2))),0)</f>
        <v>0</v>
      </c>
      <c r="N20" s="452" cm="1">
        <f t="array" ref="N20">IFERROR(ROWS(_xlfn.UNIQUE(_xlfn._xlws.FILTER(MID(Details!$G$5:$G$243,3,10), (Details!$C$5:$C$243)=Enterprise!N$2))),0)</f>
        <v>0</v>
      </c>
      <c r="O20" s="452" cm="1">
        <f t="array" ref="O20">IFERROR(ROWS(_xlfn.UNIQUE(_xlfn._xlws.FILTER(MID(Details!$G$5:$G$243,3,10), (Details!$C$5:$C$243)=Enterprise!O$2))),0)</f>
        <v>0</v>
      </c>
      <c r="P20" s="426">
        <f ca="1">'AP &amp; AR'!B2</f>
        <v>23</v>
      </c>
      <c r="W20" s="436"/>
      <c r="X20" s="436"/>
    </row>
    <row r="21" spans="3:24" x14ac:dyDescent="0.3">
      <c r="C21" s="425" t="s">
        <v>12</v>
      </c>
      <c r="D21" s="452" cm="1">
        <f t="array" ref="D21">IFERROR(ROWS(_xlfn.UNIQUE(_xlfn._xlws.FILTER(MID(Details!$AR$5:$AR$243,3,10), (Details!$C$5:$C$243)=Enterprise!D$2))),0)</f>
        <v>5</v>
      </c>
      <c r="E21" s="452" cm="1">
        <f t="array" ref="E21">IFERROR(ROWS(_xlfn.UNIQUE(_xlfn._xlws.FILTER(MID(Details!$AR$5:$AR$243,3,10), (Details!$C$5:$C$243)=Enterprise!E$2))),0)</f>
        <v>3</v>
      </c>
      <c r="F21" s="452" cm="1">
        <f t="array" ref="F21">IFERROR(ROWS(_xlfn.UNIQUE(_xlfn._xlws.FILTER(MID(Details!$AR$5:$AR$243,3,10), (Details!$C$5:$C$243)=Enterprise!F$2))),0)</f>
        <v>4</v>
      </c>
      <c r="G21" s="452" cm="1">
        <f t="array" ref="G21">IFERROR(ROWS(_xlfn.UNIQUE(_xlfn._xlws.FILTER(MID(Details!$AR$5:$AR$243,3,10), (Details!$C$5:$C$243)=Enterprise!G$2))),0)</f>
        <v>0</v>
      </c>
      <c r="H21" s="452" cm="1">
        <f t="array" ref="H21">IFERROR(ROWS(_xlfn.UNIQUE(_xlfn._xlws.FILTER(MID(Details!$AR$5:$AR$243,3,10), (Details!$C$5:$C$243)=Enterprise!H$2))),0)</f>
        <v>0</v>
      </c>
      <c r="I21" s="452" cm="1">
        <f t="array" ref="I21">IFERROR(ROWS(_xlfn.UNIQUE(_xlfn._xlws.FILTER(MID(Details!$AR$5:$AR$243,3,10), (Details!$C$5:$C$243)=Enterprise!I$2))),0)</f>
        <v>0</v>
      </c>
      <c r="J21" s="452" cm="1">
        <f t="array" ref="J21">IFERROR(ROWS(_xlfn.UNIQUE(_xlfn._xlws.FILTER(MID(Details!$AR$5:$AR$243,3,10), (Details!$C$5:$C$243)=Enterprise!J$2))),0)</f>
        <v>0</v>
      </c>
      <c r="K21" s="452" cm="1">
        <f t="array" ref="K21">IFERROR(ROWS(_xlfn.UNIQUE(_xlfn._xlws.FILTER(MID(Details!$AR$5:$AR$243,3,10), (Details!$C$5:$C$243)=Enterprise!K$2))),0)</f>
        <v>0</v>
      </c>
      <c r="L21" s="452" cm="1">
        <f t="array" ref="L21">IFERROR(ROWS(_xlfn.UNIQUE(_xlfn._xlws.FILTER(MID(Details!$AR$5:$AR$243,3,10), (Details!$C$5:$C$243)=Enterprise!L$2))),0)</f>
        <v>0</v>
      </c>
      <c r="M21" s="452" cm="1">
        <f t="array" ref="M21">IFERROR(ROWS(_xlfn.UNIQUE(_xlfn._xlws.FILTER(MID(Details!$AR$5:$AR$243,3,10), (Details!$C$5:$C$243)=Enterprise!M$2))),0)</f>
        <v>0</v>
      </c>
      <c r="N21" s="452" cm="1">
        <f t="array" ref="N21">IFERROR(ROWS(_xlfn.UNIQUE(_xlfn._xlws.FILTER(MID(Details!$AR$5:$AR$243,3,10), (Details!$C$5:$C$243)=Enterprise!N$2))),0)</f>
        <v>0</v>
      </c>
      <c r="O21" s="452" cm="1">
        <f t="array" ref="O21">IFERROR(ROWS(_xlfn.UNIQUE(_xlfn._xlws.FILTER(MID(Details!$AR$5:$AR$243,3,10), (Details!$C$5:$C$243)=Enterprise!O$2))),0)</f>
        <v>0</v>
      </c>
      <c r="P21" s="426">
        <f>'AP &amp; AR'!G2</f>
        <v>7</v>
      </c>
      <c r="W21" s="436"/>
    </row>
    <row r="22" spans="3:24" x14ac:dyDescent="0.3">
      <c r="C22" s="425" t="s">
        <v>13</v>
      </c>
      <c r="D22" s="453">
        <v>0</v>
      </c>
      <c r="E22" s="454">
        <v>0</v>
      </c>
      <c r="F22" s="453">
        <v>0</v>
      </c>
      <c r="G22" s="454">
        <v>0</v>
      </c>
      <c r="H22" s="453">
        <v>0</v>
      </c>
      <c r="I22" s="454">
        <v>0</v>
      </c>
      <c r="J22" s="453">
        <v>0</v>
      </c>
      <c r="K22" s="454">
        <v>0</v>
      </c>
      <c r="L22" s="453">
        <v>0</v>
      </c>
      <c r="M22" s="454">
        <v>0</v>
      </c>
      <c r="N22" s="453">
        <v>0</v>
      </c>
      <c r="O22" s="454">
        <v>0</v>
      </c>
      <c r="P22" s="426">
        <f>SUM(D22:O22)</f>
        <v>0</v>
      </c>
      <c r="Q22" s="415"/>
      <c r="U22" s="418"/>
      <c r="V22" s="418"/>
      <c r="W22" s="436"/>
    </row>
    <row r="23" spans="3:24" x14ac:dyDescent="0.3">
      <c r="C23" s="425" t="s">
        <v>5</v>
      </c>
      <c r="D23" s="453">
        <v>2546226.9800000004</v>
      </c>
      <c r="E23" s="453">
        <v>2029170</v>
      </c>
      <c r="F23" s="453">
        <v>1674994.1099999999</v>
      </c>
      <c r="G23" s="453"/>
      <c r="H23" s="453"/>
      <c r="I23" s="453"/>
      <c r="J23" s="453"/>
      <c r="K23" s="454"/>
      <c r="L23" s="453"/>
      <c r="M23" s="454"/>
      <c r="N23" s="453"/>
      <c r="O23" s="454"/>
      <c r="P23" s="453">
        <f>F23</f>
        <v>1674994.1099999999</v>
      </c>
      <c r="W23" s="436"/>
    </row>
    <row r="24" spans="3:24" ht="16.2" thickBot="1" x14ac:dyDescent="0.35">
      <c r="C24" s="455" t="s">
        <v>6</v>
      </c>
      <c r="D24" s="456">
        <f t="shared" ref="D24:O24" si="10">IFERROR(((D23/(D6*1.18))*D3),0)</f>
        <v>20.152389665787009</v>
      </c>
      <c r="E24" s="456">
        <f t="shared" si="10"/>
        <v>18.874513260395844</v>
      </c>
      <c r="F24" s="456">
        <f t="shared" si="10"/>
        <v>9.1763164571581761</v>
      </c>
      <c r="G24" s="456">
        <f t="shared" si="10"/>
        <v>0</v>
      </c>
      <c r="H24" s="456">
        <f t="shared" si="10"/>
        <v>0</v>
      </c>
      <c r="I24" s="456">
        <f t="shared" si="10"/>
        <v>0</v>
      </c>
      <c r="J24" s="456">
        <f t="shared" si="10"/>
        <v>0</v>
      </c>
      <c r="K24" s="456">
        <f t="shared" si="10"/>
        <v>0</v>
      </c>
      <c r="L24" s="456">
        <f t="shared" si="10"/>
        <v>0</v>
      </c>
      <c r="M24" s="456">
        <f t="shared" si="10"/>
        <v>0</v>
      </c>
      <c r="N24" s="456">
        <f t="shared" si="10"/>
        <v>0</v>
      </c>
      <c r="O24" s="456">
        <f t="shared" si="10"/>
        <v>0</v>
      </c>
      <c r="P24" s="457">
        <f>IFERROR(((P23)/(P6*1.18)*P3),0)</f>
        <v>12.097894140794374</v>
      </c>
      <c r="W24" s="436"/>
    </row>
    <row r="25" spans="3:24" x14ac:dyDescent="0.3">
      <c r="C25" s="425" t="s">
        <v>1365</v>
      </c>
      <c r="D25" s="485">
        <v>0</v>
      </c>
      <c r="E25" s="485">
        <v>0</v>
      </c>
      <c r="F25" s="485">
        <v>0</v>
      </c>
      <c r="G25" s="485">
        <v>0</v>
      </c>
      <c r="H25" s="485">
        <v>0</v>
      </c>
      <c r="I25" s="485">
        <v>0</v>
      </c>
      <c r="J25" s="485">
        <v>0</v>
      </c>
      <c r="K25" s="485">
        <v>0</v>
      </c>
      <c r="L25" s="485">
        <v>0</v>
      </c>
      <c r="M25" s="485">
        <v>0</v>
      </c>
      <c r="N25" s="485">
        <v>0</v>
      </c>
      <c r="O25" s="485">
        <v>0</v>
      </c>
      <c r="P25" s="428">
        <f>SUM(D25:O25)</f>
        <v>0</v>
      </c>
      <c r="W25" s="436"/>
    </row>
    <row r="26" spans="3:24" x14ac:dyDescent="0.3">
      <c r="C26" s="425" t="s">
        <v>535</v>
      </c>
      <c r="D26" s="485">
        <v>0</v>
      </c>
      <c r="E26" s="485">
        <v>0</v>
      </c>
      <c r="F26" s="485">
        <v>0</v>
      </c>
      <c r="G26" s="485">
        <v>0</v>
      </c>
      <c r="H26" s="485">
        <v>0</v>
      </c>
      <c r="I26" s="485">
        <v>0</v>
      </c>
      <c r="J26" s="485">
        <v>0</v>
      </c>
      <c r="K26" s="485">
        <v>0</v>
      </c>
      <c r="L26" s="485">
        <v>0</v>
      </c>
      <c r="M26" s="485">
        <v>0</v>
      </c>
      <c r="N26" s="485">
        <v>0</v>
      </c>
      <c r="O26" s="485">
        <v>0</v>
      </c>
      <c r="P26" s="428">
        <f>SUM(D26:O26)</f>
        <v>0</v>
      </c>
      <c r="W26" s="436"/>
    </row>
    <row r="27" spans="3:24" x14ac:dyDescent="0.3">
      <c r="C27" s="425" t="s">
        <v>536</v>
      </c>
      <c r="D27" s="485">
        <v>0</v>
      </c>
      <c r="E27" s="485">
        <v>0</v>
      </c>
      <c r="F27" s="485">
        <v>0</v>
      </c>
      <c r="G27" s="485">
        <v>0</v>
      </c>
      <c r="H27" s="485">
        <v>0</v>
      </c>
      <c r="I27" s="485">
        <v>0</v>
      </c>
      <c r="J27" s="485">
        <v>0</v>
      </c>
      <c r="K27" s="485">
        <v>0</v>
      </c>
      <c r="L27" s="485">
        <v>0</v>
      </c>
      <c r="M27" s="485">
        <v>0</v>
      </c>
      <c r="N27" s="485">
        <v>0</v>
      </c>
      <c r="O27" s="485">
        <v>0</v>
      </c>
      <c r="P27" s="428">
        <f>SUM(D27:O27)</f>
        <v>0</v>
      </c>
      <c r="W27" s="436"/>
    </row>
    <row r="28" spans="3:24" x14ac:dyDescent="0.3">
      <c r="C28" s="425" t="s">
        <v>2900</v>
      </c>
      <c r="D28" s="262">
        <f>D12-D27</f>
        <v>214009.43000000002</v>
      </c>
      <c r="E28" s="262">
        <f t="shared" ref="E28:N28" si="11">E12-E27</f>
        <v>203517.04500000001</v>
      </c>
      <c r="F28" s="262">
        <f t="shared" si="11"/>
        <v>127962.52499999991</v>
      </c>
      <c r="G28" s="262">
        <f t="shared" si="11"/>
        <v>0</v>
      </c>
      <c r="H28" s="262">
        <f t="shared" si="11"/>
        <v>0</v>
      </c>
      <c r="I28" s="262">
        <f t="shared" si="11"/>
        <v>0</v>
      </c>
      <c r="J28" s="262">
        <f t="shared" si="11"/>
        <v>0</v>
      </c>
      <c r="K28" s="262">
        <f t="shared" si="11"/>
        <v>0</v>
      </c>
      <c r="L28" s="262">
        <f t="shared" si="11"/>
        <v>0</v>
      </c>
      <c r="M28" s="262">
        <f t="shared" si="11"/>
        <v>0</v>
      </c>
      <c r="N28" s="262">
        <f t="shared" si="11"/>
        <v>0</v>
      </c>
      <c r="O28" s="262">
        <f>O12-O27</f>
        <v>0</v>
      </c>
      <c r="P28" s="262">
        <f>P12-P27</f>
        <v>545489</v>
      </c>
      <c r="W28" s="436"/>
    </row>
    <row r="29" spans="3:24" ht="16.2" thickBot="1" x14ac:dyDescent="0.35">
      <c r="C29" s="455" t="s">
        <v>2785</v>
      </c>
      <c r="D29" s="478">
        <f t="shared" ref="D29:P29" si="12">D28/D6</f>
        <v>6.662283347189131E-2</v>
      </c>
      <c r="E29" s="478">
        <f t="shared" si="12"/>
        <v>7.2057373755255588E-2</v>
      </c>
      <c r="F29" s="478">
        <f t="shared" si="12"/>
        <v>2.7573928929363545E-2</v>
      </c>
      <c r="G29" s="478" t="e">
        <f t="shared" si="12"/>
        <v>#DIV/0!</v>
      </c>
      <c r="H29" s="478" t="e">
        <f t="shared" si="12"/>
        <v>#DIV/0!</v>
      </c>
      <c r="I29" s="478" t="e">
        <f t="shared" si="12"/>
        <v>#DIV/0!</v>
      </c>
      <c r="J29" s="478" t="e">
        <f t="shared" si="12"/>
        <v>#DIV/0!</v>
      </c>
      <c r="K29" s="478" t="e">
        <f t="shared" si="12"/>
        <v>#DIV/0!</v>
      </c>
      <c r="L29" s="478" t="e">
        <f t="shared" si="12"/>
        <v>#DIV/0!</v>
      </c>
      <c r="M29" s="478" t="e">
        <f t="shared" si="12"/>
        <v>#DIV/0!</v>
      </c>
      <c r="N29" s="478" t="e">
        <f t="shared" si="12"/>
        <v>#DIV/0!</v>
      </c>
      <c r="O29" s="478" t="e">
        <f t="shared" si="12"/>
        <v>#DIV/0!</v>
      </c>
      <c r="P29" s="478">
        <f t="shared" si="12"/>
        <v>5.1088494877771708E-2</v>
      </c>
      <c r="W29" s="436"/>
    </row>
    <row r="30" spans="3:24" x14ac:dyDescent="0.3">
      <c r="D30" s="415"/>
      <c r="E30" s="415"/>
      <c r="W30" s="436"/>
    </row>
    <row r="31" spans="3:24" x14ac:dyDescent="0.3">
      <c r="D31" s="415"/>
      <c r="E31" s="415"/>
      <c r="W31" s="436"/>
    </row>
    <row r="32" spans="3:24" x14ac:dyDescent="0.3">
      <c r="D32" s="415"/>
      <c r="E32" s="415"/>
      <c r="W32" s="436"/>
    </row>
    <row r="33" spans="4:23" x14ac:dyDescent="0.3">
      <c r="D33" s="415"/>
      <c r="E33" s="415"/>
      <c r="W33" s="436"/>
    </row>
    <row r="34" spans="4:23" x14ac:dyDescent="0.3">
      <c r="D34" s="415"/>
      <c r="E34" s="415"/>
      <c r="W34" s="436"/>
    </row>
    <row r="35" spans="4:23" x14ac:dyDescent="0.3">
      <c r="D35" s="415"/>
      <c r="E35" s="415"/>
      <c r="W35" s="436"/>
    </row>
    <row r="36" spans="4:23" x14ac:dyDescent="0.3">
      <c r="D36" s="415"/>
      <c r="E36" s="415"/>
      <c r="W36" s="436"/>
    </row>
    <row r="37" spans="4:23" x14ac:dyDescent="0.3">
      <c r="D37" s="415"/>
      <c r="E37" s="415"/>
    </row>
    <row r="38" spans="4:23" x14ac:dyDescent="0.3">
      <c r="D38" s="415"/>
      <c r="E38" s="415"/>
    </row>
    <row r="39" spans="4:23" x14ac:dyDescent="0.3">
      <c r="D39" s="415"/>
      <c r="E39" s="415"/>
    </row>
    <row r="40" spans="4:23" x14ac:dyDescent="0.3">
      <c r="D40" s="415"/>
      <c r="E40" s="415"/>
    </row>
    <row r="41" spans="4:23" x14ac:dyDescent="0.3">
      <c r="D41" s="415"/>
      <c r="E41" s="415"/>
    </row>
    <row r="42" spans="4:23" x14ac:dyDescent="0.3">
      <c r="D42" s="415"/>
      <c r="E42" s="415"/>
    </row>
    <row r="43" spans="4:23" x14ac:dyDescent="0.3">
      <c r="D43" s="415"/>
      <c r="E43" s="415"/>
    </row>
    <row r="44" spans="4:23" x14ac:dyDescent="0.3">
      <c r="D44" s="415"/>
      <c r="E44" s="415"/>
    </row>
    <row r="45" spans="4:23" x14ac:dyDescent="0.3">
      <c r="D45" s="415"/>
      <c r="E45" s="415"/>
    </row>
    <row r="46" spans="4:23" x14ac:dyDescent="0.3">
      <c r="D46" s="415"/>
      <c r="E46" s="415"/>
    </row>
    <row r="47" spans="4:23" x14ac:dyDescent="0.3">
      <c r="D47" s="415"/>
      <c r="E47" s="415"/>
    </row>
    <row r="48" spans="4:23" x14ac:dyDescent="0.3">
      <c r="D48" s="415"/>
      <c r="E48" s="415"/>
    </row>
  </sheetData>
  <phoneticPr fontId="1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7832-9597-4FCD-B8CC-C3D6EB75CBF9}">
  <sheetPr codeName="Sheet10"/>
  <dimension ref="B3:O28"/>
  <sheetViews>
    <sheetView showGridLines="0" workbookViewId="0">
      <selection activeCell="C5" sqref="C5"/>
    </sheetView>
  </sheetViews>
  <sheetFormatPr defaultColWidth="8.77734375" defaultRowHeight="12" x14ac:dyDescent="0.25"/>
  <cols>
    <col min="1" max="1" width="8.77734375" style="256"/>
    <col min="2" max="2" width="24.77734375" style="256" bestFit="1" customWidth="1"/>
    <col min="3" max="5" width="8.21875" style="256" bestFit="1" customWidth="1"/>
    <col min="6" max="6" width="4.77734375" style="256" hidden="1" customWidth="1"/>
    <col min="7" max="7" width="5.77734375" style="256" hidden="1" customWidth="1"/>
    <col min="8" max="8" width="5.5546875" style="256" hidden="1" customWidth="1"/>
    <col min="9" max="9" width="5.33203125" style="256" hidden="1" customWidth="1"/>
    <col min="10" max="10" width="5.77734375" style="256" hidden="1" customWidth="1"/>
    <col min="11" max="11" width="5.5546875" style="256" hidden="1" customWidth="1"/>
    <col min="12" max="12" width="5.21875" style="256" hidden="1" customWidth="1"/>
    <col min="13" max="13" width="5.44140625" style="256" hidden="1" customWidth="1"/>
    <col min="14" max="14" width="5.77734375" style="256" hidden="1" customWidth="1"/>
    <col min="15" max="15" width="9.21875" style="256" bestFit="1" customWidth="1"/>
    <col min="16" max="16384" width="8.77734375" style="256"/>
  </cols>
  <sheetData>
    <row r="3" spans="2:15" ht="12.6" thickBot="1" x14ac:dyDescent="0.3">
      <c r="C3" s="256">
        <f>Enterprise!D3</f>
        <v>30</v>
      </c>
      <c r="D3" s="256">
        <v>31</v>
      </c>
      <c r="E3" s="256">
        <f>Enterprise!F3</f>
        <v>30</v>
      </c>
      <c r="F3" s="256">
        <f>Enterprise!G3</f>
        <v>0</v>
      </c>
      <c r="G3" s="256">
        <f>Enterprise!H3</f>
        <v>0</v>
      </c>
      <c r="H3" s="256">
        <f>Enterprise!I3</f>
        <v>0</v>
      </c>
      <c r="I3" s="256">
        <f>Enterprise!J3</f>
        <v>0</v>
      </c>
      <c r="J3" s="256">
        <f>Enterprise!K3</f>
        <v>0</v>
      </c>
      <c r="K3" s="256">
        <f>Enterprise!L3</f>
        <v>0</v>
      </c>
      <c r="L3" s="256">
        <f>Enterprise!M3</f>
        <v>0</v>
      </c>
      <c r="M3" s="256">
        <f>Enterprise!N3</f>
        <v>0</v>
      </c>
      <c r="N3" s="256">
        <f>Enterprise!O3</f>
        <v>0</v>
      </c>
      <c r="O3" s="256">
        <f>SUM(C3:N3)</f>
        <v>91</v>
      </c>
    </row>
    <row r="4" spans="2:15" x14ac:dyDescent="0.25">
      <c r="B4" s="254" t="s">
        <v>3633</v>
      </c>
      <c r="C4" s="554">
        <v>46113</v>
      </c>
      <c r="D4" s="554">
        <v>46143</v>
      </c>
      <c r="E4" s="554">
        <v>46174</v>
      </c>
      <c r="F4" s="554">
        <v>46204</v>
      </c>
      <c r="G4" s="554">
        <v>46235</v>
      </c>
      <c r="H4" s="554">
        <v>46266</v>
      </c>
      <c r="I4" s="554">
        <v>46296</v>
      </c>
      <c r="J4" s="554">
        <v>46327</v>
      </c>
      <c r="K4" s="554">
        <v>46357</v>
      </c>
      <c r="L4" s="554">
        <v>46388</v>
      </c>
      <c r="M4" s="554">
        <v>46419</v>
      </c>
      <c r="N4" s="554">
        <v>46447</v>
      </c>
      <c r="O4" s="554" t="s">
        <v>3085</v>
      </c>
    </row>
    <row r="5" spans="2:15" x14ac:dyDescent="0.25">
      <c r="B5" s="465" t="s">
        <v>0</v>
      </c>
      <c r="C5" s="258">
        <f>Enterprise!D5+'Processing Centre'!AA5</f>
        <v>217.21299999999999</v>
      </c>
      <c r="D5" s="258">
        <f>Enterprise!E5+'Processing Centre'!AB5</f>
        <v>319.47399999999999</v>
      </c>
      <c r="E5" s="258">
        <f>Enterprise!F5+'Processing Centre'!AC5</f>
        <v>267.05599999999998</v>
      </c>
      <c r="F5" s="258"/>
      <c r="G5" s="258"/>
      <c r="H5" s="258"/>
      <c r="I5" s="258"/>
      <c r="J5" s="258"/>
      <c r="K5" s="258"/>
      <c r="L5" s="258"/>
      <c r="M5" s="258"/>
      <c r="N5" s="258"/>
      <c r="O5" s="258">
        <f t="shared" ref="O5:O12" si="0">SUM(C5:N5)</f>
        <v>803.74299999999994</v>
      </c>
    </row>
    <row r="6" spans="2:15" x14ac:dyDescent="0.25">
      <c r="B6" s="465" t="s">
        <v>1</v>
      </c>
      <c r="C6" s="258">
        <f>Enterprise!D6+'Processing Centre'!AA6</f>
        <v>4092280.5</v>
      </c>
      <c r="D6" s="258">
        <f>Enterprise!E6+'Processing Centre'!AB6</f>
        <v>7861789.6699999999</v>
      </c>
      <c r="E6" s="258">
        <f>Enterprise!F6+'Processing Centre'!AC6</f>
        <v>6384823</v>
      </c>
      <c r="F6" s="258"/>
      <c r="G6" s="258"/>
      <c r="H6" s="258"/>
      <c r="I6" s="258"/>
      <c r="J6" s="258"/>
      <c r="K6" s="258"/>
      <c r="L6" s="258"/>
      <c r="M6" s="258"/>
      <c r="N6" s="258"/>
      <c r="O6" s="259">
        <f>SUM(C6:N6)</f>
        <v>18338893.170000002</v>
      </c>
    </row>
    <row r="7" spans="2:15" x14ac:dyDescent="0.25">
      <c r="B7" s="465" t="s">
        <v>2</v>
      </c>
      <c r="C7" s="258">
        <f>Enterprise!D7+'Processing Centre'!AA7</f>
        <v>3558699.2073543156</v>
      </c>
      <c r="D7" s="258">
        <f>Enterprise!E7+'Processing Centre'!AB7</f>
        <v>7174755.9199999999</v>
      </c>
      <c r="E7" s="258">
        <f>Enterprise!F7+'Processing Centre'!AC7</f>
        <v>5652950.8799999999</v>
      </c>
      <c r="F7" s="258"/>
      <c r="G7" s="258"/>
      <c r="H7" s="258"/>
      <c r="I7" s="258"/>
      <c r="J7" s="258"/>
      <c r="K7" s="258"/>
      <c r="L7" s="258"/>
      <c r="M7" s="258"/>
      <c r="N7" s="258"/>
      <c r="O7" s="259">
        <f>SUM(C7:N7)</f>
        <v>16386406.007354315</v>
      </c>
    </row>
    <row r="8" spans="2:15" x14ac:dyDescent="0.25">
      <c r="B8" s="466" t="s">
        <v>182</v>
      </c>
      <c r="C8" s="323">
        <f>C6-C7</f>
        <v>533581.29264568444</v>
      </c>
      <c r="D8" s="323">
        <f>D6-D7</f>
        <v>687033.75</v>
      </c>
      <c r="E8" s="323">
        <f>E6-E7</f>
        <v>731872.12000000011</v>
      </c>
      <c r="F8" s="467"/>
      <c r="G8" s="323"/>
      <c r="H8" s="467"/>
      <c r="I8" s="323"/>
      <c r="J8" s="467"/>
      <c r="K8" s="323"/>
      <c r="L8" s="467"/>
      <c r="M8" s="323"/>
      <c r="N8" s="467"/>
      <c r="O8" s="323">
        <f>SUM(C8:N8)</f>
        <v>1952487.1626456846</v>
      </c>
    </row>
    <row r="9" spans="2:15" x14ac:dyDescent="0.25">
      <c r="B9" s="468" t="s">
        <v>473</v>
      </c>
      <c r="C9" s="261">
        <f>IFERROR((C8/C6),0)</f>
        <v>0.13038727248674289</v>
      </c>
      <c r="D9" s="261">
        <f>IFERROR((D8/D6),0)</f>
        <v>8.7388976154077147E-2</v>
      </c>
      <c r="E9" s="261">
        <f>IFERROR((E8/E6),0)</f>
        <v>0.11462684556799775</v>
      </c>
      <c r="F9" s="469"/>
      <c r="G9" s="261"/>
      <c r="H9" s="469"/>
      <c r="I9" s="261"/>
      <c r="J9" s="469"/>
      <c r="K9" s="261"/>
      <c r="L9" s="469"/>
      <c r="M9" s="261"/>
      <c r="N9" s="469"/>
      <c r="O9" s="261">
        <f t="shared" ref="O9" si="1">IFERROR((O8/O6),0)</f>
        <v>0.10646701218804713</v>
      </c>
    </row>
    <row r="10" spans="2:15" x14ac:dyDescent="0.25">
      <c r="B10" s="465" t="s">
        <v>3</v>
      </c>
      <c r="C10" s="258">
        <f>'Processing Centre'!AA10+Enterprise!D10</f>
        <v>0</v>
      </c>
      <c r="D10" s="258">
        <f>'Processing Centre'!AB10+Enterprise!E10</f>
        <v>0</v>
      </c>
      <c r="E10" s="258">
        <f>'Processing Centre'!AC10+Enterprise!F10</f>
        <v>0</v>
      </c>
      <c r="F10" s="258"/>
      <c r="G10" s="258"/>
      <c r="H10" s="258"/>
      <c r="I10" s="258"/>
      <c r="J10" s="258"/>
      <c r="K10" s="258"/>
      <c r="L10" s="258"/>
      <c r="M10" s="258"/>
      <c r="N10" s="258"/>
      <c r="O10" s="258">
        <f t="shared" si="0"/>
        <v>0</v>
      </c>
    </row>
    <row r="11" spans="2:15" x14ac:dyDescent="0.25">
      <c r="B11" s="465" t="s">
        <v>472</v>
      </c>
      <c r="C11" s="258">
        <f>'Processing Centre'!AA11+Enterprise!D11</f>
        <v>653123.06999999995</v>
      </c>
      <c r="D11" s="258">
        <f>'Processing Centre'!AB11+Enterprise!E11</f>
        <v>413045.95499999996</v>
      </c>
      <c r="E11" s="258">
        <f>'Processing Centre'!AC11+Enterprise!F11</f>
        <v>853956.47500000009</v>
      </c>
      <c r="F11" s="258"/>
      <c r="G11" s="258"/>
      <c r="H11" s="258"/>
      <c r="I11" s="258"/>
      <c r="J11" s="258"/>
      <c r="K11" s="258"/>
      <c r="L11" s="258"/>
      <c r="M11" s="258"/>
      <c r="N11" s="258"/>
      <c r="O11" s="258">
        <f>SUM(C11:N11)</f>
        <v>1920125.5</v>
      </c>
    </row>
    <row r="12" spans="2:15" x14ac:dyDescent="0.25">
      <c r="B12" s="466" t="s">
        <v>184</v>
      </c>
      <c r="C12" s="323">
        <f>C6-C7-C10-C11</f>
        <v>-119541.77735431551</v>
      </c>
      <c r="D12" s="323">
        <f>D6-D7-D10-D11</f>
        <v>273987.79500000004</v>
      </c>
      <c r="E12" s="323">
        <f>E6-E7-E10-E11</f>
        <v>-122084.35499999998</v>
      </c>
      <c r="F12" s="323"/>
      <c r="G12" s="323"/>
      <c r="H12" s="323"/>
      <c r="I12" s="323"/>
      <c r="J12" s="323"/>
      <c r="K12" s="323"/>
      <c r="L12" s="323"/>
      <c r="M12" s="323"/>
      <c r="N12" s="323"/>
      <c r="O12" s="323">
        <f t="shared" si="0"/>
        <v>32361.662645684555</v>
      </c>
    </row>
    <row r="13" spans="2:15" x14ac:dyDescent="0.25">
      <c r="B13" s="468" t="s">
        <v>503</v>
      </c>
      <c r="C13" s="306">
        <f>IFERROR((C12/C6),0)</f>
        <v>-2.9211530674477348E-2</v>
      </c>
      <c r="D13" s="306">
        <f>IFERROR((D12/D6),0)</f>
        <v>3.485056284900586E-2</v>
      </c>
      <c r="E13" s="306">
        <f>IFERROR((E12/E6),0)</f>
        <v>-1.9121024185008727E-2</v>
      </c>
      <c r="F13" s="306"/>
      <c r="G13" s="306"/>
      <c r="H13" s="306"/>
      <c r="I13" s="306"/>
      <c r="J13" s="306"/>
      <c r="K13" s="306"/>
      <c r="L13" s="306"/>
      <c r="M13" s="306"/>
      <c r="N13" s="306"/>
      <c r="O13" s="306">
        <f t="shared" ref="O13" si="2">IFERROR((O12/O6),0)</f>
        <v>1.7646464454367369E-3</v>
      </c>
    </row>
    <row r="14" spans="2:15" x14ac:dyDescent="0.25">
      <c r="B14" s="470" t="s">
        <v>2103</v>
      </c>
      <c r="C14" s="258">
        <f>Enterprise!D14+'Processing Centre'!AA14</f>
        <v>0</v>
      </c>
      <c r="D14" s="258">
        <f>Enterprise!E14+'Processing Centre'!AB14</f>
        <v>0</v>
      </c>
      <c r="E14" s="258">
        <f>Enterprise!F14+'Processing Centre'!AC14</f>
        <v>0</v>
      </c>
      <c r="F14" s="258"/>
      <c r="G14" s="258"/>
      <c r="H14" s="258"/>
      <c r="I14" s="258"/>
      <c r="J14" s="258"/>
      <c r="K14" s="258"/>
      <c r="L14" s="258"/>
      <c r="M14" s="258"/>
      <c r="N14" s="258"/>
      <c r="O14" s="258">
        <f>SUM(C14:N14)</f>
        <v>0</v>
      </c>
    </row>
    <row r="15" spans="2:15" x14ac:dyDescent="0.25">
      <c r="B15" s="466" t="s">
        <v>4</v>
      </c>
      <c r="C15" s="328">
        <f>IFERROR((C10/C6),0)</f>
        <v>0</v>
      </c>
      <c r="D15" s="328">
        <f>IFERROR((D10/D6),0)</f>
        <v>0</v>
      </c>
      <c r="E15" s="328">
        <f>IFERROR((E10/E6),0)</f>
        <v>0</v>
      </c>
      <c r="F15" s="471"/>
      <c r="G15" s="328"/>
      <c r="H15" s="471"/>
      <c r="I15" s="328"/>
      <c r="J15" s="471"/>
      <c r="K15" s="328"/>
      <c r="L15" s="471"/>
      <c r="M15" s="328"/>
      <c r="N15" s="471"/>
      <c r="O15" s="328">
        <f t="shared" ref="O15" si="3">IFERROR((O10/O6),0)</f>
        <v>0</v>
      </c>
    </row>
    <row r="16" spans="2:15" x14ac:dyDescent="0.25">
      <c r="B16" s="466" t="s">
        <v>7</v>
      </c>
      <c r="C16" s="329">
        <f>+C6/(C5*1000)</f>
        <v>18.839942821101868</v>
      </c>
      <c r="D16" s="329">
        <f>+D6/(D5*1000)</f>
        <v>24.608543011324866</v>
      </c>
      <c r="E16" s="329">
        <f>+E6/(E5*1000)</f>
        <v>23.908180306752143</v>
      </c>
      <c r="F16" s="472"/>
      <c r="G16" s="329"/>
      <c r="H16" s="472"/>
      <c r="I16" s="329"/>
      <c r="J16" s="472"/>
      <c r="K16" s="329"/>
      <c r="L16" s="472"/>
      <c r="M16" s="329"/>
      <c r="N16" s="472"/>
      <c r="O16" s="329">
        <f t="shared" ref="O16" si="4">+O6/(O5*1000)</f>
        <v>22.816862069094231</v>
      </c>
    </row>
    <row r="17" spans="2:15" x14ac:dyDescent="0.25">
      <c r="B17" s="466" t="s">
        <v>8</v>
      </c>
      <c r="C17" s="329">
        <f>+C7/(C5*1000)</f>
        <v>16.383454062852202</v>
      </c>
      <c r="D17" s="329">
        <f>+D7/(D5*1000)</f>
        <v>22.458027632921613</v>
      </c>
      <c r="E17" s="329">
        <f>+E7/(E5*1000)</f>
        <v>21.16766101491822</v>
      </c>
      <c r="F17" s="472"/>
      <c r="G17" s="329"/>
      <c r="H17" s="472"/>
      <c r="I17" s="329"/>
      <c r="J17" s="472"/>
      <c r="K17" s="329"/>
      <c r="L17" s="472"/>
      <c r="M17" s="329"/>
      <c r="N17" s="472"/>
      <c r="O17" s="329">
        <f t="shared" ref="O17" si="5">+O7/(O5*1000)</f>
        <v>20.387618937090984</v>
      </c>
    </row>
    <row r="18" spans="2:15" x14ac:dyDescent="0.25">
      <c r="B18" s="466" t="s">
        <v>9</v>
      </c>
      <c r="C18" s="473">
        <f>C10/(C5*1000)</f>
        <v>0</v>
      </c>
      <c r="D18" s="473">
        <f>D10/(D5*1000)</f>
        <v>0</v>
      </c>
      <c r="E18" s="473">
        <f>E10/(E5*1000)</f>
        <v>0</v>
      </c>
      <c r="F18" s="472"/>
      <c r="G18" s="329"/>
      <c r="H18" s="472"/>
      <c r="I18" s="329"/>
      <c r="J18" s="472"/>
      <c r="K18" s="329"/>
      <c r="L18" s="472"/>
      <c r="M18" s="329"/>
      <c r="N18" s="472"/>
      <c r="O18" s="329">
        <f t="shared" ref="O18" si="6">O10/(O5*1000)</f>
        <v>0</v>
      </c>
    </row>
    <row r="19" spans="2:15" x14ac:dyDescent="0.25">
      <c r="B19" s="465" t="s">
        <v>10</v>
      </c>
      <c r="C19" s="258">
        <f>'Processing Centre'!AA19+Enterprise!D19</f>
        <v>69</v>
      </c>
      <c r="D19" s="258">
        <f>'Processing Centre'!AB19+Enterprise!E19</f>
        <v>49</v>
      </c>
      <c r="E19" s="258">
        <f>'Processing Centre'!AC19+Enterprise!F19</f>
        <v>56</v>
      </c>
      <c r="F19" s="258"/>
      <c r="G19" s="258"/>
      <c r="H19" s="258"/>
      <c r="I19" s="258"/>
      <c r="J19" s="258"/>
      <c r="K19" s="258"/>
      <c r="L19" s="258"/>
      <c r="M19" s="258"/>
      <c r="N19" s="258"/>
      <c r="O19" s="258">
        <f>SUM(C19:N19)</f>
        <v>174</v>
      </c>
    </row>
    <row r="20" spans="2:15" x14ac:dyDescent="0.25">
      <c r="B20" s="465" t="s">
        <v>11</v>
      </c>
      <c r="C20" s="258">
        <f>'Processing Centre'!AA20+Enterprise!D20</f>
        <v>4</v>
      </c>
      <c r="D20" s="258">
        <f>'Processing Centre'!AB20+Enterprise!E20</f>
        <v>4</v>
      </c>
      <c r="E20" s="258">
        <f>'Processing Centre'!AC20+Enterprise!F20</f>
        <v>3</v>
      </c>
      <c r="F20" s="258"/>
      <c r="G20" s="258"/>
      <c r="H20" s="258"/>
      <c r="I20" s="258"/>
      <c r="J20" s="258"/>
      <c r="K20" s="258"/>
      <c r="L20" s="258"/>
      <c r="M20" s="258"/>
      <c r="N20" s="258"/>
      <c r="O20" s="258">
        <f>'AP &amp; AR'!C22</f>
        <v>20</v>
      </c>
    </row>
    <row r="21" spans="2:15" x14ac:dyDescent="0.25">
      <c r="B21" s="465" t="s">
        <v>12</v>
      </c>
      <c r="C21" s="258">
        <f>'Processing Centre'!AA21+Enterprise!D21</f>
        <v>8</v>
      </c>
      <c r="D21" s="258">
        <f>'Processing Centre'!AB21+Enterprise!E21</f>
        <v>5</v>
      </c>
      <c r="E21" s="258">
        <f>'Processing Centre'!AC21+Enterprise!F21</f>
        <v>4</v>
      </c>
      <c r="F21" s="258"/>
      <c r="G21" s="258"/>
      <c r="H21" s="258"/>
      <c r="I21" s="258"/>
      <c r="J21" s="258"/>
      <c r="K21" s="258"/>
      <c r="L21" s="258"/>
      <c r="M21" s="258"/>
      <c r="N21" s="258"/>
      <c r="O21" s="258">
        <f>'AP &amp; AR'!B22</f>
        <v>7</v>
      </c>
    </row>
    <row r="22" spans="2:15" x14ac:dyDescent="0.25">
      <c r="B22" s="465" t="s">
        <v>13</v>
      </c>
      <c r="C22" s="258">
        <f>'Processing Centre'!AA22+Enterprise!D22</f>
        <v>0</v>
      </c>
      <c r="D22" s="258">
        <f>'Processing Centre'!AB22+Enterprise!E22</f>
        <v>0</v>
      </c>
      <c r="E22" s="258">
        <f>'Processing Centre'!AC22+Enterprise!F22</f>
        <v>0</v>
      </c>
      <c r="F22" s="258"/>
      <c r="G22" s="258"/>
      <c r="H22" s="258"/>
      <c r="I22" s="258"/>
      <c r="J22" s="258"/>
      <c r="K22" s="258"/>
      <c r="L22" s="258"/>
      <c r="M22" s="258"/>
      <c r="N22" s="258"/>
      <c r="O22" s="258">
        <f>SUM(C22:N22)</f>
        <v>0</v>
      </c>
    </row>
    <row r="23" spans="2:15" x14ac:dyDescent="0.25">
      <c r="B23" s="465" t="s">
        <v>5</v>
      </c>
      <c r="C23" s="258">
        <f>Enterprise!D23+'Processing Centre'!AA23</f>
        <v>6579198.8600000003</v>
      </c>
      <c r="D23" s="258">
        <v>6008355.5300000021</v>
      </c>
      <c r="E23" s="258">
        <v>3653279.7299999986</v>
      </c>
      <c r="F23" s="258"/>
      <c r="G23" s="258"/>
      <c r="H23" s="258"/>
      <c r="I23" s="258"/>
      <c r="J23" s="258"/>
      <c r="K23" s="258"/>
      <c r="L23" s="258"/>
      <c r="M23" s="258"/>
      <c r="N23" s="258"/>
      <c r="O23" s="259">
        <f>E23</f>
        <v>3653279.7299999986</v>
      </c>
    </row>
    <row r="24" spans="2:15" x14ac:dyDescent="0.25">
      <c r="B24" s="486" t="s">
        <v>6</v>
      </c>
      <c r="C24" s="475">
        <f>IFERROR(((C23/(C6*1.18))*C3),0)</f>
        <v>40.873974212451628</v>
      </c>
      <c r="D24" s="475">
        <f>IFERROR(((D23/(D6*1.18))*D3),0)</f>
        <v>20.077696676729907</v>
      </c>
      <c r="E24" s="475">
        <f>IFERROR(((E23/(E6*1.18))*E3),0)</f>
        <v>14.54699576411017</v>
      </c>
      <c r="F24" s="475"/>
      <c r="G24" s="475"/>
      <c r="H24" s="475"/>
      <c r="I24" s="475"/>
      <c r="J24" s="475"/>
      <c r="K24" s="475"/>
      <c r="L24" s="475"/>
      <c r="M24" s="475"/>
      <c r="N24" s="475"/>
      <c r="O24" s="475">
        <f>IFERROR(((O23/(O6*1.18))*O3),0)</f>
        <v>15.362758077398516</v>
      </c>
    </row>
    <row r="25" spans="2:15" x14ac:dyDescent="0.25">
      <c r="B25" s="257" t="s">
        <v>535</v>
      </c>
      <c r="C25" s="258">
        <f>'Processing Centre'!AA25</f>
        <v>17250.4369094863</v>
      </c>
      <c r="D25" s="258">
        <f>'Processing Centre'!AB25</f>
        <v>21592.227927780823</v>
      </c>
      <c r="E25" s="258">
        <f>'Processing Centre'!AC25</f>
        <v>6891.7350721095881</v>
      </c>
      <c r="F25" s="258"/>
      <c r="G25" s="258"/>
      <c r="H25" s="258"/>
      <c r="I25" s="258"/>
      <c r="J25" s="258"/>
      <c r="K25" s="258"/>
      <c r="L25" s="258"/>
      <c r="M25" s="258"/>
      <c r="N25" s="258"/>
      <c r="O25" s="259">
        <f>SUM(C25:N25)</f>
        <v>45734.399909376705</v>
      </c>
    </row>
    <row r="26" spans="2:15" x14ac:dyDescent="0.25">
      <c r="B26" s="257" t="s">
        <v>536</v>
      </c>
      <c r="C26" s="258">
        <f>'Processing Centre'!AA26</f>
        <v>254388.13</v>
      </c>
      <c r="D26" s="258">
        <f>'Processing Centre'!AB26</f>
        <v>312234.81</v>
      </c>
      <c r="E26" s="258">
        <f>'Processing Centre'!AC26</f>
        <v>161501.44468268618</v>
      </c>
      <c r="F26" s="258"/>
      <c r="G26" s="258"/>
      <c r="H26" s="258"/>
      <c r="I26" s="258"/>
      <c r="J26" s="258"/>
      <c r="K26" s="258"/>
      <c r="L26" s="258"/>
      <c r="M26" s="258"/>
      <c r="N26" s="258"/>
      <c r="O26" s="259">
        <f>SUM(C26:N26)</f>
        <v>728124.38468268607</v>
      </c>
    </row>
    <row r="27" spans="2:15" x14ac:dyDescent="0.25">
      <c r="B27" s="257" t="s">
        <v>2900</v>
      </c>
      <c r="C27" s="262">
        <f>'Processing Centre'!AA27</f>
        <v>-605189.77426380198</v>
      </c>
      <c r="D27" s="262">
        <f>'Processing Centre'!AB27</f>
        <v>-263356.28792778082</v>
      </c>
      <c r="E27" s="262">
        <f>'Processing Centre'!AC27</f>
        <v>-418440.05975479569</v>
      </c>
      <c r="F27" s="262"/>
      <c r="G27" s="262"/>
      <c r="H27" s="262"/>
      <c r="I27" s="262"/>
      <c r="J27" s="262"/>
      <c r="K27" s="262"/>
      <c r="L27" s="262"/>
      <c r="M27" s="262"/>
      <c r="N27" s="262"/>
      <c r="O27" s="259">
        <f>SUM(C27:N27)</f>
        <v>-1286986.1219463784</v>
      </c>
    </row>
    <row r="28" spans="2:15" ht="12.6" thickBot="1" x14ac:dyDescent="0.3">
      <c r="B28" s="477" t="s">
        <v>2785</v>
      </c>
      <c r="C28" s="478">
        <f t="shared" ref="C28:O28" si="7">C27/C6</f>
        <v>-0.14788570193656128</v>
      </c>
      <c r="D28" s="478">
        <f t="shared" ref="D28:E28" si="8">D27/D6</f>
        <v>-3.3498261716760076E-2</v>
      </c>
      <c r="E28" s="478">
        <f t="shared" si="8"/>
        <v>-6.5536673413624097E-2</v>
      </c>
      <c r="F28" s="478"/>
      <c r="G28" s="478"/>
      <c r="H28" s="478"/>
      <c r="I28" s="478"/>
      <c r="J28" s="478"/>
      <c r="K28" s="478"/>
      <c r="L28" s="478"/>
      <c r="M28" s="478"/>
      <c r="N28" s="478"/>
      <c r="O28" s="478">
        <f t="shared" si="7"/>
        <v>-7.0177960578979598E-2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E1AF-4C02-496A-85E0-DEB13AC091BA}">
  <sheetPr codeName="Sheet17"/>
  <dimension ref="B3:AI52"/>
  <sheetViews>
    <sheetView showGridLines="0" zoomScale="80" workbookViewId="0">
      <selection activeCell="AJ12" sqref="AJ12"/>
    </sheetView>
  </sheetViews>
  <sheetFormatPr defaultColWidth="8.88671875" defaultRowHeight="12" x14ac:dyDescent="0.25"/>
  <cols>
    <col min="1" max="1" width="8.88671875" style="256"/>
    <col min="2" max="2" width="24.77734375" style="256" bestFit="1" customWidth="1"/>
    <col min="3" max="3" width="6.6640625" style="256" hidden="1" customWidth="1"/>
    <col min="4" max="8" width="7.77734375" style="256" hidden="1" customWidth="1"/>
    <col min="9" max="9" width="6.6640625" style="256" hidden="1" customWidth="1"/>
    <col min="10" max="10" width="7.77734375" style="256" hidden="1" customWidth="1"/>
    <col min="11" max="11" width="8.77734375" style="256" hidden="1" customWidth="1"/>
    <col min="12" max="12" width="9" style="256" hidden="1" customWidth="1"/>
    <col min="13" max="15" width="8.77734375" style="256" hidden="1" customWidth="1"/>
    <col min="16" max="16" width="9" style="256" hidden="1" customWidth="1"/>
    <col min="17" max="17" width="9.21875" style="256" hidden="1" customWidth="1"/>
    <col min="18" max="24" width="10" style="256" hidden="1" customWidth="1"/>
    <col min="25" max="25" width="10.109375" style="256" hidden="1" customWidth="1"/>
    <col min="26" max="26" width="10.33203125" style="256" hidden="1" customWidth="1"/>
    <col min="27" max="28" width="10.33203125" style="256" customWidth="1"/>
    <col min="29" max="29" width="8.77734375" style="256" bestFit="1" customWidth="1"/>
    <col min="30" max="30" width="10.21875" style="256" hidden="1" customWidth="1"/>
    <col min="31" max="31" width="9.6640625" style="256" hidden="1" customWidth="1"/>
    <col min="32" max="32" width="10.21875" style="256" hidden="1" customWidth="1"/>
    <col min="33" max="33" width="9.6640625" style="256" bestFit="1" customWidth="1"/>
    <col min="34" max="35" width="8.33203125" style="256" bestFit="1" customWidth="1"/>
    <col min="36" max="16384" width="8.88671875" style="256"/>
  </cols>
  <sheetData>
    <row r="3" spans="2:35" s="253" customFormat="1" ht="12.6" thickBot="1" x14ac:dyDescent="0.3">
      <c r="B3" s="251"/>
      <c r="C3" s="252">
        <v>0</v>
      </c>
      <c r="D3" s="252">
        <v>0</v>
      </c>
      <c r="E3" s="252">
        <v>0</v>
      </c>
      <c r="F3" s="252">
        <v>0</v>
      </c>
      <c r="G3" s="252">
        <v>0</v>
      </c>
      <c r="H3" s="252">
        <v>0</v>
      </c>
      <c r="I3" s="252">
        <v>0</v>
      </c>
      <c r="J3" s="252">
        <v>0</v>
      </c>
      <c r="K3" s="252">
        <v>30</v>
      </c>
      <c r="L3" s="252">
        <v>31</v>
      </c>
      <c r="M3" s="252">
        <v>28</v>
      </c>
      <c r="N3" s="252">
        <v>31</v>
      </c>
      <c r="O3" s="252">
        <v>30</v>
      </c>
      <c r="P3" s="252">
        <v>31</v>
      </c>
      <c r="Q3" s="252">
        <v>30</v>
      </c>
      <c r="R3" s="252">
        <v>31</v>
      </c>
      <c r="S3" s="252">
        <v>31</v>
      </c>
      <c r="T3" s="252">
        <v>30</v>
      </c>
      <c r="U3" s="252">
        <v>31</v>
      </c>
      <c r="V3" s="252">
        <v>30</v>
      </c>
      <c r="W3" s="252">
        <v>31</v>
      </c>
      <c r="X3" s="252">
        <v>31</v>
      </c>
      <c r="Y3" s="252">
        <v>28</v>
      </c>
      <c r="Z3" s="252">
        <v>31</v>
      </c>
      <c r="AA3" s="252">
        <v>30</v>
      </c>
      <c r="AB3" s="252">
        <v>31</v>
      </c>
      <c r="AC3" s="252">
        <v>30</v>
      </c>
      <c r="AD3" s="252">
        <f>SUM(C3:AC3)</f>
        <v>576</v>
      </c>
      <c r="AE3" s="253">
        <f>SUM(C3:N3)</f>
        <v>120</v>
      </c>
      <c r="AF3" s="253">
        <f>SUM(O3:Z3)</f>
        <v>365</v>
      </c>
      <c r="AG3" s="253">
        <f>SUM(AA3:AC3)</f>
        <v>91</v>
      </c>
    </row>
    <row r="4" spans="2:35" ht="12.6" thickBot="1" x14ac:dyDescent="0.3">
      <c r="B4" s="254" t="s">
        <v>516</v>
      </c>
      <c r="C4" s="255" t="s">
        <v>517</v>
      </c>
      <c r="D4" s="255" t="s">
        <v>518</v>
      </c>
      <c r="E4" s="255" t="s">
        <v>519</v>
      </c>
      <c r="F4" s="255" t="s">
        <v>520</v>
      </c>
      <c r="G4" s="255" t="s">
        <v>521</v>
      </c>
      <c r="H4" s="255" t="s">
        <v>522</v>
      </c>
      <c r="I4" s="255" t="s">
        <v>523</v>
      </c>
      <c r="J4" s="255" t="s">
        <v>524</v>
      </c>
      <c r="K4" s="255" t="s">
        <v>525</v>
      </c>
      <c r="L4" s="255" t="s">
        <v>526</v>
      </c>
      <c r="M4" s="255" t="s">
        <v>527</v>
      </c>
      <c r="N4" s="255">
        <v>45717</v>
      </c>
      <c r="O4" s="255" t="s">
        <v>528</v>
      </c>
      <c r="P4" s="255" t="s">
        <v>529</v>
      </c>
      <c r="Q4" s="255" t="s">
        <v>530</v>
      </c>
      <c r="R4" s="255" t="s">
        <v>1420</v>
      </c>
      <c r="S4" s="255" t="s">
        <v>1524</v>
      </c>
      <c r="T4" s="255" t="s">
        <v>1735</v>
      </c>
      <c r="U4" s="255" t="s">
        <v>2003</v>
      </c>
      <c r="V4" s="344" t="s">
        <v>2355</v>
      </c>
      <c r="W4" s="344" t="s">
        <v>2356</v>
      </c>
      <c r="X4" s="255" t="s">
        <v>2570</v>
      </c>
      <c r="Y4" s="255" t="s">
        <v>2811</v>
      </c>
      <c r="Z4" s="255" t="s">
        <v>2899</v>
      </c>
      <c r="AA4" s="255" t="s">
        <v>3309</v>
      </c>
      <c r="AB4" s="255" t="s">
        <v>3631</v>
      </c>
      <c r="AC4" s="255">
        <v>46174</v>
      </c>
      <c r="AD4" s="332" t="s">
        <v>531</v>
      </c>
      <c r="AE4" s="332" t="s">
        <v>131</v>
      </c>
      <c r="AF4" s="332" t="s">
        <v>174</v>
      </c>
      <c r="AG4" s="332" t="s">
        <v>3085</v>
      </c>
    </row>
    <row r="5" spans="2:35" x14ac:dyDescent="0.25">
      <c r="B5" s="257" t="s">
        <v>0</v>
      </c>
      <c r="C5" s="258">
        <f>SUMIFS('Details PC'!$AE$7:$AE$421,'Details PC'!$W$7:$W$421,'Processing Centre'!C$4)/1000</f>
        <v>0</v>
      </c>
      <c r="D5" s="258">
        <f>SUMIFS('Details PC'!$AE$7:$AE$421,'Details PC'!$W$7:$W$421,'Processing Centre'!D$4)/1000</f>
        <v>0</v>
      </c>
      <c r="E5" s="258">
        <f>SUMIFS('Details PC'!$AE$7:$AE$421,'Details PC'!$W$7:$W$421,'Processing Centre'!E$4)/1000</f>
        <v>0</v>
      </c>
      <c r="F5" s="258">
        <f>SUMIFS('Details PC'!$AE$7:$AE$421,'Details PC'!$W$7:$W$421,'Processing Centre'!F$4)/1000</f>
        <v>0</v>
      </c>
      <c r="G5" s="258">
        <f>SUMIFS('Details PC'!$AE$7:$AE$421,'Details PC'!$W$7:$W$421,'Processing Centre'!G$4)/1000</f>
        <v>0</v>
      </c>
      <c r="H5" s="258">
        <f>SUMIFS('Details PC'!$AE$7:$AE$421,'Details PC'!$W$7:$W$421,'Processing Centre'!H$4)/1000</f>
        <v>0</v>
      </c>
      <c r="I5" s="258">
        <f>SUMIFS('Details PC'!$AE$7:$AE$421,'Details PC'!$W$7:$W$421,'Processing Centre'!I$4)/1000</f>
        <v>0</v>
      </c>
      <c r="J5" s="258">
        <f>SUMIFS('Details PC'!$AE$7:$AE$421,'Details PC'!$W$7:$W$421,'Processing Centre'!J$4)/1000</f>
        <v>0</v>
      </c>
      <c r="K5" s="258">
        <f>SUMIFS('Details PC'!$AK$5:$AK$421,'Details PC'!$W$5:$W$421,'Processing Centre'!K$4)/1000</f>
        <v>70.8</v>
      </c>
      <c r="L5" s="258">
        <f>SUMIFS('Details PC'!$AK$5:$AK$421,'Details PC'!$W$5:$W$421,'Processing Centre'!L$4)/1000</f>
        <v>51.56</v>
      </c>
      <c r="M5" s="258">
        <f>SUMIFS('Details PC'!$AK$5:$AK$421,'Details PC'!$W$5:$W$421,'Processing Centre'!M$4)/1000</f>
        <v>82.523699999999991</v>
      </c>
      <c r="N5" s="258">
        <f>SUMIFS('Details PC'!$AK$5:$AK$421,'Details PC'!$W$5:$W$421,'Processing Centre'!N$4)/1000</f>
        <v>205.41</v>
      </c>
      <c r="O5" s="258">
        <f>SUMIFS('Details PC'!$AK$5:$AK$421,'Details PC'!$W$5:$W$421,'Processing Centre'!O$4)/1000</f>
        <v>240.65</v>
      </c>
      <c r="P5" s="258">
        <f>SUMIFS('Details PC'!$AK$5:$AK$421,'Details PC'!$W$5:$W$421,'Processing Centre'!P$4)/1000</f>
        <v>77.855000000000004</v>
      </c>
      <c r="Q5" s="258">
        <f>SUMIFS('Details PC'!$AK$5:$AK$421,'Details PC'!$W$5:$W$421,'Processing Centre'!Q$4)/1000</f>
        <v>263.19</v>
      </c>
      <c r="R5" s="258">
        <f>SUMIFS('Details PC'!$AK$5:$AK$421,'Details PC'!$W$5:$W$421,'Processing Centre'!R$4)/1000</f>
        <v>291.8</v>
      </c>
      <c r="S5" s="258">
        <f>SUMIFS('Details PC'!$AK$5:$AK$421,'Details PC'!$W$5:$W$421,'Processing Centre'!S$4)/1000</f>
        <v>439.935</v>
      </c>
      <c r="T5" s="258">
        <f>SUMIFS('Details PC'!$AK$5:$AK$421,'Details PC'!$W$5:$W$421,'Processing Centre'!T$4)/1000</f>
        <v>724.35500000000002</v>
      </c>
      <c r="U5" s="258">
        <f>SUMIFS('Details PC'!$AK$5:$AK$421,'Details PC'!$W$5:$W$421,'Processing Centre'!U$4)/1000</f>
        <v>310.46499999999997</v>
      </c>
      <c r="V5" s="258">
        <f>SUMIFS('Details PC'!$AK$5:$AK$421,'Details PC'!$W$5:$W$421,'Processing Centre'!V$4)/1000</f>
        <v>315.78500000000003</v>
      </c>
      <c r="W5" s="258">
        <f>SUMIFS('Details PC'!$AK$5:$AK$421,'Details PC'!$W$5:$W$421,'Processing Centre'!W$4)/1000</f>
        <v>438.5</v>
      </c>
      <c r="X5" s="258">
        <f>SUMIFS('Details PC'!$AK$5:$AK$421,'Details PC'!$W$5:$W$421,'Processing Centre'!X$4)/1000</f>
        <v>429.71</v>
      </c>
      <c r="Y5" s="258">
        <f>SUMIFS('Details PC'!$AK$5:$AK$421,'Details PC'!$W$5:$W$421,'Processing Centre'!Y$4)/1000</f>
        <v>381.74</v>
      </c>
      <c r="Z5" s="258">
        <f>SUMIFS('Details PC'!$AK$5:$AK$421,'Details PC'!$W$5:$W$421,'Processing Centre'!Z$4)/1000</f>
        <v>148.31720000000001</v>
      </c>
      <c r="AA5" s="258">
        <v>14.817</v>
      </c>
      <c r="AB5" s="258">
        <v>157.1</v>
      </c>
      <c r="AC5" s="258">
        <v>53.765000000000001</v>
      </c>
      <c r="AD5" s="258">
        <f>SUM(C5:AB5)</f>
        <v>4644.5129000000006</v>
      </c>
      <c r="AE5" s="335">
        <f>SUM(C5:N5)</f>
        <v>410.29369999999994</v>
      </c>
      <c r="AF5" s="335">
        <f>SUM(O5:Z5)</f>
        <v>4062.3021999999996</v>
      </c>
      <c r="AG5" s="335">
        <f>SUM(AA5:AC5)</f>
        <v>225.68200000000002</v>
      </c>
    </row>
    <row r="6" spans="2:35" x14ac:dyDescent="0.25">
      <c r="B6" s="257" t="s">
        <v>1</v>
      </c>
      <c r="C6" s="258">
        <f>SUMIFS('Details PC'!$AG$5:$AG$421,'Details PC'!$W$5:$W$421,'Processing Centre'!C$4)+SUMIFS('Details PC'!$AH$5:$AH$421,'Details PC'!$W$5:$W$421,'Processing Centre'!C$4)</f>
        <v>0</v>
      </c>
      <c r="D6" s="258">
        <f>SUMIFS('Details PC'!$AG$5:$AG$421,'Details PC'!$W$5:$W$421,'Processing Centre'!D$4)+SUMIFS('Details PC'!$AH$5:$AH$421,'Details PC'!$W$5:$W$421,'Processing Centre'!D$4)</f>
        <v>0</v>
      </c>
      <c r="E6" s="258">
        <f>SUMIFS('Details PC'!$AG$5:$AG$421,'Details PC'!$W$5:$W$421,'Processing Centre'!E$4)+SUMIFS('Details PC'!$AH$5:$AH$421,'Details PC'!$W$5:$W$421,'Processing Centre'!E$4)</f>
        <v>0</v>
      </c>
      <c r="F6" s="258">
        <f>SUMIFS('Details PC'!$AG$5:$AG$421,'Details PC'!$W$5:$W$421,'Processing Centre'!F$4)+SUMIFS('Details PC'!$AH$5:$AH$421,'Details PC'!$W$5:$W$421,'Processing Centre'!F$4)</f>
        <v>0</v>
      </c>
      <c r="G6" s="258">
        <f>SUMIFS('Details PC'!$AG$5:$AG$421,'Details PC'!$W$5:$W$421,'Processing Centre'!G$4)+SUMIFS('Details PC'!$AH$5:$AH$421,'Details PC'!$W$5:$W$421,'Processing Centre'!G$4)</f>
        <v>0</v>
      </c>
      <c r="H6" s="258">
        <f>SUMIFS('Details PC'!$AG$5:$AG$421,'Details PC'!$W$5:$W$421,'Processing Centre'!H$4)+SUMIFS('Details PC'!$AH$5:$AH$421,'Details PC'!$W$5:$W$421,'Processing Centre'!H$4)</f>
        <v>0</v>
      </c>
      <c r="I6" s="258">
        <f>SUMIFS('Details PC'!$AG$5:$AG$421,'Details PC'!$W$5:$W$421,'Processing Centre'!I$4)+SUMIFS('Details PC'!$AH$5:$AH$421,'Details PC'!$W$5:$W$421,'Processing Centre'!I$4)</f>
        <v>0</v>
      </c>
      <c r="J6" s="258">
        <f>SUMIFS('Details PC'!$AG$5:$AG$421,'Details PC'!$W$5:$W$421,'Processing Centre'!J$4)+SUMIFS('Details PC'!$AH$5:$AH$421,'Details PC'!$W$5:$W$421,'Processing Centre'!J$4)</f>
        <v>0</v>
      </c>
      <c r="K6" s="258">
        <f>SUMIFS('Details PC'!$AG$5:$AG$421,'Details PC'!$W$5:$W$421,'Processing Centre'!K$4)+SUMIFS('Details PC'!$AH$5:$AH$421,'Details PC'!$W$5:$W$421,'Processing Centre'!K$4)</f>
        <v>2883560</v>
      </c>
      <c r="L6" s="258">
        <f>SUMIFS('Details PC'!$AG$5:$AG$421,'Details PC'!$W$5:$W$421,'Processing Centre'!L$4)+SUMIFS('Details PC'!$AH$5:$AH$421,'Details PC'!$W$5:$W$421,'Processing Centre'!L$4)</f>
        <v>2056560</v>
      </c>
      <c r="M6" s="258">
        <f>SUMIFS('Details PC'!$AG$5:$AG$421,'Details PC'!$W$5:$W$421,'Processing Centre'!M$4)+SUMIFS('Details PC'!$AH$5:$AH$421,'Details PC'!$W$5:$W$421,'Processing Centre'!M$4)</f>
        <v>3432682.5</v>
      </c>
      <c r="N6" s="258">
        <f>SUMIFS('Details PC'!$AG$5:$AG$421,'Details PC'!$W$5:$W$421,'Processing Centre'!N$4)+SUMIFS('Details PC'!$AH$5:$AH$421,'Details PC'!$W$5:$W$421,'Processing Centre'!N$4)</f>
        <v>7604922</v>
      </c>
      <c r="O6" s="258">
        <f>SUMIFS('Details PC'!$AG$5:$AG$421,'Details PC'!$W$5:$W$421,'Processing Centre'!O$4)+SUMIFS('Details PC'!$AH$5:$AH$421,'Details PC'!$W$5:$W$421,'Processing Centre'!O$4)</f>
        <v>9531640.5</v>
      </c>
      <c r="P6" s="258">
        <f>SUMIFS('Details PC'!$AG$5:$AG$421,'Details PC'!$W$5:$W$421,'Processing Centre'!P$4)+SUMIFS('Details PC'!$AH$5:$AH$421,'Details PC'!$W$5:$W$421,'Processing Centre'!P$4)</f>
        <v>3164900</v>
      </c>
      <c r="Q6" s="258">
        <f>SUMIFS('Details PC'!$AG$5:$AG$421,'Details PC'!$W$5:$W$421,'Processing Centre'!Q$4)+SUMIFS('Details PC'!$AH$5:$AH$421,'Details PC'!$W$5:$W$421,'Processing Centre'!Q$4)</f>
        <v>9937455</v>
      </c>
      <c r="R6" s="258">
        <f>SUMIFS('Details PC'!$AG$5:$AG$421,'Details PC'!$W$5:$W$421,'Processing Centre'!R$4)+SUMIFS('Details PC'!$AH$5:$AH$421,'Details PC'!$W$5:$W$421,'Processing Centre'!R$4)</f>
        <v>10501193</v>
      </c>
      <c r="S6" s="258">
        <f>SUMIFS('Details PC'!$AG$5:$AG$421,'Details PC'!$W$5:$W$421,'Processing Centre'!S$4)+SUMIFS('Details PC'!$AH$5:$AH$421,'Details PC'!$W$5:$W$421,'Processing Centre'!S$4)</f>
        <v>15223212.25</v>
      </c>
      <c r="T6" s="258">
        <f>SUMIFS('Details PC'!$AG$5:$AG$421,'Details PC'!$W$5:$W$421,'Processing Centre'!T$4)+SUMIFS('Details PC'!$AH$5:$AH$421,'Details PC'!$W$5:$W$421,'Processing Centre'!T$4)</f>
        <v>25251021</v>
      </c>
      <c r="U6" s="258">
        <f>SUMIFS('Details PC'!$AG$5:$AG$421,'Details PC'!$W$5:$W$421,'Processing Centre'!U$4)+SUMIFS('Details PC'!$AH$5:$AH$421,'Details PC'!$W$5:$W$421,'Processing Centre'!U$4)</f>
        <v>10843373</v>
      </c>
      <c r="V6" s="258">
        <f>SUMIFS('Details PC'!$AG$5:$AG$421,'Details PC'!$W$5:$W$421,'Processing Centre'!V$4)+SUMIFS('Details PC'!$AH$5:$AH$421,'Details PC'!$W$5:$W$421,'Processing Centre'!V$4)</f>
        <v>10997029.5</v>
      </c>
      <c r="W6" s="258">
        <f>SUMIFS('Details PC'!$AG$5:$AG$421,'Details PC'!$W$5:$W$421,'Processing Centre'!W$4)+SUMIFS('Details PC'!$AH$5:$AH$421,'Details PC'!$W$5:$W$421,'Processing Centre'!W$4)</f>
        <v>14176055</v>
      </c>
      <c r="X6" s="258">
        <f>SUMIFS('Details PC'!$AG$5:$AG$421,'Details PC'!$W$5:$W$421,'Processing Centre'!X$4)+SUMIFS('Details PC'!$AH$5:$AH$421,'Details PC'!$W$5:$W$421,'Processing Centre'!X$4)</f>
        <v>16031965</v>
      </c>
      <c r="Y6" s="258">
        <f>SUMIFS('Details PC'!$AG$5:$AG$421,'Details PC'!$W$5:$W$421,'Processing Centre'!Y$4)+SUMIFS('Details PC'!$AH$5:$AH$421,'Details PC'!$W$5:$W$421,'Processing Centre'!Y$4)</f>
        <v>14211886.5</v>
      </c>
      <c r="Z6" s="258">
        <f>SUMIFS('Details PC'!$AG$5:$AG$421,'Details PC'!$W$5:$W$421,'Processing Centre'!Z$4)+SUMIFS('Details PC'!$AH$5:$AH$421,'Details PC'!$W$5:$W$421,'Processing Centre'!Z$4)</f>
        <v>5118069.75</v>
      </c>
      <c r="AA6" s="258">
        <v>880027</v>
      </c>
      <c r="AB6" s="258">
        <v>5037414.67</v>
      </c>
      <c r="AC6" s="258">
        <v>1744116</v>
      </c>
      <c r="AD6" s="258">
        <f>SUM(C6:AB6)</f>
        <v>166882966.66999999</v>
      </c>
      <c r="AE6" s="335">
        <f>SUM(C6:N6)</f>
        <v>15977724.5</v>
      </c>
      <c r="AF6" s="335">
        <f>SUM(O6:Z6)</f>
        <v>144987800.5</v>
      </c>
      <c r="AG6" s="335">
        <f>SUM(AA6:AC6)</f>
        <v>7661557.6699999999</v>
      </c>
    </row>
    <row r="7" spans="2:35" x14ac:dyDescent="0.25">
      <c r="B7" s="257" t="s">
        <v>2</v>
      </c>
      <c r="C7" s="258">
        <f>SUMIFS('Details PC'!$AL$5:$AL$421,'Details PC'!$W$5:$W$421,'Processing Centre'!C$4)</f>
        <v>0</v>
      </c>
      <c r="D7" s="258">
        <f>SUMIFS('Details PC'!$AL$5:$AL$421,'Details PC'!$W$5:$W$421,'Processing Centre'!D$4)</f>
        <v>0</v>
      </c>
      <c r="E7" s="258">
        <f>SUMIFS('Details PC'!$AL$5:$AL$421,'Details PC'!$W$5:$W$421,'Processing Centre'!E$4)</f>
        <v>0</v>
      </c>
      <c r="F7" s="258">
        <f>SUMIFS('Details PC'!$AL$5:$AL$421,'Details PC'!$W$5:$W$421,'Processing Centre'!F$4)</f>
        <v>0</v>
      </c>
      <c r="G7" s="258">
        <f>SUMIFS('Details PC'!$AL$5:$AL$421,'Details PC'!$W$5:$W$421,'Processing Centre'!G$4)</f>
        <v>0</v>
      </c>
      <c r="H7" s="258">
        <f>SUMIFS('Details PC'!$AL$5:$AL$421,'Details PC'!$W$5:$W$421,'Processing Centre'!H$4)</f>
        <v>0</v>
      </c>
      <c r="I7" s="258">
        <f>SUMIFS('Details PC'!$AL$5:$AL$421,'Details PC'!$W$5:$W$421,'Processing Centre'!I$4)</f>
        <v>0</v>
      </c>
      <c r="J7" s="258">
        <f>SUMIFS('Details PC'!$AL$5:$AL$421,'Details PC'!$W$5:$W$421,'Processing Centre'!J$4)</f>
        <v>0</v>
      </c>
      <c r="K7" s="258">
        <f>SUMIFS('Details PC'!$AL$5:$AL$421,'Details PC'!$W$5:$W$421,'Processing Centre'!K$4)</f>
        <v>2305320.71</v>
      </c>
      <c r="L7" s="258">
        <f>SUMIFS('Details PC'!$AL$5:$AL$421,'Details PC'!$W$5:$W$421,'Processing Centre'!L$4)</f>
        <v>1717978.7600000002</v>
      </c>
      <c r="M7" s="258">
        <f>SUMIFS('Details PC'!$AL$5:$AL$421,'Details PC'!$W$5:$W$421,'Processing Centre'!M$4)</f>
        <v>2766276.9476999999</v>
      </c>
      <c r="N7" s="258">
        <f>SUMIFS('Details PC'!$AL$5:$AL$421,'Details PC'!$W$5:$W$421,'Processing Centre'!N$4)</f>
        <v>6761006.6100000003</v>
      </c>
      <c r="O7" s="258">
        <f>SUMIFS('Details PC'!$AL$5:$AL$421,'Details PC'!$W$5:$W$421,'Processing Centre'!O$4)</f>
        <v>7800317.8499999987</v>
      </c>
      <c r="P7" s="258">
        <f>SUMIFS('Details PC'!$AL$5:$AL$421,'Details PC'!$W$5:$W$421,'Processing Centre'!P$4)</f>
        <v>3332950.0550000002</v>
      </c>
      <c r="Q7" s="258">
        <f>SUMIFS('Details PC'!$AL$5:$AL$421,'Details PC'!$W$5:$W$421,'Processing Centre'!Q$4)</f>
        <v>8386735.1400000006</v>
      </c>
      <c r="R7" s="258">
        <f>SUMIFS('Details PC'!$AL$5:$AL$421,'Details PC'!$W$5:$W$421,'Processing Centre'!R$4)</f>
        <v>9201125.25</v>
      </c>
      <c r="S7" s="258">
        <f>SUMIFS('Details PC'!$AL$5:$AL$421,'Details PC'!$W$5:$W$421,'Processing Centre'!S$4)</f>
        <v>13914735.27</v>
      </c>
      <c r="T7" s="258">
        <f>SUMIFS('Details PC'!$AL$5:$AL$421,'Details PC'!$W$5:$W$421,'Processing Centre'!T$4)</f>
        <v>24946700.080000002</v>
      </c>
      <c r="U7" s="258">
        <f>SUMIFS('Details PC'!$AL$5:$AL$421,'Details PC'!$W$5:$W$421,'Processing Centre'!U$4)</f>
        <v>10413619.189999999</v>
      </c>
      <c r="V7" s="258">
        <f>SUMIFS('Details PC'!$AL$5:$AL$421,'Details PC'!$W$5:$W$421,'Processing Centre'!V$4)</f>
        <v>12406554.254999999</v>
      </c>
      <c r="W7" s="258">
        <f>SUMIFS('Details PC'!$AL$5:$AL$421,'Details PC'!$W$5:$W$421,'Processing Centre'!W$4)</f>
        <v>14772875.25</v>
      </c>
      <c r="X7" s="258">
        <f>SUMIFS('Details PC'!$AL$5:$AL$421,'Details PC'!$W$5:$W$421,'Processing Centre'!X$4)</f>
        <v>15111603.5352</v>
      </c>
      <c r="Y7" s="258">
        <f>SUMIFS('Details PC'!$AL$5:$AL$421,'Details PC'!$W$5:$W$421,'Processing Centre'!Y$4)</f>
        <v>14039296.572474999</v>
      </c>
      <c r="Z7" s="258">
        <f>SUMIFS('Details PC'!$AL$5:$AL$421,'Details PC'!$W$5:$W$421,'Processing Centre'!Z$4)</f>
        <v>4889984.8131504869</v>
      </c>
      <c r="AA7" s="258">
        <v>809908.20735431567</v>
      </c>
      <c r="AB7" s="258">
        <v>4754023.92</v>
      </c>
      <c r="AC7" s="258">
        <v>1476982.88</v>
      </c>
      <c r="AD7" s="258">
        <f>SUM(C7:AB7)</f>
        <v>158331012.41587976</v>
      </c>
      <c r="AE7" s="335">
        <f>SUM(C7:N7)</f>
        <v>13550583.0277</v>
      </c>
      <c r="AF7" s="335">
        <f>SUM(O7:Z7)</f>
        <v>139216497.26082548</v>
      </c>
      <c r="AG7" s="335">
        <f>SUM(AA7:AC7)</f>
        <v>7040915.0073543154</v>
      </c>
    </row>
    <row r="8" spans="2:35" s="324" customFormat="1" x14ac:dyDescent="0.25">
      <c r="B8" s="322" t="s">
        <v>182</v>
      </c>
      <c r="C8" s="323">
        <f t="shared" ref="C8:Q8" si="0">IFERROR((C6-C7),0)</f>
        <v>0</v>
      </c>
      <c r="D8" s="323">
        <f t="shared" si="0"/>
        <v>0</v>
      </c>
      <c r="E8" s="323">
        <f t="shared" si="0"/>
        <v>0</v>
      </c>
      <c r="F8" s="323">
        <f t="shared" si="0"/>
        <v>0</v>
      </c>
      <c r="G8" s="323">
        <f t="shared" si="0"/>
        <v>0</v>
      </c>
      <c r="H8" s="323">
        <f t="shared" si="0"/>
        <v>0</v>
      </c>
      <c r="I8" s="323">
        <f t="shared" si="0"/>
        <v>0</v>
      </c>
      <c r="J8" s="323">
        <f t="shared" si="0"/>
        <v>0</v>
      </c>
      <c r="K8" s="323">
        <f>IFERROR((K6-K7),0)</f>
        <v>578239.29</v>
      </c>
      <c r="L8" s="323">
        <f t="shared" si="0"/>
        <v>338581.23999999976</v>
      </c>
      <c r="M8" s="323">
        <f t="shared" si="0"/>
        <v>666405.5523000001</v>
      </c>
      <c r="N8" s="323">
        <f t="shared" si="0"/>
        <v>843915.38999999966</v>
      </c>
      <c r="O8" s="323">
        <f t="shared" si="0"/>
        <v>1731322.6500000013</v>
      </c>
      <c r="P8" s="323">
        <f t="shared" si="0"/>
        <v>-168050.05500000017</v>
      </c>
      <c r="Q8" s="323">
        <f t="shared" si="0"/>
        <v>1550719.8599999994</v>
      </c>
      <c r="R8" s="323">
        <f>IFERROR((R6-R7),0)</f>
        <v>1300067.75</v>
      </c>
      <c r="S8" s="323">
        <f t="shared" ref="S8:Z8" si="1">IFERROR((S6-S7),0)</f>
        <v>1308476.9800000004</v>
      </c>
      <c r="T8" s="323">
        <f t="shared" si="1"/>
        <v>304320.91999999806</v>
      </c>
      <c r="U8" s="323">
        <f>IFERROR((U6-U7),0)</f>
        <v>429753.81000000052</v>
      </c>
      <c r="V8" s="323">
        <f t="shared" si="1"/>
        <v>-1409524.754999999</v>
      </c>
      <c r="W8" s="323">
        <f>IFERROR((W6-W7),0)</f>
        <v>-596820.25</v>
      </c>
      <c r="X8" s="323">
        <f t="shared" si="1"/>
        <v>920361.46480000019</v>
      </c>
      <c r="Y8" s="323">
        <f>IFERROR((Y6-Y7),0)</f>
        <v>172589.92752500065</v>
      </c>
      <c r="Z8" s="323">
        <f t="shared" si="1"/>
        <v>228084.93684951309</v>
      </c>
      <c r="AA8" s="323">
        <f t="shared" ref="AA8:AC8" si="2">IFERROR((AA6-AA7),0)</f>
        <v>70118.792645684327</v>
      </c>
      <c r="AB8" s="323">
        <f t="shared" si="2"/>
        <v>283390.75</v>
      </c>
      <c r="AC8" s="323">
        <f t="shared" si="2"/>
        <v>267133.12000000011</v>
      </c>
      <c r="AD8" s="258">
        <f>SUM(C8:AB8)</f>
        <v>8551954.254120199</v>
      </c>
      <c r="AE8" s="336">
        <f>IFERROR((AE6-AE7),0)</f>
        <v>2427141.4723000005</v>
      </c>
      <c r="AF8" s="336">
        <f>AF6-AF7</f>
        <v>5771303.239174515</v>
      </c>
      <c r="AG8" s="335">
        <f>SUM(AA8:AC8)</f>
        <v>620642.66264568444</v>
      </c>
      <c r="AH8" s="325"/>
    </row>
    <row r="9" spans="2:35" x14ac:dyDescent="0.25">
      <c r="B9" s="260" t="s">
        <v>473</v>
      </c>
      <c r="C9" s="261">
        <f t="shared" ref="C9:X9" si="3">IFERROR((C8/C6),0)</f>
        <v>0</v>
      </c>
      <c r="D9" s="261">
        <f t="shared" si="3"/>
        <v>0</v>
      </c>
      <c r="E9" s="261">
        <f t="shared" si="3"/>
        <v>0</v>
      </c>
      <c r="F9" s="261">
        <f t="shared" si="3"/>
        <v>0</v>
      </c>
      <c r="G9" s="261">
        <f t="shared" si="3"/>
        <v>0</v>
      </c>
      <c r="H9" s="261">
        <f t="shared" si="3"/>
        <v>0</v>
      </c>
      <c r="I9" s="261">
        <f t="shared" si="3"/>
        <v>0</v>
      </c>
      <c r="J9" s="261">
        <f t="shared" si="3"/>
        <v>0</v>
      </c>
      <c r="K9" s="261">
        <f>IFERROR((K8/K6),0)</f>
        <v>0.20052965431619249</v>
      </c>
      <c r="L9" s="261">
        <f t="shared" si="3"/>
        <v>0.16463474929007652</v>
      </c>
      <c r="M9" s="261">
        <f t="shared" si="3"/>
        <v>0.19413550548295688</v>
      </c>
      <c r="N9" s="261">
        <f t="shared" si="3"/>
        <v>0.11096963124671097</v>
      </c>
      <c r="O9" s="261">
        <f t="shared" si="3"/>
        <v>0.18163952469671946</v>
      </c>
      <c r="P9" s="261">
        <f t="shared" si="3"/>
        <v>-5.3098061550128021E-2</v>
      </c>
      <c r="Q9" s="261">
        <f t="shared" si="3"/>
        <v>0.15604798814183304</v>
      </c>
      <c r="R9" s="261">
        <f t="shared" si="3"/>
        <v>0.12380190993537592</v>
      </c>
      <c r="S9" s="261">
        <f t="shared" si="3"/>
        <v>8.5952751529165636E-2</v>
      </c>
      <c r="T9" s="261">
        <f t="shared" si="3"/>
        <v>1.2051826340012076E-2</v>
      </c>
      <c r="U9" s="261">
        <f t="shared" si="3"/>
        <v>3.9632853172163363E-2</v>
      </c>
      <c r="V9" s="261">
        <f t="shared" si="3"/>
        <v>-0.12817322668817055</v>
      </c>
      <c r="W9" s="261">
        <f t="shared" si="3"/>
        <v>-4.2100587928023701E-2</v>
      </c>
      <c r="X9" s="261">
        <f t="shared" si="3"/>
        <v>5.7407901327129904E-2</v>
      </c>
      <c r="Y9" s="261">
        <f t="shared" ref="Y9:AG9" si="4">IFERROR((Y8/Y6),0)</f>
        <v>1.2144054733690748E-2</v>
      </c>
      <c r="Z9" s="261">
        <f t="shared" si="4"/>
        <v>4.456464018481051E-2</v>
      </c>
      <c r="AA9" s="261">
        <f t="shared" si="4"/>
        <v>7.9678001522321851E-2</v>
      </c>
      <c r="AB9" s="261">
        <f t="shared" ref="AB9:AC9" si="5">IFERROR((AB8/AB6),0)</f>
        <v>5.6257181225860847E-2</v>
      </c>
      <c r="AC9" s="261">
        <f t="shared" si="5"/>
        <v>0.15316247313825462</v>
      </c>
      <c r="AD9" s="261">
        <f t="shared" si="4"/>
        <v>5.1245219477857928E-2</v>
      </c>
      <c r="AE9" s="337">
        <f t="shared" si="4"/>
        <v>0.15190783094926943</v>
      </c>
      <c r="AF9" s="337">
        <f t="shared" si="4"/>
        <v>3.980544031478369E-2</v>
      </c>
      <c r="AG9" s="337">
        <f t="shared" si="4"/>
        <v>8.1007373353842352E-2</v>
      </c>
    </row>
    <row r="10" spans="2:35" x14ac:dyDescent="0.25">
      <c r="B10" s="257" t="s">
        <v>3</v>
      </c>
      <c r="C10" s="258">
        <v>0</v>
      </c>
      <c r="D10" s="258">
        <v>0</v>
      </c>
      <c r="E10" s="258">
        <v>0</v>
      </c>
      <c r="F10" s="258">
        <v>0</v>
      </c>
      <c r="G10" s="258">
        <v>0</v>
      </c>
      <c r="H10" s="258">
        <v>0</v>
      </c>
      <c r="I10" s="258">
        <v>0</v>
      </c>
      <c r="J10" s="258">
        <v>0</v>
      </c>
      <c r="K10" s="258">
        <v>0</v>
      </c>
      <c r="L10" s="258">
        <v>0</v>
      </c>
      <c r="M10" s="258">
        <v>0</v>
      </c>
      <c r="N10" s="258">
        <v>0</v>
      </c>
      <c r="O10" s="258">
        <v>0</v>
      </c>
      <c r="P10" s="258">
        <v>0</v>
      </c>
      <c r="Q10" s="258">
        <v>0</v>
      </c>
      <c r="R10" s="258">
        <v>0</v>
      </c>
      <c r="S10" s="258">
        <v>0</v>
      </c>
      <c r="T10" s="258">
        <v>0</v>
      </c>
      <c r="U10" s="258">
        <v>0</v>
      </c>
      <c r="V10" s="258">
        <v>0</v>
      </c>
      <c r="W10" s="258">
        <v>0</v>
      </c>
      <c r="X10" s="258">
        <v>0</v>
      </c>
      <c r="Y10" s="258">
        <v>0</v>
      </c>
      <c r="Z10" s="258">
        <v>0</v>
      </c>
      <c r="AA10" s="258">
        <v>0</v>
      </c>
      <c r="AB10" s="258">
        <v>0</v>
      </c>
      <c r="AC10" s="258">
        <v>0</v>
      </c>
      <c r="AD10" s="258">
        <f>SUM(C10:AA10)</f>
        <v>0</v>
      </c>
      <c r="AE10" s="335">
        <f t="shared" ref="AE10" si="6">SUM(K10:N10)</f>
        <v>0</v>
      </c>
      <c r="AF10" s="335">
        <f>SUM(O10:Z10)</f>
        <v>0</v>
      </c>
      <c r="AG10" s="335">
        <f t="shared" ref="AG10:AG22" si="7">AA10</f>
        <v>0</v>
      </c>
    </row>
    <row r="11" spans="2:35" s="324" customFormat="1" x14ac:dyDescent="0.25">
      <c r="B11" s="257" t="s">
        <v>1365</v>
      </c>
      <c r="C11" s="258"/>
      <c r="D11" s="258"/>
      <c r="E11" s="258"/>
      <c r="F11" s="258"/>
      <c r="G11" s="258"/>
      <c r="H11" s="258"/>
      <c r="I11" s="258"/>
      <c r="J11" s="258"/>
      <c r="K11" s="258">
        <f>SUMIFS('Details PC'!$T:$T,'Details PC'!$D:$D,'Processing Centre'!K4,'Details PC'!$E:$E,"Operational Cost")</f>
        <v>200000</v>
      </c>
      <c r="L11" s="258">
        <f>SUMIFS('Details PC'!$T:$T,'Details PC'!$D:$D,'Processing Centre'!L4,'Details PC'!$E:$E,"Operational Cost")</f>
        <v>750000</v>
      </c>
      <c r="M11" s="258">
        <f>SUMIFS('Details PC'!$T:$T,'Details PC'!$D:$D,'Processing Centre'!M4,'Details PC'!$E:$E,"Operational Cost")</f>
        <v>43000</v>
      </c>
      <c r="N11" s="258">
        <f>SUMIFS('Details PC'!$T:$T,'Details PC'!$D:$D,'Processing Centre'!N4,'Details PC'!$E:$E,"Operational Cost")</f>
        <v>112605</v>
      </c>
      <c r="O11" s="258">
        <f>SUMIFS('Details PC'!$T:$T,'Details PC'!$D:$D,'Processing Centre'!O4,'Details PC'!$E:$E,"Operational Cost")</f>
        <v>5700</v>
      </c>
      <c r="P11" s="258">
        <f>SUMIFS('Details PC'!$T:$T,'Details PC'!$D:$D,'Processing Centre'!P4,'Details PC'!$E:$E,"Operational Cost")</f>
        <v>636817</v>
      </c>
      <c r="Q11" s="258">
        <f>SUMIFS('Details PC'!$T:$T,'Details PC'!$D:$D,'Processing Centre'!Q4,'Details PC'!$E:$E,"Operational Cost")</f>
        <v>544481</v>
      </c>
      <c r="R11" s="258">
        <f>SUMIFS('Details PC'!$T:$T,'Details PC'!$D:$D,'Processing Centre'!R4,'Details PC'!$E:$E,"Operational Cost")</f>
        <v>1264704</v>
      </c>
      <c r="S11" s="258">
        <f>SUMIFS('Details PC'!$T:$T,'Details PC'!$D:$D,'Processing Centre'!S4,'Details PC'!$E:$E,"Operational Cost")</f>
        <v>1254420.8699999999</v>
      </c>
      <c r="T11" s="258">
        <f>SUMIFS('Details PC'!$T:$T,'Details PC'!$D:$D,'Processing Centre'!T4,'Details PC'!$E:$E,"Operational Cost")</f>
        <v>1213246.5</v>
      </c>
      <c r="U11" s="258">
        <f>SUMIFS('Details PC'!$T:$T,'Details PC'!$D:$D,'Processing Centre'!U4,'Details PC'!$E:$E,"Operational Cost")</f>
        <v>2838594.14</v>
      </c>
      <c r="V11" s="258">
        <f>SUMIFS('Details PC'!$T:$T,'Details PC'!$D:$D,'Processing Centre'!V4,'Details PC'!$E:$E,"Operational Cost")</f>
        <v>2031134.5</v>
      </c>
      <c r="W11" s="258">
        <f>SUMIFS('Details PC'!$T:$T,'Details PC'!$D:$D,'Processing Centre'!W4,'Details PC'!$E:$E,"Operational Cost")</f>
        <v>721642.23</v>
      </c>
      <c r="X11" s="258">
        <f>SUMIFS('Details PC'!$T:$T,'Details PC'!$D:$D,'Processing Centre'!X4,'Details PC'!$E:$E,"Operational Cost")</f>
        <v>747454.85000000009</v>
      </c>
      <c r="Y11" s="258">
        <f>SUMIFS('Details PC'!$T:$T,'Details PC'!$D:$D,'Processing Centre'!Y4,'Details PC'!$E:$E,"Operational Cost")</f>
        <v>606380.5</v>
      </c>
      <c r="Z11" s="258">
        <f>SUMIFS('Details PC'!$T:$T,'Details PC'!$D:$D,'Processing Centre'!Z4,'Details PC'!$E:$E,"Operational Cost")</f>
        <v>1050570.8899999999</v>
      </c>
      <c r="AA11" s="258">
        <f>SUMIFS('Details PC'!$T:$T,'Details PC'!$D:$D,'Processing Centre'!AA4,'Details PC'!$E:$E,"Operational Cost")</f>
        <v>403670</v>
      </c>
      <c r="AB11" s="258">
        <f>SUMIFS('Details PC'!$T:$T,'Details PC'!$D:$D,'Processing Centre'!AB4,'Details PC'!$E:$E,"Operational Cost")</f>
        <v>212920</v>
      </c>
      <c r="AC11" s="258">
        <f>SUMIFS('Details PC'!$T:$T,'Details PC'!$D:$D,'Processing Centre'!AC4,'Details PC'!$E:$E,"Operational Cost")</f>
        <v>517180</v>
      </c>
      <c r="AD11" s="258">
        <f>SUM(C11:AB11)</f>
        <v>14637341.48</v>
      </c>
      <c r="AE11" s="335">
        <f>SUM(C11:N11)</f>
        <v>1105605</v>
      </c>
      <c r="AF11" s="335">
        <f>SUM(O11:Z11)</f>
        <v>12915146.48</v>
      </c>
      <c r="AG11" s="335">
        <f>SUM(AA11:AC11)</f>
        <v>1133770</v>
      </c>
      <c r="AI11" s="325"/>
    </row>
    <row r="12" spans="2:35" x14ac:dyDescent="0.25">
      <c r="B12" s="257" t="s">
        <v>184</v>
      </c>
      <c r="C12" s="258">
        <f>C8-C11</f>
        <v>0</v>
      </c>
      <c r="D12" s="258">
        <f t="shared" ref="D12:Z12" si="8">D8-D11</f>
        <v>0</v>
      </c>
      <c r="E12" s="258">
        <f t="shared" si="8"/>
        <v>0</v>
      </c>
      <c r="F12" s="258">
        <f t="shared" si="8"/>
        <v>0</v>
      </c>
      <c r="G12" s="258">
        <f t="shared" si="8"/>
        <v>0</v>
      </c>
      <c r="H12" s="258">
        <f t="shared" si="8"/>
        <v>0</v>
      </c>
      <c r="I12" s="258">
        <f t="shared" si="8"/>
        <v>0</v>
      </c>
      <c r="J12" s="258">
        <f t="shared" si="8"/>
        <v>0</v>
      </c>
      <c r="K12" s="258">
        <f t="shared" si="8"/>
        <v>378239.29000000004</v>
      </c>
      <c r="L12" s="258">
        <f t="shared" si="8"/>
        <v>-411418.76000000024</v>
      </c>
      <c r="M12" s="258">
        <f t="shared" si="8"/>
        <v>623405.5523000001</v>
      </c>
      <c r="N12" s="258">
        <f t="shared" si="8"/>
        <v>731310.38999999966</v>
      </c>
      <c r="O12" s="258">
        <f t="shared" si="8"/>
        <v>1725622.6500000013</v>
      </c>
      <c r="P12" s="258">
        <f t="shared" si="8"/>
        <v>-804867.05500000017</v>
      </c>
      <c r="Q12" s="258">
        <f t="shared" si="8"/>
        <v>1006238.8599999994</v>
      </c>
      <c r="R12" s="258">
        <f t="shared" si="8"/>
        <v>35363.75</v>
      </c>
      <c r="S12" s="258">
        <f t="shared" si="8"/>
        <v>54056.110000000568</v>
      </c>
      <c r="T12" s="258">
        <f t="shared" si="8"/>
        <v>-908925.58000000194</v>
      </c>
      <c r="U12" s="258">
        <f t="shared" si="8"/>
        <v>-2408840.3299999996</v>
      </c>
      <c r="V12" s="258">
        <f t="shared" si="8"/>
        <v>-3440659.254999999</v>
      </c>
      <c r="W12" s="258">
        <f t="shared" si="8"/>
        <v>-1318462.48</v>
      </c>
      <c r="X12" s="258">
        <f t="shared" si="8"/>
        <v>172906.6148000001</v>
      </c>
      <c r="Y12" s="258">
        <f t="shared" si="8"/>
        <v>-433790.57247499935</v>
      </c>
      <c r="Z12" s="258">
        <f t="shared" si="8"/>
        <v>-822485.95315048681</v>
      </c>
      <c r="AA12" s="258">
        <f>AA8-AA11</f>
        <v>-333551.20735431567</v>
      </c>
      <c r="AB12" s="258">
        <f>AB8-AB11</f>
        <v>70470.75</v>
      </c>
      <c r="AC12" s="258">
        <f>AC8-AC11</f>
        <v>-250046.87999999989</v>
      </c>
      <c r="AD12" s="258">
        <f>SUM(C12:AB12)</f>
        <v>-6085387.2258798005</v>
      </c>
      <c r="AE12" s="258">
        <f>AE8-AE11</f>
        <v>1321536.4723000005</v>
      </c>
      <c r="AF12" s="258">
        <f>AF8-AF11</f>
        <v>-7143843.2408254854</v>
      </c>
      <c r="AG12" s="335">
        <f>SUM(AA12:AC12)</f>
        <v>-513127.33735431556</v>
      </c>
    </row>
    <row r="13" spans="2:35" x14ac:dyDescent="0.25">
      <c r="B13" s="260" t="s">
        <v>503</v>
      </c>
      <c r="C13" s="306">
        <f t="shared" ref="C13:T13" si="9">IFERROR((C12/C6),0)</f>
        <v>0</v>
      </c>
      <c r="D13" s="306">
        <f t="shared" si="9"/>
        <v>0</v>
      </c>
      <c r="E13" s="306">
        <f t="shared" si="9"/>
        <v>0</v>
      </c>
      <c r="F13" s="306">
        <f t="shared" si="9"/>
        <v>0</v>
      </c>
      <c r="G13" s="306">
        <f t="shared" si="9"/>
        <v>0</v>
      </c>
      <c r="H13" s="306">
        <f t="shared" si="9"/>
        <v>0</v>
      </c>
      <c r="I13" s="306">
        <f t="shared" si="9"/>
        <v>0</v>
      </c>
      <c r="J13" s="306">
        <f t="shared" si="9"/>
        <v>0</v>
      </c>
      <c r="K13" s="306">
        <f>IFERROR((K12/K6),0)</f>
        <v>0.13117094494305651</v>
      </c>
      <c r="L13" s="306">
        <f t="shared" si="9"/>
        <v>-0.20005191193060268</v>
      </c>
      <c r="M13" s="306">
        <f t="shared" si="9"/>
        <v>0.18160885904828078</v>
      </c>
      <c r="N13" s="306">
        <f t="shared" si="9"/>
        <v>9.61627732671025E-2</v>
      </c>
      <c r="O13" s="306">
        <f t="shared" si="9"/>
        <v>0.18104151641052779</v>
      </c>
      <c r="P13" s="306">
        <f t="shared" si="9"/>
        <v>-0.25431042213024113</v>
      </c>
      <c r="Q13" s="306">
        <f t="shared" si="9"/>
        <v>0.10125719915209673</v>
      </c>
      <c r="R13" s="306">
        <f t="shared" si="9"/>
        <v>3.3675935677022601E-3</v>
      </c>
      <c r="S13" s="306">
        <f t="shared" si="9"/>
        <v>3.5509003692699988E-3</v>
      </c>
      <c r="T13" s="306">
        <f t="shared" si="9"/>
        <v>-3.5995597168130423E-2</v>
      </c>
      <c r="U13" s="306">
        <f>IFERROR((U12/U6),0)</f>
        <v>-0.2221486183312148</v>
      </c>
      <c r="V13" s="306">
        <f t="shared" ref="V13:X13" si="10">IFERROR((V12/V6),0)</f>
        <v>-0.3128716945789769</v>
      </c>
      <c r="W13" s="306">
        <f t="shared" si="10"/>
        <v>-9.3006303939988946E-2</v>
      </c>
      <c r="X13" s="306">
        <f t="shared" si="10"/>
        <v>1.0785116783875221E-2</v>
      </c>
      <c r="Y13" s="306">
        <f>IFERROR((Y12/Y6),0)</f>
        <v>-3.0523081680605833E-2</v>
      </c>
      <c r="Z13" s="306">
        <f t="shared" ref="Z13:AA13" si="11">IFERROR((Z12/Z6),0)</f>
        <v>-0.16070237283313438</v>
      </c>
      <c r="AA13" s="306">
        <f t="shared" si="11"/>
        <v>-0.37902383376227738</v>
      </c>
      <c r="AB13" s="306">
        <f t="shared" ref="AB13:AC13" si="12">IFERROR((AB12/AB6),0)</f>
        <v>1.3989467736234627E-2</v>
      </c>
      <c r="AC13" s="306">
        <f t="shared" si="12"/>
        <v>-0.14336596877730604</v>
      </c>
      <c r="AD13" s="306">
        <f>IFERROR((AD12/AD6),0)</f>
        <v>-3.6464999078745113E-2</v>
      </c>
      <c r="AE13" s="338">
        <f>IFERROR((AE12/AE6),0)</f>
        <v>8.2711181576575588E-2</v>
      </c>
      <c r="AF13" s="338">
        <f>IFERROR((AF12/AF6),0)</f>
        <v>-4.9272029896235893E-2</v>
      </c>
      <c r="AG13" s="338">
        <f>IFERROR((AG12/AG6),0)</f>
        <v>-6.697428374957537E-2</v>
      </c>
    </row>
    <row r="14" spans="2:35" x14ac:dyDescent="0.25">
      <c r="B14" s="322" t="s">
        <v>2103</v>
      </c>
      <c r="C14" s="326">
        <v>0</v>
      </c>
      <c r="D14" s="326">
        <v>0</v>
      </c>
      <c r="E14" s="326">
        <v>0</v>
      </c>
      <c r="F14" s="326">
        <v>0</v>
      </c>
      <c r="G14" s="326">
        <v>0</v>
      </c>
      <c r="H14" s="326">
        <v>0</v>
      </c>
      <c r="I14" s="326">
        <v>0</v>
      </c>
      <c r="J14" s="326">
        <v>0</v>
      </c>
      <c r="K14" s="326">
        <v>0</v>
      </c>
      <c r="L14" s="326">
        <v>0</v>
      </c>
      <c r="M14" s="326">
        <v>0</v>
      </c>
      <c r="N14" s="326">
        <v>0</v>
      </c>
      <c r="O14" s="326">
        <v>0</v>
      </c>
      <c r="P14" s="326">
        <v>0</v>
      </c>
      <c r="Q14" s="326">
        <v>0</v>
      </c>
      <c r="R14" s="326">
        <v>0</v>
      </c>
      <c r="S14" s="326">
        <v>0</v>
      </c>
      <c r="T14" s="326">
        <v>0</v>
      </c>
      <c r="U14" s="326">
        <v>0</v>
      </c>
      <c r="V14" s="326">
        <v>0</v>
      </c>
      <c r="W14" s="326">
        <v>0</v>
      </c>
      <c r="X14" s="326">
        <v>0</v>
      </c>
      <c r="Y14" s="326">
        <v>0</v>
      </c>
      <c r="Z14" s="326">
        <v>0</v>
      </c>
      <c r="AA14" s="326">
        <v>0</v>
      </c>
      <c r="AB14" s="326">
        <v>0</v>
      </c>
      <c r="AC14" s="326">
        <v>0</v>
      </c>
      <c r="AD14" s="326">
        <v>0</v>
      </c>
      <c r="AE14" s="326">
        <v>0</v>
      </c>
      <c r="AF14" s="326">
        <v>0</v>
      </c>
      <c r="AG14" s="326">
        <f t="shared" si="7"/>
        <v>0</v>
      </c>
    </row>
    <row r="15" spans="2:35" s="324" customFormat="1" x14ac:dyDescent="0.25">
      <c r="B15" s="327" t="s">
        <v>4</v>
      </c>
      <c r="C15" s="328">
        <f t="shared" ref="C15:AF15" si="13">IFERROR((C10/C6),0)</f>
        <v>0</v>
      </c>
      <c r="D15" s="328">
        <f t="shared" si="13"/>
        <v>0</v>
      </c>
      <c r="E15" s="328">
        <f t="shared" si="13"/>
        <v>0</v>
      </c>
      <c r="F15" s="328">
        <f t="shared" si="13"/>
        <v>0</v>
      </c>
      <c r="G15" s="328">
        <f t="shared" si="13"/>
        <v>0</v>
      </c>
      <c r="H15" s="328">
        <f t="shared" si="13"/>
        <v>0</v>
      </c>
      <c r="I15" s="328">
        <f t="shared" si="13"/>
        <v>0</v>
      </c>
      <c r="J15" s="328">
        <f t="shared" si="13"/>
        <v>0</v>
      </c>
      <c r="K15" s="328">
        <f t="shared" si="13"/>
        <v>0</v>
      </c>
      <c r="L15" s="328">
        <f t="shared" si="13"/>
        <v>0</v>
      </c>
      <c r="M15" s="328">
        <f t="shared" si="13"/>
        <v>0</v>
      </c>
      <c r="N15" s="328">
        <f t="shared" si="13"/>
        <v>0</v>
      </c>
      <c r="O15" s="328">
        <f t="shared" si="13"/>
        <v>0</v>
      </c>
      <c r="P15" s="328">
        <f t="shared" si="13"/>
        <v>0</v>
      </c>
      <c r="Q15" s="328">
        <f t="shared" si="13"/>
        <v>0</v>
      </c>
      <c r="R15" s="328">
        <f t="shared" si="13"/>
        <v>0</v>
      </c>
      <c r="S15" s="328">
        <f t="shared" si="13"/>
        <v>0</v>
      </c>
      <c r="T15" s="328">
        <f t="shared" si="13"/>
        <v>0</v>
      </c>
      <c r="U15" s="328">
        <f t="shared" si="13"/>
        <v>0</v>
      </c>
      <c r="V15" s="328">
        <f t="shared" si="13"/>
        <v>0</v>
      </c>
      <c r="W15" s="328">
        <f t="shared" si="13"/>
        <v>0</v>
      </c>
      <c r="X15" s="328">
        <f t="shared" si="13"/>
        <v>0</v>
      </c>
      <c r="Y15" s="328">
        <f t="shared" si="13"/>
        <v>0</v>
      </c>
      <c r="Z15" s="328">
        <f t="shared" si="13"/>
        <v>0</v>
      </c>
      <c r="AA15" s="328">
        <f t="shared" ref="AA15:AC15" si="14">IFERROR((AA10/AA6),0)</f>
        <v>0</v>
      </c>
      <c r="AB15" s="328">
        <f t="shared" si="14"/>
        <v>0</v>
      </c>
      <c r="AC15" s="328">
        <f t="shared" si="14"/>
        <v>0</v>
      </c>
      <c r="AD15" s="328">
        <f>IFERROR((AD10/AD6),0)</f>
        <v>0</v>
      </c>
      <c r="AE15" s="328">
        <f t="shared" si="13"/>
        <v>0</v>
      </c>
      <c r="AF15" s="328">
        <f t="shared" si="13"/>
        <v>0</v>
      </c>
      <c r="AG15" s="328">
        <f>AA15</f>
        <v>0</v>
      </c>
    </row>
    <row r="16" spans="2:35" s="324" customFormat="1" x14ac:dyDescent="0.25">
      <c r="B16" s="322" t="s">
        <v>7</v>
      </c>
      <c r="C16" s="329">
        <f t="shared" ref="C16:AF16" si="15">IFERROR(+C6/(C5*1000),0)</f>
        <v>0</v>
      </c>
      <c r="D16" s="329">
        <f t="shared" si="15"/>
        <v>0</v>
      </c>
      <c r="E16" s="329">
        <f t="shared" si="15"/>
        <v>0</v>
      </c>
      <c r="F16" s="329">
        <f t="shared" si="15"/>
        <v>0</v>
      </c>
      <c r="G16" s="329">
        <f t="shared" si="15"/>
        <v>0</v>
      </c>
      <c r="H16" s="329">
        <f t="shared" si="15"/>
        <v>0</v>
      </c>
      <c r="I16" s="329">
        <f t="shared" si="15"/>
        <v>0</v>
      </c>
      <c r="J16" s="329">
        <f t="shared" si="15"/>
        <v>0</v>
      </c>
      <c r="K16" s="329">
        <f t="shared" si="15"/>
        <v>40.728248587570619</v>
      </c>
      <c r="L16" s="329">
        <f t="shared" si="15"/>
        <v>39.886733902249809</v>
      </c>
      <c r="M16" s="329">
        <f t="shared" si="15"/>
        <v>41.596323238051617</v>
      </c>
      <c r="N16" s="329">
        <f t="shared" si="15"/>
        <v>37.023134219366149</v>
      </c>
      <c r="O16" s="329">
        <f t="shared" si="15"/>
        <v>39.607897361313107</v>
      </c>
      <c r="P16" s="329">
        <f t="shared" si="15"/>
        <v>40.651210583777534</v>
      </c>
      <c r="Q16" s="329">
        <f t="shared" si="15"/>
        <v>37.757722557847941</v>
      </c>
      <c r="R16" s="329">
        <f t="shared" si="15"/>
        <v>35.987638793694309</v>
      </c>
      <c r="S16" s="329">
        <f t="shared" si="15"/>
        <v>34.60332151340539</v>
      </c>
      <c r="T16" s="329">
        <f t="shared" si="15"/>
        <v>34.860007869069726</v>
      </c>
      <c r="U16" s="329">
        <f t="shared" si="15"/>
        <v>34.926233230798964</v>
      </c>
      <c r="V16" s="329">
        <f t="shared" si="15"/>
        <v>34.824420095951361</v>
      </c>
      <c r="W16" s="329">
        <f t="shared" si="15"/>
        <v>32.328517673888257</v>
      </c>
      <c r="X16" s="329">
        <f t="shared" si="15"/>
        <v>37.308801284587283</v>
      </c>
      <c r="Y16" s="329">
        <f t="shared" si="15"/>
        <v>37.229230628176246</v>
      </c>
      <c r="Z16" s="329">
        <f t="shared" si="15"/>
        <v>34.507594196762071</v>
      </c>
      <c r="AA16" s="329">
        <f t="shared" ref="AA16:AC16" si="16">IFERROR(+AA6/(AA5*1000),0)</f>
        <v>59.393062023351554</v>
      </c>
      <c r="AB16" s="329">
        <f t="shared" si="16"/>
        <v>32.065020178230426</v>
      </c>
      <c r="AC16" s="329">
        <f t="shared" si="16"/>
        <v>32.439616851111317</v>
      </c>
      <c r="AD16" s="329">
        <f>IFERROR(+AD6/(AD5*1000),0)</f>
        <v>35.93120963664456</v>
      </c>
      <c r="AE16" s="329">
        <f t="shared" si="15"/>
        <v>38.942163869442794</v>
      </c>
      <c r="AF16" s="329">
        <f t="shared" si="15"/>
        <v>35.691042507866598</v>
      </c>
      <c r="AG16" s="329">
        <f>+AG6/(AG5*1000)</f>
        <v>33.948465850178565</v>
      </c>
    </row>
    <row r="17" spans="2:33" s="324" customFormat="1" x14ac:dyDescent="0.25">
      <c r="B17" s="322" t="s">
        <v>8</v>
      </c>
      <c r="C17" s="329">
        <f t="shared" ref="C17:AF17" si="17">IFERROR(+C7/(C5*1000),0)</f>
        <v>0</v>
      </c>
      <c r="D17" s="329">
        <f t="shared" si="17"/>
        <v>0</v>
      </c>
      <c r="E17" s="329">
        <f t="shared" si="17"/>
        <v>0</v>
      </c>
      <c r="F17" s="329">
        <f t="shared" si="17"/>
        <v>0</v>
      </c>
      <c r="G17" s="329">
        <f t="shared" si="17"/>
        <v>0</v>
      </c>
      <c r="H17" s="329">
        <f t="shared" si="17"/>
        <v>0</v>
      </c>
      <c r="I17" s="329">
        <f t="shared" si="17"/>
        <v>0</v>
      </c>
      <c r="J17" s="329">
        <f t="shared" si="17"/>
        <v>0</v>
      </c>
      <c r="K17" s="329">
        <f t="shared" si="17"/>
        <v>32.561026977401127</v>
      </c>
      <c r="L17" s="329">
        <f t="shared" si="17"/>
        <v>33.319991466252915</v>
      </c>
      <c r="M17" s="329">
        <f t="shared" si="17"/>
        <v>33.521000000000001</v>
      </c>
      <c r="N17" s="329">
        <f t="shared" si="17"/>
        <v>32.914690667445598</v>
      </c>
      <c r="O17" s="329">
        <f t="shared" si="17"/>
        <v>32.413537710367748</v>
      </c>
      <c r="P17" s="329">
        <f t="shared" si="17"/>
        <v>42.809711065442173</v>
      </c>
      <c r="Q17" s="329">
        <f t="shared" si="17"/>
        <v>31.865705915878266</v>
      </c>
      <c r="R17" s="329">
        <f t="shared" si="17"/>
        <v>31.532300376970529</v>
      </c>
      <c r="S17" s="329">
        <f t="shared" si="17"/>
        <v>31.629070817279825</v>
      </c>
      <c r="T17" s="329">
        <f t="shared" si="17"/>
        <v>34.439881108020238</v>
      </c>
      <c r="U17" s="329">
        <f t="shared" si="17"/>
        <v>33.542006957305972</v>
      </c>
      <c r="V17" s="329">
        <f t="shared" si="17"/>
        <v>39.287978387193817</v>
      </c>
      <c r="W17" s="329">
        <f t="shared" si="17"/>
        <v>33.689567274800453</v>
      </c>
      <c r="X17" s="329">
        <f t="shared" si="17"/>
        <v>35.166981301808192</v>
      </c>
      <c r="Y17" s="329">
        <f t="shared" si="17"/>
        <v>36.77711681373448</v>
      </c>
      <c r="Z17" s="329">
        <f t="shared" si="17"/>
        <v>32.969775677739918</v>
      </c>
      <c r="AA17" s="329">
        <f t="shared" ref="AA17:AC17" si="18">IFERROR(+AA7/(AA5*1000),0)</f>
        <v>54.660741537039591</v>
      </c>
      <c r="AB17" s="329">
        <f t="shared" si="18"/>
        <v>30.261132527052833</v>
      </c>
      <c r="AC17" s="329">
        <f t="shared" si="18"/>
        <v>27.471084906537708</v>
      </c>
      <c r="AD17" s="329">
        <f>IFERROR(+AD7/(AD5*1000),0)</f>
        <v>34.089906912709779</v>
      </c>
      <c r="AE17" s="329">
        <f t="shared" si="17"/>
        <v>33.026544223564734</v>
      </c>
      <c r="AF17" s="329">
        <f t="shared" si="17"/>
        <v>34.270344845547307</v>
      </c>
      <c r="AG17" s="329">
        <f>+AG7/(AG5*1000)</f>
        <v>31.198389802262984</v>
      </c>
    </row>
    <row r="18" spans="2:33" s="324" customFormat="1" x14ac:dyDescent="0.25">
      <c r="B18" s="322" t="s">
        <v>9</v>
      </c>
      <c r="C18" s="330">
        <f t="shared" ref="C18:AF18" si="19">IFERROR(C10/(C5*1000),0)</f>
        <v>0</v>
      </c>
      <c r="D18" s="330">
        <f t="shared" si="19"/>
        <v>0</v>
      </c>
      <c r="E18" s="330">
        <f t="shared" si="19"/>
        <v>0</v>
      </c>
      <c r="F18" s="330">
        <f t="shared" si="19"/>
        <v>0</v>
      </c>
      <c r="G18" s="330">
        <f t="shared" si="19"/>
        <v>0</v>
      </c>
      <c r="H18" s="330">
        <f t="shared" si="19"/>
        <v>0</v>
      </c>
      <c r="I18" s="330">
        <f t="shared" si="19"/>
        <v>0</v>
      </c>
      <c r="J18" s="330">
        <f t="shared" si="19"/>
        <v>0</v>
      </c>
      <c r="K18" s="330">
        <f t="shared" si="19"/>
        <v>0</v>
      </c>
      <c r="L18" s="330">
        <f t="shared" si="19"/>
        <v>0</v>
      </c>
      <c r="M18" s="330">
        <f t="shared" si="19"/>
        <v>0</v>
      </c>
      <c r="N18" s="330">
        <f t="shared" si="19"/>
        <v>0</v>
      </c>
      <c r="O18" s="330">
        <f t="shared" si="19"/>
        <v>0</v>
      </c>
      <c r="P18" s="330">
        <f t="shared" si="19"/>
        <v>0</v>
      </c>
      <c r="Q18" s="330">
        <f t="shared" si="19"/>
        <v>0</v>
      </c>
      <c r="R18" s="330">
        <f t="shared" si="19"/>
        <v>0</v>
      </c>
      <c r="S18" s="330">
        <f t="shared" si="19"/>
        <v>0</v>
      </c>
      <c r="T18" s="330">
        <f t="shared" si="19"/>
        <v>0</v>
      </c>
      <c r="U18" s="330">
        <f t="shared" si="19"/>
        <v>0</v>
      </c>
      <c r="V18" s="330">
        <f t="shared" si="19"/>
        <v>0</v>
      </c>
      <c r="W18" s="330">
        <f t="shared" si="19"/>
        <v>0</v>
      </c>
      <c r="X18" s="330">
        <f t="shared" si="19"/>
        <v>0</v>
      </c>
      <c r="Y18" s="330">
        <f t="shared" si="19"/>
        <v>0</v>
      </c>
      <c r="Z18" s="330">
        <f t="shared" si="19"/>
        <v>0</v>
      </c>
      <c r="AA18" s="330">
        <f t="shared" ref="AA18:AC18" si="20">IFERROR(AA10/(AA5*1000),0)</f>
        <v>0</v>
      </c>
      <c r="AB18" s="330">
        <f t="shared" si="20"/>
        <v>0</v>
      </c>
      <c r="AC18" s="330">
        <f t="shared" si="20"/>
        <v>0</v>
      </c>
      <c r="AD18" s="330">
        <f>IFERROR(AD10/(AD5*1000),0)</f>
        <v>0</v>
      </c>
      <c r="AE18" s="330">
        <f t="shared" si="19"/>
        <v>0</v>
      </c>
      <c r="AF18" s="330">
        <f t="shared" si="19"/>
        <v>0</v>
      </c>
      <c r="AG18" s="330">
        <f t="shared" si="7"/>
        <v>0</v>
      </c>
    </row>
    <row r="19" spans="2:33" x14ac:dyDescent="0.25">
      <c r="B19" s="257" t="s">
        <v>10</v>
      </c>
      <c r="C19" s="262" cm="1">
        <f t="array" ref="C19">IFERROR(ROWS(_xlfn.UNIQUE(_xlfn._xlws.FILTER('Details PC'!$AA$5:$AA$421,'Details PC'!$W$5:$W$421='Processing Centre'!C$4))),0)</f>
        <v>0</v>
      </c>
      <c r="D19" s="262" cm="1">
        <f t="array" ref="D19">IFERROR(ROWS(_xlfn.UNIQUE(_xlfn._xlws.FILTER('Details PC'!$AA$5:$AA$421,'Details PC'!$W$5:$W$421='Processing Centre'!D$4))),0)</f>
        <v>0</v>
      </c>
      <c r="E19" s="262" cm="1">
        <f t="array" ref="E19">IFERROR(ROWS(_xlfn.UNIQUE(_xlfn._xlws.FILTER('Details PC'!$AA$5:$AA$421,'Details PC'!$W$5:$W$421='Processing Centre'!E$4))),0)</f>
        <v>0</v>
      </c>
      <c r="F19" s="262" cm="1">
        <f t="array" ref="F19">IFERROR(ROWS(_xlfn.UNIQUE(_xlfn._xlws.FILTER('Details PC'!$AA$5:$AA$421,'Details PC'!$W$5:$W$421='Processing Centre'!F$4))),0)</f>
        <v>0</v>
      </c>
      <c r="G19" s="262" cm="1">
        <f t="array" ref="G19">IFERROR(ROWS(_xlfn.UNIQUE(_xlfn._xlws.FILTER('Details PC'!$AA$5:$AA$421,'Details PC'!$W$5:$W$421='Processing Centre'!G$4))),0)</f>
        <v>0</v>
      </c>
      <c r="H19" s="262" cm="1">
        <f t="array" ref="H19">IFERROR(ROWS(_xlfn.UNIQUE(_xlfn._xlws.FILTER('Details PC'!$AA$5:$AA$421,'Details PC'!$W$5:$W$421='Processing Centre'!H$4))),0)</f>
        <v>0</v>
      </c>
      <c r="I19" s="262" cm="1">
        <f t="array" ref="I19">IFERROR(ROWS(_xlfn.UNIQUE(_xlfn._xlws.FILTER('Details PC'!$AA$5:$AA$421,'Details PC'!$W$5:$W$421='Processing Centre'!I$4))),0)</f>
        <v>0</v>
      </c>
      <c r="J19" s="262" cm="1">
        <f t="array" ref="J19">IFERROR(ROWS(_xlfn.UNIQUE(_xlfn._xlws.FILTER('Details PC'!$AA$5:$AA$421,'Details PC'!$W$5:$W$421='Processing Centre'!J$4))),0)</f>
        <v>0</v>
      </c>
      <c r="K19" s="262" cm="1">
        <f t="array" ref="K19">IFERROR(ROWS(_xlfn.UNIQUE(_xlfn._xlws.FILTER('Details PC'!$AA$5:$AA$421,'Details PC'!$W$5:$W$421='Processing Centre'!K$4))),0)</f>
        <v>3</v>
      </c>
      <c r="L19" s="262" cm="1">
        <f t="array" ref="L19">IFERROR(ROWS(_xlfn.UNIQUE(_xlfn._xlws.FILTER('Details PC'!$AA$5:$AA$421,'Details PC'!$W$5:$W$421='Processing Centre'!L$4))),0)</f>
        <v>2</v>
      </c>
      <c r="M19" s="262" cm="1">
        <f t="array" ref="M19">IFERROR(ROWS(_xlfn.UNIQUE(_xlfn._xlws.FILTER('Details PC'!$AA$5:$AA$421,'Details PC'!$W$5:$W$421='Processing Centre'!M$4))),0)</f>
        <v>6</v>
      </c>
      <c r="N19" s="262" cm="1">
        <f t="array" ref="N19">IFERROR(ROWS(_xlfn.UNIQUE(_xlfn._xlws.FILTER('Details PC'!$AA$5:$AA$421,'Details PC'!$W$5:$W$421='Processing Centre'!N$4))),0)</f>
        <v>0</v>
      </c>
      <c r="O19" s="262" cm="1">
        <f t="array" ref="O19">IFERROR(ROWS(_xlfn.UNIQUE(_xlfn._xlws.FILTER('Details PC'!$AA$5:$AA$421,'Details PC'!$W$5:$W$421='Processing Centre'!O$4))),0)</f>
        <v>15</v>
      </c>
      <c r="P19" s="262" cm="1">
        <f t="array" ref="P19">IFERROR(ROWS(_xlfn.UNIQUE(_xlfn._xlws.FILTER('Details PC'!$AA$5:$AA$421,'Details PC'!$W$5:$W$421='Processing Centre'!P$4))),0)</f>
        <v>8</v>
      </c>
      <c r="Q19" s="262" cm="1">
        <f t="array" ref="Q19">IFERROR(ROWS(_xlfn.UNIQUE(_xlfn._xlws.FILTER('Details PC'!$AA$5:$AA$421,'Details PC'!$W$5:$W$421='Processing Centre'!Q$4))),0)</f>
        <v>18</v>
      </c>
      <c r="R19" s="262" cm="1">
        <f t="array" ref="R19">IFERROR(ROWS(_xlfn.UNIQUE(_xlfn._xlws.FILTER('Details PC'!$AA$5:$AA$421,'Details PC'!$W$5:$W$421='Processing Centre'!R$4))),0)</f>
        <v>14</v>
      </c>
      <c r="S19" s="262" cm="1">
        <f t="array" ref="S19">IFERROR(ROWS(_xlfn.UNIQUE(_xlfn._xlws.FILTER('Details PC'!$AA$5:$AA$421,'Details PC'!$W$5:$W$421='Processing Centre'!S$4))),0)</f>
        <v>26</v>
      </c>
      <c r="T19" s="262" cm="1">
        <f t="array" ref="T19">IFERROR(ROWS(_xlfn.UNIQUE(_xlfn._xlws.FILTER('Details PC'!$AA$5:$AA$421,'Details PC'!$W$5:$W$421='Processing Centre'!T$4))),0)</f>
        <v>27</v>
      </c>
      <c r="U19" s="262" cm="1">
        <f t="array" ref="U19">IFERROR(ROWS(_xlfn.UNIQUE(_xlfn._xlws.FILTER('Details PC'!$AA$5:$AA$421,'Details PC'!$W$5:$W$421='Processing Centre'!U$4))),0)</f>
        <v>15</v>
      </c>
      <c r="V19" s="262" cm="1">
        <f t="array" ref="V19">IFERROR(ROWS(_xlfn.UNIQUE(_xlfn._xlws.FILTER('Details PC'!$AA$5:$AA$421,'Details PC'!$W$5:$W$421='Processing Centre'!V$4))),0)</f>
        <v>16</v>
      </c>
      <c r="W19" s="262" cm="1">
        <f t="array" ref="W19">IFERROR(ROWS(_xlfn.UNIQUE(_xlfn._xlws.FILTER('Details PC'!$AA$5:$AA$421,'Details PC'!$W$5:$W$421='Processing Centre'!W$4))),0)</f>
        <v>18</v>
      </c>
      <c r="X19" s="262" cm="1">
        <f t="array" ref="X19">IFERROR(ROWS(_xlfn.UNIQUE(_xlfn._xlws.FILTER('Details PC'!$AA$5:$AA$421,'Details PC'!$W$5:$W$421='Processing Centre'!X$4))),0)</f>
        <v>16</v>
      </c>
      <c r="Y19" s="262" cm="1">
        <f t="array" ref="Y19">IFERROR(ROWS(_xlfn.UNIQUE(_xlfn._xlws.FILTER('Details PC'!$AA$5:$AA$421,'Details PC'!$W$5:$W$421='Processing Centre'!Y$4))),0)</f>
        <v>16</v>
      </c>
      <c r="Z19" s="262" cm="1">
        <f t="array" ref="Z19">IFERROR(ROWS(_xlfn.UNIQUE(_xlfn._xlws.FILTER('Details PC'!$AA$5:$AA$421,'Details PC'!$W$5:$W$421='Processing Centre'!Z$4))),0)</f>
        <v>12</v>
      </c>
      <c r="AA19" s="262" cm="1">
        <f t="array" ref="AA19">IFERROR(ROWS(_xlfn.UNIQUE(_xlfn._xlws.FILTER('Details PC'!$AA$5:$AA$522,'Details PC'!$W$5:$W$522='Processing Centre'!AA$4))),0)</f>
        <v>4</v>
      </c>
      <c r="AB19" s="262" cm="1">
        <f t="array" ref="AB19">IFERROR(ROWS(_xlfn.UNIQUE(_xlfn._xlws.FILTER('Details PC'!$AA$5:$AA$522,'Details PC'!$W$5:$W$522='Processing Centre'!AB$4))),0)</f>
        <v>3</v>
      </c>
      <c r="AC19" s="262" cm="1">
        <f t="array" ref="AC19">IFERROR(ROWS(_xlfn.UNIQUE(_xlfn._xlws.FILTER('Details PC'!$AA$5:$AA$522,'Details PC'!$W$5:$W$522='Processing Centre'!AC$4))),0)</f>
        <v>0</v>
      </c>
      <c r="AD19" s="258">
        <f>SUM(C19:AB19)</f>
        <v>219</v>
      </c>
      <c r="AE19" s="335">
        <f>SUM(C19:N19)</f>
        <v>11</v>
      </c>
      <c r="AF19" s="335">
        <f>SUM(O19:Z19)</f>
        <v>201</v>
      </c>
      <c r="AG19" s="335">
        <f>SUM(AA19:AC19)</f>
        <v>7</v>
      </c>
    </row>
    <row r="20" spans="2:33" x14ac:dyDescent="0.25">
      <c r="B20" s="257" t="s">
        <v>11</v>
      </c>
      <c r="C20" s="262" cm="1">
        <f t="array" ref="C20">IFERROR(ROWS(_xlfn.UNIQUE(_xlfn._xlws.FILTER('Details PC'!$H$5:$H$421,'Details PC'!$W$5:$W$421='Processing Centre'!C$4))),0)</f>
        <v>0</v>
      </c>
      <c r="D20" s="262" cm="1">
        <f t="array" ref="D20">IFERROR(ROWS(_xlfn.UNIQUE(_xlfn._xlws.FILTER('Details PC'!$H$5:$H$421,'Details PC'!$W$5:$W$421='Processing Centre'!D$4))),0)</f>
        <v>0</v>
      </c>
      <c r="E20" s="262" cm="1">
        <f t="array" ref="E20">IFERROR(ROWS(_xlfn.UNIQUE(_xlfn._xlws.FILTER('Details PC'!$H$5:$H$421,'Details PC'!$W$5:$W$421='Processing Centre'!E$4))),0)</f>
        <v>0</v>
      </c>
      <c r="F20" s="262" cm="1">
        <f t="array" ref="F20">IFERROR(ROWS(_xlfn.UNIQUE(_xlfn._xlws.FILTER('Details PC'!$H$5:$H$421,'Details PC'!$W$5:$W$421='Processing Centre'!F$4))),0)</f>
        <v>0</v>
      </c>
      <c r="G20" s="262" cm="1">
        <f t="array" ref="G20">IFERROR(ROWS(_xlfn.UNIQUE(_xlfn._xlws.FILTER('Details PC'!$H$5:$H$421,'Details PC'!$W$5:$W$421='Processing Centre'!G$4))),0)</f>
        <v>0</v>
      </c>
      <c r="H20" s="262" cm="1">
        <f t="array" ref="H20">IFERROR(ROWS(_xlfn.UNIQUE(_xlfn._xlws.FILTER('Details PC'!$H$5:$H$421,'Details PC'!$W$5:$W$421='Processing Centre'!H$4))),0)</f>
        <v>0</v>
      </c>
      <c r="I20" s="262" cm="1">
        <f t="array" ref="I20">IFERROR(ROWS(_xlfn.UNIQUE(_xlfn._xlws.FILTER('Details PC'!$H$5:$H$421,'Details PC'!$W$5:$W$421='Processing Centre'!I$4))),0)</f>
        <v>0</v>
      </c>
      <c r="J20" s="262" cm="1">
        <f t="array" ref="J20">IFERROR(ROWS(_xlfn.UNIQUE(_xlfn._xlws.FILTER('Details PC'!$H$5:$H$421,'Details PC'!$W$5:$W$421='Processing Centre'!J$4))),0)</f>
        <v>0</v>
      </c>
      <c r="K20" s="262" cm="1">
        <f t="array" ref="K20">IFERROR(ROWS(_xlfn.UNIQUE(_xlfn._xlws.FILTER('Details PC'!$H$5:$H$421,'Details PC'!$W$5:$W$421='Processing Centre'!K$4))),0)</f>
        <v>1</v>
      </c>
      <c r="L20" s="262" cm="1">
        <f t="array" ref="L20">IFERROR(ROWS(_xlfn.UNIQUE(_xlfn._xlws.FILTER('Details PC'!$H$5:$H$421,'Details PC'!$W$5:$W$421='Processing Centre'!L$4))),0)</f>
        <v>1</v>
      </c>
      <c r="M20" s="262" cm="1">
        <f t="array" ref="M20">IFERROR(ROWS(_xlfn.UNIQUE(_xlfn._xlws.FILTER('Details PC'!$H$5:$H$421,'Details PC'!$W$5:$W$421='Processing Centre'!M$4))),0)</f>
        <v>1</v>
      </c>
      <c r="N20" s="262" cm="1">
        <f t="array" ref="N20">IFERROR(ROWS(_xlfn.UNIQUE(_xlfn._xlws.FILTER('Details PC'!$H$5:$H$421,'Details PC'!$W$5:$W$421='Processing Centre'!N$4))),0)</f>
        <v>0</v>
      </c>
      <c r="O20" s="262" cm="1">
        <f t="array" ref="O20">IFERROR(ROWS(_xlfn.UNIQUE(_xlfn._xlws.FILTER('Details PC'!$H$5:$H$421,'Details PC'!$W$5:$W$421='Processing Centre'!O$4))),0)</f>
        <v>2</v>
      </c>
      <c r="P20" s="262" cm="1">
        <f t="array" ref="P20">IFERROR(ROWS(_xlfn.UNIQUE(_xlfn._xlws.FILTER('Details PC'!$H$5:$H$421,'Details PC'!$W$5:$W$421='Processing Centre'!P$4))),0)</f>
        <v>2</v>
      </c>
      <c r="Q20" s="262" cm="1">
        <f t="array" ref="Q20">IFERROR(ROWS(_xlfn.UNIQUE(_xlfn._xlws.FILTER('Details PC'!$H$5:$H$421,'Details PC'!$W$5:$W$421='Processing Centre'!Q$4))),0)</f>
        <v>4</v>
      </c>
      <c r="R20" s="262" cm="1">
        <f t="array" ref="R20">IFERROR(ROWS(_xlfn.UNIQUE(_xlfn._xlws.FILTER('Details PC'!$H$5:$H$421,'Details PC'!$W$5:$W$421='Processing Centre'!R$4))),0)</f>
        <v>3</v>
      </c>
      <c r="S20" s="262" cm="1">
        <f t="array" ref="S20">IFERROR(ROWS(_xlfn.UNIQUE(_xlfn._xlws.FILTER('Details PC'!$H$5:$H$421,'Details PC'!$W$5:$W$421='Processing Centre'!S$4))),0)</f>
        <v>3</v>
      </c>
      <c r="T20" s="262" cm="1">
        <f t="array" ref="T20">IFERROR(ROWS(_xlfn.UNIQUE(_xlfn._xlws.FILTER('Details PC'!$H$5:$H$421,'Details PC'!$W$5:$W$421='Processing Centre'!T$4))),0)</f>
        <v>5</v>
      </c>
      <c r="U20" s="262" cm="1">
        <f t="array" ref="U20">IFERROR(ROWS(_xlfn.UNIQUE(_xlfn._xlws.FILTER('Details PC'!$H$5:$H$421,'Details PC'!$W$5:$W$421='Processing Centre'!U$4))),0)</f>
        <v>5</v>
      </c>
      <c r="V20" s="262" cm="1">
        <f t="array" ref="V20">IFERROR(ROWS(_xlfn.UNIQUE(_xlfn._xlws.FILTER('Details PC'!$H$5:$H$421,'Details PC'!$W$5:$W$421='Processing Centre'!V$4))),0)</f>
        <v>3</v>
      </c>
      <c r="W20" s="262" cm="1">
        <f t="array" ref="W20">IFERROR(ROWS(_xlfn.UNIQUE(_xlfn._xlws.FILTER('Details PC'!$H$5:$H$421,'Details PC'!$W$5:$W$421='Processing Centre'!W$4))),0)</f>
        <v>4</v>
      </c>
      <c r="X20" s="262" cm="1">
        <f t="array" ref="X20">IFERROR(ROWS(_xlfn.UNIQUE(_xlfn._xlws.FILTER('Details PC'!$H$5:$H$421,'Details PC'!$W$5:$W$421='Processing Centre'!X$4))),0)</f>
        <v>3</v>
      </c>
      <c r="Y20" s="262" cm="1">
        <f t="array" ref="Y20">IFERROR(ROWS(_xlfn.UNIQUE(_xlfn._xlws.FILTER('Details PC'!$H$5:$H$421,'Details PC'!$W$5:$W$421='Processing Centre'!Y$4))),0)</f>
        <v>5</v>
      </c>
      <c r="Z20" s="262" cm="1">
        <f t="array" ref="Z20">IFERROR(ROWS(_xlfn.UNIQUE(_xlfn._xlws.FILTER('Details PC'!$H$5:$H$421,'Details PC'!$W$5:$W$421='Processing Centre'!Z$4))),0)</f>
        <v>4</v>
      </c>
      <c r="AA20" s="262" cm="1">
        <f t="array" ref="AA20">IFERROR(ROWS(_xlfn.UNIQUE(_xlfn._xlws.FILTER('Details PC'!$H$5:$H$421,'Details PC'!$W$5:$W$421='Processing Centre'!AA$4))),0)</f>
        <v>3</v>
      </c>
      <c r="AB20" s="262" cm="1">
        <f t="array" ref="AB20">IFERROR(ROWS(_xlfn.UNIQUE(_xlfn._xlws.FILTER('Details PC'!$H$5:$H$421,'Details PC'!$W$5:$W$421='Processing Centre'!AB$4))),0)</f>
        <v>2</v>
      </c>
      <c r="AC20" s="262" cm="1">
        <f t="array" ref="AC20">IFERROR(ROWS(_xlfn.UNIQUE(_xlfn._xlws.FILTER('Details PC'!$H$5:$H$421,'Details PC'!$W$5:$W$421='Processing Centre'!AC$4))),0)</f>
        <v>0</v>
      </c>
      <c r="AD20" s="263">
        <f>ROWS(_xlfn.UNIQUE('Details PC'!H5:H421))-1</f>
        <v>16</v>
      </c>
      <c r="AE20" s="339" cm="1">
        <f t="array" ref="AE20">IFERROR(ROWS(_xlfn.UNIQUE(_xlfn._xlws.FILTER('Details PC'!$H$5:$H$421,'Details PC'!$C$5:$C$421=AE4))),0)</f>
        <v>4</v>
      </c>
      <c r="AF20" s="339" cm="1">
        <f t="array" ref="AF20">IFERROR(ROWS(_xlfn.UNIQUE(_xlfn._xlws.FILTER('Details PC'!$H$5:$H$421,'Details PC'!$C$5:$C$421=AF4))),0)</f>
        <v>14</v>
      </c>
      <c r="AG20" s="335">
        <f t="shared" ref="AG20:AG21" si="21">SUM(AA20:AC20)</f>
        <v>5</v>
      </c>
    </row>
    <row r="21" spans="2:33" x14ac:dyDescent="0.25">
      <c r="B21" s="257" t="s">
        <v>12</v>
      </c>
      <c r="C21" s="262" cm="1">
        <f t="array" ref="C21">IFERROR(ROWS(_xlfn.UNIQUE(_xlfn._xlws.FILTER('Details PC'!$AB$5:$AB$421,'Details PC'!$W$5:$W$421='Processing Centre'!C$4))),0)</f>
        <v>0</v>
      </c>
      <c r="D21" s="262" cm="1">
        <f t="array" ref="D21">IFERROR(ROWS(_xlfn.UNIQUE(_xlfn._xlws.FILTER('Details PC'!$AB$5:$AB$421,'Details PC'!$W$5:$W$421='Processing Centre'!D$4))),0)</f>
        <v>0</v>
      </c>
      <c r="E21" s="262" cm="1">
        <f t="array" ref="E21">IFERROR(ROWS(_xlfn.UNIQUE(_xlfn._xlws.FILTER('Details PC'!$AB$5:$AB$421,'Details PC'!$W$5:$W$421='Processing Centre'!E$4))),0)</f>
        <v>0</v>
      </c>
      <c r="F21" s="262" cm="1">
        <f t="array" ref="F21">IFERROR(ROWS(_xlfn.UNIQUE(_xlfn._xlws.FILTER('Details PC'!$AB$5:$AB$421,'Details PC'!$W$5:$W$421='Processing Centre'!F$4))),0)</f>
        <v>0</v>
      </c>
      <c r="G21" s="262" cm="1">
        <f t="array" ref="G21">IFERROR(ROWS(_xlfn.UNIQUE(_xlfn._xlws.FILTER('Details PC'!$AB$5:$AB$421,'Details PC'!$W$5:$W$421='Processing Centre'!G$4))),0)</f>
        <v>0</v>
      </c>
      <c r="H21" s="262" cm="1">
        <f t="array" ref="H21">IFERROR(ROWS(_xlfn.UNIQUE(_xlfn._xlws.FILTER('Details PC'!$AB$5:$AB$421,'Details PC'!$W$5:$W$421='Processing Centre'!H$4))),0)</f>
        <v>0</v>
      </c>
      <c r="I21" s="262" cm="1">
        <f t="array" ref="I21">IFERROR(ROWS(_xlfn.UNIQUE(_xlfn._xlws.FILTER('Details PC'!$AB$5:$AB$421,'Details PC'!$W$5:$W$421='Processing Centre'!I$4))),0)</f>
        <v>0</v>
      </c>
      <c r="J21" s="262" cm="1">
        <f t="array" ref="J21">IFERROR(ROWS(_xlfn.UNIQUE(_xlfn._xlws.FILTER('Details PC'!$AB$5:$AB$421,'Details PC'!$W$5:$W$421='Processing Centre'!J$4))),0)</f>
        <v>0</v>
      </c>
      <c r="K21" s="262" cm="1">
        <f t="array" ref="K21">IFERROR(ROWS(_xlfn.UNIQUE(_xlfn._xlws.FILTER('Details PC'!$AB$5:$AB$421,'Details PC'!$W$5:$W$421='Processing Centre'!K$4))),0)</f>
        <v>2</v>
      </c>
      <c r="L21" s="262" cm="1">
        <f t="array" ref="L21">IFERROR(ROWS(_xlfn.UNIQUE(_xlfn._xlws.FILTER('Details PC'!$AB$5:$AB$421,'Details PC'!$W$5:$W$421='Processing Centre'!L$4))),0)</f>
        <v>2</v>
      </c>
      <c r="M21" s="262" cm="1">
        <f t="array" ref="M21">IFERROR(ROWS(_xlfn.UNIQUE(_xlfn._xlws.FILTER('Details PC'!$AB$5:$AB$421,'Details PC'!$W$5:$W$421='Processing Centre'!M$4))),0)</f>
        <v>4</v>
      </c>
      <c r="N21" s="262" cm="1">
        <f t="array" ref="N21">IFERROR(ROWS(_xlfn.UNIQUE(_xlfn._xlws.FILTER('Details PC'!$AB$5:$AB$421,'Details PC'!$W$5:$W$421='Processing Centre'!N$4))),0)</f>
        <v>0</v>
      </c>
      <c r="O21" s="262" cm="1">
        <f t="array" ref="O21">IFERROR(ROWS(_xlfn.UNIQUE(_xlfn._xlws.FILTER('Details PC'!$AB$5:$AB$421,'Details PC'!$W$5:$W$421='Processing Centre'!O$4))),0)</f>
        <v>7</v>
      </c>
      <c r="P21" s="262" cm="1">
        <f t="array" ref="P21">IFERROR(ROWS(_xlfn.UNIQUE(_xlfn._xlws.FILTER('Details PC'!$AB$5:$AB$421,'Details PC'!$W$5:$W$421='Processing Centre'!P$4))),0)</f>
        <v>3</v>
      </c>
      <c r="Q21" s="262" cm="1">
        <f t="array" ref="Q21">IFERROR(ROWS(_xlfn.UNIQUE(_xlfn._xlws.FILTER('Details PC'!$AB$5:$AB$421,'Details PC'!$W$5:$W$421='Processing Centre'!Q$4))),0)</f>
        <v>5</v>
      </c>
      <c r="R21" s="262" cm="1">
        <f t="array" ref="R21">IFERROR(ROWS(_xlfn.UNIQUE(_xlfn._xlws.FILTER('Details PC'!$AB$5:$AB$421,'Details PC'!$W$5:$W$421='Processing Centre'!R$4))),0)</f>
        <v>5</v>
      </c>
      <c r="S21" s="262" cm="1">
        <f t="array" ref="S21">IFERROR(ROWS(_xlfn.UNIQUE(_xlfn._xlws.FILTER('Details PC'!$AB$5:$AB$421,'Details PC'!$W$5:$W$421='Processing Centre'!S$4))),0)</f>
        <v>5</v>
      </c>
      <c r="T21" s="262" cm="1">
        <f t="array" ref="T21">IFERROR(ROWS(_xlfn.UNIQUE(_xlfn._xlws.FILTER('Details PC'!$AB$5:$AB$421,'Details PC'!$W$5:$W$421='Processing Centre'!T$4))),0)</f>
        <v>5</v>
      </c>
      <c r="U21" s="262" cm="1">
        <f t="array" ref="U21">IFERROR(ROWS(_xlfn.UNIQUE(_xlfn._xlws.FILTER('Details PC'!$AB$5:$AB$421,'Details PC'!$W$5:$W$421='Processing Centre'!U$4))),0)</f>
        <v>5</v>
      </c>
      <c r="V21" s="262" cm="1">
        <f t="array" ref="V21">IFERROR(ROWS(_xlfn.UNIQUE(_xlfn._xlws.FILTER('Details PC'!$AB$5:$AB$421,'Details PC'!$W$5:$W$421='Processing Centre'!V$4))),0)</f>
        <v>4</v>
      </c>
      <c r="W21" s="262" cm="1">
        <f t="array" ref="W21">IFERROR(ROWS(_xlfn.UNIQUE(_xlfn._xlws.FILTER('Details PC'!$AB$5:$AB$421,'Details PC'!$W$5:$W$421='Processing Centre'!W$4))),0)</f>
        <v>2</v>
      </c>
      <c r="X21" s="262" cm="1">
        <f t="array" ref="X21">IFERROR(ROWS(_xlfn.UNIQUE(_xlfn._xlws.FILTER('Details PC'!$AB$5:$AB$421,'Details PC'!$W$5:$W$421='Processing Centre'!X$4))),0)</f>
        <v>4</v>
      </c>
      <c r="Y21" s="262" cm="1">
        <f t="array" ref="Y21">IFERROR(ROWS(_xlfn.UNIQUE(_xlfn._xlws.FILTER('Details PC'!$AB$5:$AB$421,'Details PC'!$W$5:$W$421='Processing Centre'!Y$4))),0)</f>
        <v>4</v>
      </c>
      <c r="Z21" s="262" cm="1">
        <f t="array" ref="Z21">IFERROR(ROWS(_xlfn.UNIQUE(_xlfn._xlws.FILTER('Details PC'!$AB$5:$AB$421,'Details PC'!$W$5:$W$421='Processing Centre'!Z$4))),0)</f>
        <v>6</v>
      </c>
      <c r="AA21" s="262" cm="1">
        <f t="array" ref="AA21">IFERROR(ROWS(_xlfn.UNIQUE(_xlfn._xlws.FILTER('Details PC'!$AB$5:$AB$421,'Details PC'!$W$5:$W$421='Processing Centre'!AA$4))),0)</f>
        <v>3</v>
      </c>
      <c r="AB21" s="262" cm="1">
        <f t="array" ref="AB21">IFERROR(ROWS(_xlfn.UNIQUE(_xlfn._xlws.FILTER('Details PC'!$AB$5:$AB$421,'Details PC'!$W$5:$W$421='Processing Centre'!AB$4))),0)</f>
        <v>2</v>
      </c>
      <c r="AC21" s="262" cm="1">
        <f t="array" ref="AC21">IFERROR(ROWS(_xlfn.UNIQUE(_xlfn._xlws.FILTER('Details PC'!$AB$5:$AB$421,'Details PC'!$W$5:$W$421='Processing Centre'!AC$4))),0)</f>
        <v>0</v>
      </c>
      <c r="AD21" s="258">
        <f>ROWS(_xlfn.UNIQUE('Details PC'!AB5:AB421))-1</f>
        <v>23</v>
      </c>
      <c r="AE21" s="335" cm="1">
        <f t="array" ref="AE21">IFERROR(ROWS(_xlfn.UNIQUE(_xlfn._xlws.FILTER('Details PC'!$AB$5:$AB$421,'Details PC'!$V$5:$V$421='Processing Centre'!AE$4))),0)</f>
        <v>7</v>
      </c>
      <c r="AF21" s="335" cm="1">
        <f t="array" ref="AF21">IFERROR(ROWS(_xlfn.UNIQUE(_xlfn._xlws.FILTER('Details PC'!$AB$5:$AB$421,'Details PC'!$V$5:$V$421='Processing Centre'!AF$4))),0)</f>
        <v>19</v>
      </c>
      <c r="AG21" s="335">
        <f t="shared" si="21"/>
        <v>5</v>
      </c>
    </row>
    <row r="22" spans="2:33" x14ac:dyDescent="0.25">
      <c r="B22" s="257" t="s">
        <v>13</v>
      </c>
      <c r="C22" s="262">
        <v>0</v>
      </c>
      <c r="D22" s="264">
        <v>0</v>
      </c>
      <c r="E22" s="262">
        <v>0</v>
      </c>
      <c r="F22" s="264">
        <v>0</v>
      </c>
      <c r="G22" s="262">
        <v>0</v>
      </c>
      <c r="H22" s="264">
        <v>0</v>
      </c>
      <c r="I22" s="262">
        <v>0</v>
      </c>
      <c r="J22" s="264">
        <v>0</v>
      </c>
      <c r="K22" s="262">
        <v>0</v>
      </c>
      <c r="L22" s="264">
        <v>0</v>
      </c>
      <c r="M22" s="262">
        <v>0</v>
      </c>
      <c r="N22" s="262">
        <v>0</v>
      </c>
      <c r="O22" s="262">
        <v>0</v>
      </c>
      <c r="P22" s="262">
        <v>0</v>
      </c>
      <c r="Q22" s="262">
        <v>0</v>
      </c>
      <c r="R22" s="262">
        <v>0</v>
      </c>
      <c r="S22" s="262">
        <v>0</v>
      </c>
      <c r="T22" s="262">
        <v>0</v>
      </c>
      <c r="U22" s="262">
        <v>0</v>
      </c>
      <c r="V22" s="262">
        <v>0</v>
      </c>
      <c r="W22" s="262">
        <v>0</v>
      </c>
      <c r="X22" s="262">
        <v>0</v>
      </c>
      <c r="Y22" s="262">
        <v>0</v>
      </c>
      <c r="Z22" s="262">
        <v>0</v>
      </c>
      <c r="AA22" s="262">
        <v>0</v>
      </c>
      <c r="AB22" s="262">
        <v>0</v>
      </c>
      <c r="AC22" s="262">
        <v>0</v>
      </c>
      <c r="AD22" s="258">
        <f>SUM(C22:AB22)</f>
        <v>0</v>
      </c>
      <c r="AE22" s="335">
        <f>SUM(D22:N22)</f>
        <v>0</v>
      </c>
      <c r="AF22" s="335">
        <f>SUM(O22:Z22)</f>
        <v>0</v>
      </c>
      <c r="AG22" s="335">
        <f t="shared" si="7"/>
        <v>0</v>
      </c>
    </row>
    <row r="23" spans="2:33" x14ac:dyDescent="0.25">
      <c r="B23" s="257" t="s">
        <v>5</v>
      </c>
      <c r="C23" s="262">
        <v>0</v>
      </c>
      <c r="D23" s="262">
        <v>0</v>
      </c>
      <c r="E23" s="262">
        <v>0</v>
      </c>
      <c r="F23" s="262">
        <v>0</v>
      </c>
      <c r="G23" s="262">
        <v>0</v>
      </c>
      <c r="H23" s="262">
        <v>0</v>
      </c>
      <c r="I23" s="262">
        <v>0</v>
      </c>
      <c r="J23" s="262">
        <v>0</v>
      </c>
      <c r="K23" s="262">
        <v>0</v>
      </c>
      <c r="L23" s="262">
        <v>3684158</v>
      </c>
      <c r="M23" s="262">
        <v>4840740</v>
      </c>
      <c r="N23" s="262">
        <v>5071174</v>
      </c>
      <c r="O23" s="262">
        <v>9109058</v>
      </c>
      <c r="P23" s="262">
        <v>9064031.6199999992</v>
      </c>
      <c r="Q23" s="262">
        <v>14603522.84</v>
      </c>
      <c r="R23" s="262">
        <v>20048165.920000002</v>
      </c>
      <c r="S23" s="262">
        <v>20753318.520000003</v>
      </c>
      <c r="T23" s="262">
        <v>27967133.260000002</v>
      </c>
      <c r="U23" s="262">
        <v>10286916.34</v>
      </c>
      <c r="V23" s="262">
        <v>15585783.4</v>
      </c>
      <c r="W23" s="262">
        <v>17202350.199999999</v>
      </c>
      <c r="X23" s="262">
        <v>19983005.379999999</v>
      </c>
      <c r="Y23" s="262">
        <v>22412228.010000009</v>
      </c>
      <c r="Z23" s="262">
        <v>5596657.1600000001</v>
      </c>
      <c r="AA23" s="262">
        <v>4032971.88</v>
      </c>
      <c r="AB23" s="262">
        <v>4781142.7400000012</v>
      </c>
      <c r="AC23" s="262">
        <v>1978285.6199999992</v>
      </c>
      <c r="AD23" s="259">
        <f>AVERAGE(L23:AB23)</f>
        <v>12648373.957058825</v>
      </c>
      <c r="AE23" s="340">
        <f>AVERAGE(K23:N23)</f>
        <v>3399018</v>
      </c>
      <c r="AF23" s="340">
        <f>AVERAGE(O23:Z23)</f>
        <v>16051014.220833337</v>
      </c>
      <c r="AG23" s="340">
        <f>AC23</f>
        <v>1978285.6199999992</v>
      </c>
    </row>
    <row r="24" spans="2:33" x14ac:dyDescent="0.25">
      <c r="B24" s="474" t="s">
        <v>6</v>
      </c>
      <c r="C24" s="475">
        <f t="shared" ref="C24:Z24" si="22">IFERROR(((C23/(C6*1.18))*C3),0)</f>
        <v>0</v>
      </c>
      <c r="D24" s="475">
        <f t="shared" si="22"/>
        <v>0</v>
      </c>
      <c r="E24" s="475">
        <f t="shared" si="22"/>
        <v>0</v>
      </c>
      <c r="F24" s="475">
        <f t="shared" si="22"/>
        <v>0</v>
      </c>
      <c r="G24" s="475">
        <f t="shared" si="22"/>
        <v>0</v>
      </c>
      <c r="H24" s="475">
        <f t="shared" si="22"/>
        <v>0</v>
      </c>
      <c r="I24" s="475">
        <f t="shared" si="22"/>
        <v>0</v>
      </c>
      <c r="J24" s="475">
        <f t="shared" si="22"/>
        <v>0</v>
      </c>
      <c r="K24" s="475">
        <f t="shared" si="22"/>
        <v>0</v>
      </c>
      <c r="L24" s="475">
        <f t="shared" si="22"/>
        <v>47.062668580014815</v>
      </c>
      <c r="M24" s="475">
        <f t="shared" si="22"/>
        <v>33.46217337290954</v>
      </c>
      <c r="N24" s="475">
        <f t="shared" si="22"/>
        <v>17.518359508107864</v>
      </c>
      <c r="O24" s="475">
        <f t="shared" si="22"/>
        <v>24.296575215880527</v>
      </c>
      <c r="P24" s="475">
        <f t="shared" si="22"/>
        <v>75.23866933970119</v>
      </c>
      <c r="Q24" s="475">
        <f t="shared" si="22"/>
        <v>37.361276544827589</v>
      </c>
      <c r="R24" s="475">
        <f t="shared" si="22"/>
        <v>50.155168529705733</v>
      </c>
      <c r="S24" s="475">
        <f t="shared" si="22"/>
        <v>35.814668490987835</v>
      </c>
      <c r="T24" s="475">
        <f t="shared" si="22"/>
        <v>28.158418295043017</v>
      </c>
      <c r="U24" s="475">
        <f t="shared" si="22"/>
        <v>24.923010309411715</v>
      </c>
      <c r="V24" s="475">
        <f t="shared" si="22"/>
        <v>36.032342234643878</v>
      </c>
      <c r="W24" s="475">
        <f t="shared" si="22"/>
        <v>31.879542603498216</v>
      </c>
      <c r="X24" s="475">
        <f t="shared" si="22"/>
        <v>32.745659061945986</v>
      </c>
      <c r="Y24" s="475">
        <f t="shared" si="22"/>
        <v>37.420477562799654</v>
      </c>
      <c r="Z24" s="475">
        <f t="shared" si="22"/>
        <v>28.727788185167906</v>
      </c>
      <c r="AA24" s="475">
        <f t="shared" ref="AA24:AC24" si="23">IFERROR(((AA23/(AA6*1.18))*AA3),0)</f>
        <v>116.51140634302187</v>
      </c>
      <c r="AB24" s="475">
        <f t="shared" si="23"/>
        <v>24.934673944965095</v>
      </c>
      <c r="AC24" s="475">
        <f t="shared" si="23"/>
        <v>28.837185782736956</v>
      </c>
      <c r="AD24" s="475">
        <f>IFERROR(((AD23)/(AD6*1.18)*AD3),0)</f>
        <v>36.996714811587168</v>
      </c>
      <c r="AE24" s="476">
        <f>IFERROR(((AE23)/(AE6*1.18)*AE3),0)</f>
        <v>21.634047292380533</v>
      </c>
      <c r="AF24" s="476">
        <f>IFERROR(((AF23)/(AF6*1.18)*AF3),0)</f>
        <v>34.243793945400157</v>
      </c>
      <c r="AG24" s="476">
        <f>IFERROR(((AG23)/(AG6*1.18)*AG3),0)</f>
        <v>19.912752884521495</v>
      </c>
    </row>
    <row r="25" spans="2:33" x14ac:dyDescent="0.25">
      <c r="B25" s="257" t="s">
        <v>535</v>
      </c>
      <c r="C25" s="262">
        <f>SUMIFS('Details PC'!$AQ$5:$AQ$421,'Details PC'!$W$5:$W$421,'Processing Centre'!C$4)</f>
        <v>0</v>
      </c>
      <c r="D25" s="262">
        <f>SUMIFS('Details PC'!$AQ$5:$AQ$421,'Details PC'!$W$5:$W$421,'Processing Centre'!D$4)</f>
        <v>0</v>
      </c>
      <c r="E25" s="262">
        <f>SUMIFS('Details PC'!$AQ$5:$AQ$421,'Details PC'!$W$5:$W$421,'Processing Centre'!E$4)</f>
        <v>0</v>
      </c>
      <c r="F25" s="262">
        <f>SUMIFS('Details PC'!$AQ$5:$AQ$421,'Details PC'!$W$5:$W$421,'Processing Centre'!F$4)</f>
        <v>0</v>
      </c>
      <c r="G25" s="262">
        <f>SUMIFS('Details PC'!$AQ$5:$AQ$421,'Details PC'!$W$5:$W$421,'Processing Centre'!G$4)</f>
        <v>0</v>
      </c>
      <c r="H25" s="262">
        <f>SUMIFS('Details PC'!$AQ$5:$AQ$421,'Details PC'!$W$5:$W$421,'Processing Centre'!H$4)</f>
        <v>0</v>
      </c>
      <c r="I25" s="262">
        <f>SUMIFS('Details PC'!$AQ$5:$AQ$421,'Details PC'!$W$5:$W$421,'Processing Centre'!I$4)</f>
        <v>0</v>
      </c>
      <c r="J25" s="262">
        <f>SUMIFS('Details PC'!$AQ$5:$AQ$421,'Details PC'!$W$5:$W$421,'Processing Centre'!J$4)</f>
        <v>0</v>
      </c>
      <c r="K25" s="262">
        <f>SUMIFS('Details PC'!$AQ$5:$AQ$421,'Details PC'!$W$5:$W$421,'Processing Centre'!K$4)</f>
        <v>7614.1751436164377</v>
      </c>
      <c r="L25" s="262">
        <f>SUMIFS('Details PC'!$AQ$5:$AQ$421,'Details PC'!$W$5:$W$421,'Processing Centre'!L$4)</f>
        <v>20364.629186602739</v>
      </c>
      <c r="M25" s="262">
        <f>SUMIFS('Details PC'!$AQ$5:$AQ$421,'Details PC'!$W$5:$W$421,'Processing Centre'!M$4)</f>
        <v>123705.17425456166</v>
      </c>
      <c r="N25" s="262">
        <f>SUMIFS('Details PC'!$AQ$5:$AQ$421,'Details PC'!$W$5:$W$421,'Processing Centre'!N$4)</f>
        <v>209291.97392776713</v>
      </c>
      <c r="O25" s="262">
        <f>SUMIFS('Details PC'!$AQ$5:$AQ$421,'Details PC'!$W$5:$W$421,'Processing Centre'!O$4)</f>
        <v>326765.22570593149</v>
      </c>
      <c r="P25" s="262">
        <f>SUMIFS('Details PC'!$AQ$5:$AQ$421,'Details PC'!$W$5:$W$421,'Processing Centre'!P$4)</f>
        <v>60067.407385232873</v>
      </c>
      <c r="Q25" s="262">
        <f>SUMIFS('Details PC'!$AQ$5:$AQ$421,'Details PC'!$W$5:$W$421,'Processing Centre'!Q$4)</f>
        <v>130125.82488761644</v>
      </c>
      <c r="R25" s="262">
        <f>SUMIFS('Details PC'!$AQ$5:$AQ$421,'Details PC'!$W$5:$W$421,'Processing Centre'!R$4)</f>
        <v>31424.076968041096</v>
      </c>
      <c r="S25" s="262">
        <f>SUMIFS('Details PC'!$AQ$5:$AQ$421,'Details PC'!$W$5:$W$421,'Processing Centre'!S$4)</f>
        <v>88798.917560205475</v>
      </c>
      <c r="T25" s="262">
        <f>SUMIFS('Details PC'!$AQ$5:$AQ$421,'Details PC'!$W$5:$W$421,'Processing Centre'!T$4)</f>
        <v>226682.63885706849</v>
      </c>
      <c r="U25" s="262">
        <f>SUMIFS('Details PC'!$AQ$5:$AQ$421,'Details PC'!$W$5:$W$421,'Processing Centre'!U$4)</f>
        <v>187792.84598136987</v>
      </c>
      <c r="V25" s="262">
        <f>SUMIFS('Details PC'!$AQ$5:$AQ$421,'Details PC'!$W$5:$W$421,'Processing Centre'!V$4)</f>
        <v>215927.18803805474</v>
      </c>
      <c r="W25" s="262">
        <f>SUMIFS('Details PC'!$AQ$5:$AQ$421,'Details PC'!$W$5:$W$421,'Processing Centre'!W$4)</f>
        <v>376634.04237136996</v>
      </c>
      <c r="X25" s="262">
        <f>SUMIFS('Details PC'!$AQ$5:$AQ$421,'Details PC'!$W$5:$W$421,'Processing Centre'!X$4)</f>
        <v>327330.7442755439</v>
      </c>
      <c r="Y25" s="262">
        <f>SUMIFS('Details PC'!$AQ$5:$AQ$421,'Details PC'!$W$5:$W$421,'Processing Centre'!Y$4)</f>
        <v>358173.35033557151</v>
      </c>
      <c r="Z25" s="262">
        <f>SUMIFS('Details PC'!$AQ$5:$AQ$421,'Details PC'!$W$5:$W$421,'Processing Centre'!Z$4)</f>
        <v>155221.73749176026</v>
      </c>
      <c r="AA25" s="262">
        <f>SUMIFS('Details PC'!$AQ$5:$AQ$421,'Details PC'!$W$5:$W$421,'Processing Centre'!AA$4)</f>
        <v>17250.4369094863</v>
      </c>
      <c r="AB25" s="262">
        <f>SUMIFS('Details PC'!$AQ$5:$AQ$421,'Details PC'!$W$5:$W$421,'Processing Centre'!AB$4)</f>
        <v>21592.227927780823</v>
      </c>
      <c r="AC25" s="262">
        <f>SUMIFS('Details PC'!$AQ$5:$AQ$421,'Details PC'!$W$5:$W$421,'Processing Centre'!AC$4)</f>
        <v>6891.7350721095881</v>
      </c>
      <c r="AD25" s="258">
        <f>SUM(C25:AB25)</f>
        <v>2884762.6172075807</v>
      </c>
      <c r="AE25" s="335">
        <f t="shared" ref="AE25" si="24">SUM(C25:N25)</f>
        <v>360975.95251254796</v>
      </c>
      <c r="AF25" s="335">
        <f>SUM(O25:Z25)</f>
        <v>2484943.9998577661</v>
      </c>
      <c r="AG25" s="335">
        <f>SUM(AA25:AC25)</f>
        <v>45734.399909376705</v>
      </c>
    </row>
    <row r="26" spans="2:33" x14ac:dyDescent="0.25">
      <c r="B26" s="257" t="s">
        <v>536</v>
      </c>
      <c r="C26" s="262">
        <f>SUMIFS('Opex &amp; Capex Detail'!$I:$I,'Opex &amp; Capex Detail'!$C:$C,'Processing Centre'!C$4)</f>
        <v>95641</v>
      </c>
      <c r="D26" s="262">
        <f>SUMIFS('Opex &amp; Capex Detail'!$I:$I,'Opex &amp; Capex Detail'!$C:$C,'Processing Centre'!D$4)</f>
        <v>180281</v>
      </c>
      <c r="E26" s="262">
        <f>SUMIFS('Opex &amp; Capex Detail'!$I:$I,'Opex &amp; Capex Detail'!$C:$C,'Processing Centre'!E$4)</f>
        <v>165624</v>
      </c>
      <c r="F26" s="262">
        <f>SUMIFS('Opex &amp; Capex Detail'!$I:$I,'Opex &amp; Capex Detail'!$C:$C,'Processing Centre'!F$4)</f>
        <v>152871.70000000001</v>
      </c>
      <c r="G26" s="262">
        <f>SUMIFS('Opex &amp; Capex Detail'!$I:$I,'Opex &amp; Capex Detail'!$C:$C,'Processing Centre'!G$4)</f>
        <v>117600.5</v>
      </c>
      <c r="H26" s="262">
        <f>SUMIFS('Opex &amp; Capex Detail'!$I:$I,'Opex &amp; Capex Detail'!$C:$C,'Processing Centre'!H$4)</f>
        <v>106651.3</v>
      </c>
      <c r="I26" s="262">
        <f>SUMIFS('Opex &amp; Capex Detail'!$I:$I,'Opex &amp; Capex Detail'!$C:$C,'Processing Centre'!I$4)</f>
        <v>90985.44</v>
      </c>
      <c r="J26" s="262">
        <f>SUMIFS('Opex &amp; Capex Detail'!$I:$I,'Opex &amp; Capex Detail'!$C:$C,'Processing Centre'!J$4)</f>
        <v>241504</v>
      </c>
      <c r="K26" s="262">
        <f>SUMIFS('Opex &amp; Capex Detail'!$I:$I,'Opex &amp; Capex Detail'!$C:$C,'Processing Centre'!K$4)</f>
        <v>304768.21999999997</v>
      </c>
      <c r="L26" s="262">
        <f>SUMIFS('Opex &amp; Capex Detail'!$I:$I,'Opex &amp; Capex Detail'!$C:$C,'Processing Centre'!L$4)</f>
        <v>592266.34</v>
      </c>
      <c r="M26" s="262">
        <f>SUMIFS('Opex &amp; Capex Detail'!$I:$I,'Opex &amp; Capex Detail'!$C:$C,'Processing Centre'!M$4)</f>
        <v>654531.47</v>
      </c>
      <c r="N26" s="262">
        <f>SUMIFS('Opex &amp; Capex Detail'!$I:$I,'Opex &amp; Capex Detail'!$C:$C,'Processing Centre'!N$4)</f>
        <v>584106.9</v>
      </c>
      <c r="O26" s="262">
        <f>SUMIFS('Opex &amp; Capex Detail'!$I:$I,'Opex &amp; Capex Detail'!$C:$C,'Processing Centre'!O$4)</f>
        <v>760206.27</v>
      </c>
      <c r="P26" s="262">
        <f>SUMIFS('Opex &amp; Capex Detail'!$I:$I,'Opex &amp; Capex Detail'!$C:$C,'Processing Centre'!P$4)</f>
        <v>644166.44999999995</v>
      </c>
      <c r="Q26" s="262">
        <f>SUMIFS('Opex &amp; Capex Detail'!$I:$I,'Opex &amp; Capex Detail'!$C:$C,'Processing Centre'!Q$4)</f>
        <v>1014316.7023342466</v>
      </c>
      <c r="R26" s="262">
        <f>SUMIFS('Opex &amp; Capex Detail'!$I:$I,'Opex &amp; Capex Detail'!$C:$C,'Processing Centre'!R$4)</f>
        <v>666870.95572712331</v>
      </c>
      <c r="S26" s="262">
        <f>SUMIFS('Opex &amp; Capex Detail'!$I:$I,'Opex &amp; Capex Detail'!$C:$C,'Processing Centre'!S$4)</f>
        <v>467592.67572712328</v>
      </c>
      <c r="T26" s="262">
        <f>SUMIFS('Opex &amp; Capex Detail'!$I:$I,'Opex &amp; Capex Detail'!$C:$C,'Processing Centre'!T$4)</f>
        <v>744612.64302520535</v>
      </c>
      <c r="U26" s="262">
        <f>SUMIFS('Opex &amp; Capex Detail'!$I:$I,'Opex &amp; Capex Detail'!$C:$C,'Processing Centre'!U$4)</f>
        <v>768812.6350830138</v>
      </c>
      <c r="V26" s="262">
        <f>SUMIFS('Opex &amp; Capex Detail'!$I:$I,'Opex &amp; Capex Detail'!$C:$C,'Processing Centre'!V$4)</f>
        <v>737997.10298356158</v>
      </c>
      <c r="W26" s="262">
        <f>SUMIFS('Opex &amp; Capex Detail'!$I:$I,'Opex &amp; Capex Detail'!$C:$C,'Processing Centre'!W$4)</f>
        <v>493518.22508301371</v>
      </c>
      <c r="X26" s="262">
        <f>SUMIFS('Opex &amp; Capex Detail'!$I:$I,'Opex &amp; Capex Detail'!$C:$C,'Processing Centre'!X$4)</f>
        <v>762849</v>
      </c>
      <c r="Y26" s="262">
        <f>SUMIFS('Opex &amp; Capex Detail'!$I:$I,'Opex &amp; Capex Detail'!$C:$C,'Processing Centre'!Y$4)</f>
        <v>705872.99924999999</v>
      </c>
      <c r="Z26" s="262">
        <f>SUMIFS('Opex &amp; Capex Detail'!$I:$I,'Opex &amp; Capex Detail'!$C:$C,'Processing Centre'!Z$4)</f>
        <v>371720</v>
      </c>
      <c r="AA26" s="262">
        <f>SUMIFS('Opex &amp; Capex Detail'!$I:$I,'Opex &amp; Capex Detail'!$C:$C,'Processing Centre'!AA$4)</f>
        <v>254388.13</v>
      </c>
      <c r="AB26" s="262">
        <f>SUMIFS('Opex &amp; Capex Detail'!$I:$I,'Opex &amp; Capex Detail'!$C:$C,'Processing Centre'!AB$4)</f>
        <v>312234.81</v>
      </c>
      <c r="AC26" s="262">
        <f>AB26*AC5/AB5+'Opex &amp; Capex Detail'!I676</f>
        <v>161501.44468268618</v>
      </c>
      <c r="AD26" s="258">
        <f>SUM(C26:AB26)</f>
        <v>11991990.46921329</v>
      </c>
      <c r="AE26" s="335">
        <f>SUM(C26:N26)</f>
        <v>3286831.8699999996</v>
      </c>
      <c r="AF26" s="335">
        <f>SUM(O26:Z26)</f>
        <v>8138535.6592132878</v>
      </c>
      <c r="AG26" s="335">
        <f>SUM(AA26:AC26)</f>
        <v>728124.38468268607</v>
      </c>
    </row>
    <row r="27" spans="2:33" x14ac:dyDescent="0.25">
      <c r="B27" s="257" t="s">
        <v>2900</v>
      </c>
      <c r="C27" s="262"/>
      <c r="D27" s="262"/>
      <c r="E27" s="262"/>
      <c r="F27" s="262"/>
      <c r="G27" s="262"/>
      <c r="H27" s="262"/>
      <c r="I27" s="262"/>
      <c r="J27" s="262"/>
      <c r="K27" s="262">
        <f>K12-K26-K25</f>
        <v>65856.894856383631</v>
      </c>
      <c r="L27" s="262">
        <f t="shared" ref="L27:Z27" si="25">L12-L26-L25</f>
        <v>-1024049.729186603</v>
      </c>
      <c r="M27" s="262">
        <f t="shared" si="25"/>
        <v>-154831.09195456153</v>
      </c>
      <c r="N27" s="262">
        <f t="shared" si="25"/>
        <v>-62088.483927767491</v>
      </c>
      <c r="O27" s="262">
        <f t="shared" si="25"/>
        <v>638651.15429406986</v>
      </c>
      <c r="P27" s="262">
        <f t="shared" si="25"/>
        <v>-1509100.912385233</v>
      </c>
      <c r="Q27" s="262">
        <f t="shared" si="25"/>
        <v>-138203.66722186364</v>
      </c>
      <c r="R27" s="262">
        <f t="shared" si="25"/>
        <v>-662931.28269516444</v>
      </c>
      <c r="S27" s="262">
        <f t="shared" si="25"/>
        <v>-502335.48328732816</v>
      </c>
      <c r="T27" s="262">
        <f t="shared" si="25"/>
        <v>-1880220.8618822759</v>
      </c>
      <c r="U27" s="262">
        <f t="shared" si="25"/>
        <v>-3365445.811064383</v>
      </c>
      <c r="V27" s="262">
        <f t="shared" si="25"/>
        <v>-4394583.5460216152</v>
      </c>
      <c r="W27" s="262">
        <f t="shared" si="25"/>
        <v>-2188614.7474543839</v>
      </c>
      <c r="X27" s="262">
        <f t="shared" si="25"/>
        <v>-917273.12947554374</v>
      </c>
      <c r="Y27" s="262">
        <f t="shared" si="25"/>
        <v>-1497836.9220605707</v>
      </c>
      <c r="Z27" s="262">
        <f t="shared" si="25"/>
        <v>-1349427.690642247</v>
      </c>
      <c r="AA27" s="262">
        <f t="shared" ref="AA27:AF27" si="26">AA12-AA26-AA25</f>
        <v>-605189.77426380198</v>
      </c>
      <c r="AB27" s="262">
        <f t="shared" si="26"/>
        <v>-263356.28792778082</v>
      </c>
      <c r="AC27" s="262">
        <f t="shared" si="26"/>
        <v>-418440.05975479569</v>
      </c>
      <c r="AD27" s="262">
        <f t="shared" si="26"/>
        <v>-20962140.312300671</v>
      </c>
      <c r="AE27" s="262">
        <f t="shared" si="26"/>
        <v>-2326271.350212547</v>
      </c>
      <c r="AF27" s="262">
        <f t="shared" si="26"/>
        <v>-17767322.89989654</v>
      </c>
      <c r="AG27" s="335">
        <f>SUM(AA27:AC27)</f>
        <v>-1286986.1219463784</v>
      </c>
    </row>
    <row r="28" spans="2:33" ht="12.6" thickBot="1" x14ac:dyDescent="0.3">
      <c r="B28" s="477" t="s">
        <v>2785</v>
      </c>
      <c r="C28" s="478"/>
      <c r="D28" s="478"/>
      <c r="E28" s="478"/>
      <c r="F28" s="478"/>
      <c r="G28" s="478"/>
      <c r="H28" s="478"/>
      <c r="I28" s="478"/>
      <c r="J28" s="478"/>
      <c r="K28" s="478">
        <f t="shared" ref="K28:AG28" si="27">K27/K6</f>
        <v>2.2838746152805432E-2</v>
      </c>
      <c r="L28" s="478">
        <f t="shared" si="27"/>
        <v>-0.49794303554800395</v>
      </c>
      <c r="M28" s="478">
        <f t="shared" si="27"/>
        <v>-4.5104984790921253E-2</v>
      </c>
      <c r="N28" s="478">
        <f t="shared" si="27"/>
        <v>-8.1642499328418473E-3</v>
      </c>
      <c r="O28" s="478">
        <f t="shared" si="27"/>
        <v>6.7003277588372101E-2</v>
      </c>
      <c r="P28" s="478">
        <f t="shared" si="27"/>
        <v>-0.47682420057039177</v>
      </c>
      <c r="Q28" s="478">
        <f t="shared" si="27"/>
        <v>-1.3907350244289272E-2</v>
      </c>
      <c r="R28" s="478">
        <f t="shared" si="27"/>
        <v>-6.3129139964874889E-2</v>
      </c>
      <c r="S28" s="478">
        <f t="shared" si="27"/>
        <v>-3.2997995103650229E-2</v>
      </c>
      <c r="T28" s="478">
        <f t="shared" si="27"/>
        <v>-7.446118166399196E-2</v>
      </c>
      <c r="U28" s="478">
        <f t="shared" si="27"/>
        <v>-0.31036890560385433</v>
      </c>
      <c r="V28" s="478">
        <f t="shared" si="27"/>
        <v>-0.39961550944476554</v>
      </c>
      <c r="W28" s="478">
        <f t="shared" si="27"/>
        <v>-0.1543881388337153</v>
      </c>
      <c r="X28" s="478">
        <f t="shared" si="27"/>
        <v>-5.7215265220173804E-2</v>
      </c>
      <c r="Y28" s="478">
        <f t="shared" si="27"/>
        <v>-0.10539325106913644</v>
      </c>
      <c r="Z28" s="478">
        <f t="shared" si="27"/>
        <v>-0.26365949597350585</v>
      </c>
      <c r="AA28" s="478">
        <f t="shared" ref="AA28" si="28">AA27/AA6</f>
        <v>-0.68769455285326697</v>
      </c>
      <c r="AB28" s="478">
        <f>AB27/AB6</f>
        <v>-5.2280049426183299E-2</v>
      </c>
      <c r="AC28" s="478">
        <f>AC27/AC6</f>
        <v>-0.23991526925662954</v>
      </c>
      <c r="AD28" s="478">
        <f>AD27/AD6</f>
        <v>-0.12560982543983601</v>
      </c>
      <c r="AE28" s="479">
        <f t="shared" si="27"/>
        <v>-0.14559465900244725</v>
      </c>
      <c r="AF28" s="479">
        <f t="shared" si="27"/>
        <v>-0.12254357151860194</v>
      </c>
      <c r="AG28" s="479">
        <f t="shared" si="27"/>
        <v>-0.16797969517161884</v>
      </c>
    </row>
    <row r="29" spans="2:33" ht="12.6" thickBot="1" x14ac:dyDescent="0.3">
      <c r="AF29" s="316"/>
    </row>
    <row r="30" spans="2:33" x14ac:dyDescent="0.25">
      <c r="B30" s="254" t="s">
        <v>532</v>
      </c>
      <c r="C30" s="265" t="str">
        <f t="shared" ref="C30:Z30" si="29">C4</f>
        <v>Apr-24</v>
      </c>
      <c r="D30" s="265" t="str">
        <f t="shared" si="29"/>
        <v>May-24</v>
      </c>
      <c r="E30" s="265" t="str">
        <f t="shared" si="29"/>
        <v>Jun-24</v>
      </c>
      <c r="F30" s="265" t="str">
        <f t="shared" si="29"/>
        <v>Jul-24</v>
      </c>
      <c r="G30" s="265" t="str">
        <f t="shared" si="29"/>
        <v>Aug-24</v>
      </c>
      <c r="H30" s="265" t="str">
        <f t="shared" si="29"/>
        <v>Sep-24</v>
      </c>
      <c r="I30" s="265" t="str">
        <f t="shared" si="29"/>
        <v>Oct-24</v>
      </c>
      <c r="J30" s="265" t="str">
        <f t="shared" si="29"/>
        <v>Nov-24</v>
      </c>
      <c r="K30" s="265" t="str">
        <f t="shared" si="29"/>
        <v>Dec-24</v>
      </c>
      <c r="L30" s="265" t="str">
        <f t="shared" si="29"/>
        <v>Jan-25</v>
      </c>
      <c r="M30" s="265" t="str">
        <f t="shared" si="29"/>
        <v>Feb-25</v>
      </c>
      <c r="N30" s="265">
        <f t="shared" si="29"/>
        <v>45717</v>
      </c>
      <c r="O30" s="265" t="str">
        <f t="shared" si="29"/>
        <v>Apr-25</v>
      </c>
      <c r="P30" s="265" t="str">
        <f t="shared" si="29"/>
        <v>May-25</v>
      </c>
      <c r="Q30" s="265" t="str">
        <f t="shared" si="29"/>
        <v>Jun-25</v>
      </c>
      <c r="R30" s="265" t="str">
        <f t="shared" si="29"/>
        <v>Jul-25</v>
      </c>
      <c r="S30" s="265" t="str">
        <f t="shared" si="29"/>
        <v>Aug-25</v>
      </c>
      <c r="T30" s="265" t="str">
        <f t="shared" si="29"/>
        <v>Sep-25</v>
      </c>
      <c r="U30" s="265" t="str">
        <f t="shared" si="29"/>
        <v>Oct-25</v>
      </c>
      <c r="V30" s="265" t="str">
        <f t="shared" si="29"/>
        <v>Nov-25</v>
      </c>
      <c r="W30" s="265" t="str">
        <f t="shared" si="29"/>
        <v>Dec-25</v>
      </c>
      <c r="X30" s="265" t="str">
        <f t="shared" si="29"/>
        <v>Jan-26</v>
      </c>
      <c r="Y30" s="265" t="str">
        <f t="shared" si="29"/>
        <v>Feb-26</v>
      </c>
      <c r="Z30" s="265" t="str">
        <f t="shared" si="29"/>
        <v>Mar-26</v>
      </c>
      <c r="AA30" s="255">
        <v>46113</v>
      </c>
      <c r="AB30" s="255">
        <v>46143</v>
      </c>
      <c r="AC30" s="255">
        <v>46174</v>
      </c>
      <c r="AD30" s="266" t="s">
        <v>531</v>
      </c>
    </row>
    <row r="31" spans="2:33" x14ac:dyDescent="0.25">
      <c r="B31" s="267" t="s">
        <v>1358</v>
      </c>
      <c r="C31" s="268">
        <v>0</v>
      </c>
      <c r="D31" s="268">
        <f>C34</f>
        <v>0</v>
      </c>
      <c r="E31" s="268">
        <f t="shared" ref="E31:P31" si="30">D34</f>
        <v>0</v>
      </c>
      <c r="F31" s="268">
        <f t="shared" si="30"/>
        <v>0</v>
      </c>
      <c r="G31" s="268">
        <f t="shared" si="30"/>
        <v>0</v>
      </c>
      <c r="H31" s="268">
        <f t="shared" si="30"/>
        <v>0</v>
      </c>
      <c r="I31" s="268">
        <f t="shared" si="30"/>
        <v>0</v>
      </c>
      <c r="J31" s="268">
        <f t="shared" si="30"/>
        <v>0</v>
      </c>
      <c r="K31" s="268">
        <f t="shared" si="30"/>
        <v>0</v>
      </c>
      <c r="L31" s="268">
        <f>K34</f>
        <v>729470</v>
      </c>
      <c r="M31" s="268">
        <f t="shared" si="30"/>
        <v>769710</v>
      </c>
      <c r="N31" s="268">
        <f t="shared" si="30"/>
        <v>722826.3</v>
      </c>
      <c r="O31" s="268">
        <f t="shared" si="30"/>
        <v>530456.30000000005</v>
      </c>
      <c r="P31" s="268">
        <f t="shared" si="30"/>
        <v>471136.30000000005</v>
      </c>
      <c r="Q31" s="268">
        <f>P34</f>
        <v>472941.30000000005</v>
      </c>
      <c r="R31" s="268">
        <f>Q34</f>
        <v>1061151.3</v>
      </c>
      <c r="S31" s="268">
        <f>R34</f>
        <v>1104931.3</v>
      </c>
      <c r="T31" s="268">
        <f t="shared" ref="T31:Y31" si="31">S34</f>
        <v>728816.3</v>
      </c>
      <c r="U31" s="268">
        <f t="shared" si="31"/>
        <v>660281.30000000005</v>
      </c>
      <c r="V31" s="268">
        <f t="shared" si="31"/>
        <v>1761936.3</v>
      </c>
      <c r="W31" s="268">
        <f t="shared" si="31"/>
        <v>1446151.3</v>
      </c>
      <c r="X31" s="268">
        <f t="shared" si="31"/>
        <v>1069100.3</v>
      </c>
      <c r="Y31" s="268">
        <f t="shared" si="31"/>
        <v>664240.30000000005</v>
      </c>
      <c r="Z31" s="268">
        <f>Y34</f>
        <v>318440.30000000005</v>
      </c>
      <c r="AA31" s="268">
        <f>Z34-52206</f>
        <v>138714.10000000003</v>
      </c>
      <c r="AB31" s="268">
        <f t="shared" ref="AB31:AC31" si="32">AA34-52206</f>
        <v>87221.100000000035</v>
      </c>
      <c r="AC31" s="268">
        <f t="shared" si="32"/>
        <v>-73544.899999999965</v>
      </c>
      <c r="AD31" s="269">
        <v>0</v>
      </c>
      <c r="AF31" s="505"/>
    </row>
    <row r="32" spans="2:33" x14ac:dyDescent="0.25">
      <c r="B32" s="267" t="s">
        <v>533</v>
      </c>
      <c r="C32" s="268">
        <f>SUMIFS('Details PC'!$R$5:$R$421,'Details PC'!$D$5:$D$421,'Processing Centre'!C$30)/1000</f>
        <v>0</v>
      </c>
      <c r="D32" s="268">
        <f>SUMIFS('Details PC'!$R$5:$R$421,'Details PC'!$D$5:$D$421,'Processing Centre'!D$30)/1000</f>
        <v>0</v>
      </c>
      <c r="E32" s="268">
        <f>SUMIFS('Details PC'!$R$5:$R$421,'Details PC'!$D$5:$D$421,'Processing Centre'!E$30)/1000</f>
        <v>0</v>
      </c>
      <c r="F32" s="268">
        <f>SUMIFS('Details PC'!$R$5:$R$421,'Details PC'!$D$5:$D$421,'Processing Centre'!F$30)/1000</f>
        <v>0</v>
      </c>
      <c r="G32" s="268">
        <f>SUMIFS('Details PC'!$R$5:$R$421,'Details PC'!$D$5:$D$421,'Processing Centre'!G$30)/1000</f>
        <v>0</v>
      </c>
      <c r="H32" s="268">
        <f>SUMIFS('Details PC'!$R$5:$R$421,'Details PC'!$D$5:$D$421,'Processing Centre'!H$30)/1000</f>
        <v>0</v>
      </c>
      <c r="I32" s="268">
        <f>SUMIFS('Details PC'!$R$5:$R$421,'Details PC'!$D$5:$D$421,'Processing Centre'!I$30)/1000</f>
        <v>0</v>
      </c>
      <c r="J32" s="268">
        <f>SUMIFS('Details PC'!$R$5:$R$421,'Details PC'!$D$5:$D$421,'Processing Centre'!J$30)/1000</f>
        <v>0</v>
      </c>
      <c r="K32" s="268">
        <f>SUMIFS('Details PC'!$R$5:$R$421,'Details PC'!$D$5:$D$421,'Processing Centre'!K$30)</f>
        <v>800270</v>
      </c>
      <c r="L32" s="268">
        <f>SUMIFS('Details PC'!$R$5:$R$421,'Details PC'!$D$5:$D$421,'Processing Centre'!L$30)</f>
        <v>91800</v>
      </c>
      <c r="M32" s="268">
        <f>SUMIFS('Details PC'!$R$5:$R$421,'Details PC'!$D$5:$D$421,'Processing Centre'!M$30)</f>
        <v>35640</v>
      </c>
      <c r="N32" s="268">
        <f>SUMIFS('Details PC'!$R$5:$R$421,'Details PC'!$D$5:$D$421,'Processing Centre'!N$30)</f>
        <v>13040</v>
      </c>
      <c r="O32" s="268">
        <f>SUMIFS('Details PC'!$R$5:$R$421,'Details PC'!$D$5:$D$421,'Processing Centre'!O$30)</f>
        <v>181330</v>
      </c>
      <c r="P32" s="268">
        <f>SUMIFS('Details PC'!$R$5:$R$421,'Details PC'!$D$5:$D$421,'Processing Centre'!P$30)</f>
        <v>79660</v>
      </c>
      <c r="Q32" s="268">
        <f>SUMIFS('Details PC'!$R$5:$R$421,'Details PC'!$D$5:$D$421,'Processing Centre'!Q$30)</f>
        <v>851400</v>
      </c>
      <c r="R32" s="268">
        <f>SUMIFS('Details PC'!$R$5:$R$421,'Details PC'!$D$5:$D$421,'Processing Centre'!R$30)</f>
        <v>335580</v>
      </c>
      <c r="S32" s="268">
        <f>SUMIFS('Details PC'!$R$5:$R$421,'Details PC'!$D$5:$D$421,'Processing Centre'!S$30)</f>
        <v>63820</v>
      </c>
      <c r="T32" s="268">
        <f>SUMIFS('Details PC'!$R$5:$R$421,'Details PC'!$D$5:$D$421,'Processing Centre'!T$30)</f>
        <v>655820</v>
      </c>
      <c r="U32" s="268">
        <f>SUMIFS('Details PC'!$R$5:$R$421,'Details PC'!$D$5:$D$421,'Processing Centre'!U$30)</f>
        <v>1412120</v>
      </c>
      <c r="V32" s="268">
        <f>SUMIFS('Details PC'!$R$5:$R$421,'Details PC'!$D$5:$D$421,'Processing Centre'!V$30)</f>
        <v>0</v>
      </c>
      <c r="W32" s="268">
        <f>SUMIFS('Details PC'!$R$5:$R$421,'Details PC'!$D$5:$D$421,'Processing Centre'!W$30)</f>
        <v>61449</v>
      </c>
      <c r="X32" s="268">
        <f>SUMIFS('Details PC'!$R$5:$R$421,'Details PC'!$D$5:$D$421,'Processing Centre'!X$30)</f>
        <v>24850</v>
      </c>
      <c r="Y32" s="268">
        <f>SUMIFS('Details PC'!$R$5:$R$421,'Details PC'!$D$5:$D$421,'Processing Centre'!Y$30)</f>
        <v>35940</v>
      </c>
      <c r="Z32" s="268">
        <f>SUMIFS('Details PC'!$R$5:$R$421,'Details PC'!$D$5:$D$421,'Processing Centre'!Z$30)</f>
        <v>20797</v>
      </c>
      <c r="AA32" s="268">
        <f>SUMIFS('Details PC'!$R$5:$R$421,'Details PC'!$D$5:$D$421,'Processing Centre'!AA$30)</f>
        <v>15530</v>
      </c>
      <c r="AB32" s="268">
        <f>SUMIFS('Details PC'!$R$5:$R$421,'Details PC'!$D$5:$D$421,'Processing Centre'!AB$30)</f>
        <v>48540</v>
      </c>
      <c r="AC32" s="268">
        <f>SUMIFS('Details PC'!$R$5:$R$421,'Details PC'!$D$5:$D$421,'Processing Centre'!AC$30)</f>
        <v>91562</v>
      </c>
      <c r="AD32" s="269">
        <f>SUM(C32:AA32)</f>
        <v>4679046</v>
      </c>
      <c r="AF32" s="505"/>
    </row>
    <row r="33" spans="2:31" x14ac:dyDescent="0.25">
      <c r="B33" s="267" t="s">
        <v>534</v>
      </c>
      <c r="C33" s="258">
        <f t="shared" ref="C33:J33" si="33">C5</f>
        <v>0</v>
      </c>
      <c r="D33" s="258">
        <f t="shared" si="33"/>
        <v>0</v>
      </c>
      <c r="E33" s="258">
        <f t="shared" si="33"/>
        <v>0</v>
      </c>
      <c r="F33" s="258">
        <f t="shared" si="33"/>
        <v>0</v>
      </c>
      <c r="G33" s="258">
        <f t="shared" si="33"/>
        <v>0</v>
      </c>
      <c r="H33" s="258">
        <f t="shared" si="33"/>
        <v>0</v>
      </c>
      <c r="I33" s="258">
        <f t="shared" si="33"/>
        <v>0</v>
      </c>
      <c r="J33" s="258">
        <f t="shared" si="33"/>
        <v>0</v>
      </c>
      <c r="K33" s="258">
        <f>SUMIFS('Details PC'!$AK$5:$AK$421,'Details PC'!$W$5:$W$421,'Processing Centre'!K$4)</f>
        <v>70800</v>
      </c>
      <c r="L33" s="258">
        <f>SUMIFS('Details PC'!$AK$5:$AK$421,'Details PC'!$W$5:$W$421,'Processing Centre'!L$4)</f>
        <v>51560</v>
      </c>
      <c r="M33" s="258">
        <f>SUMIFS('Details PC'!$AK$5:$AK$421,'Details PC'!$W$5:$W$421,'Processing Centre'!M$4)</f>
        <v>82523.7</v>
      </c>
      <c r="N33" s="258">
        <f>SUMIFS('Details PC'!$AK$5:$AK$421,'Details PC'!$W$5:$W$421,'Processing Centre'!N$4)</f>
        <v>205410</v>
      </c>
      <c r="O33" s="258">
        <f>SUMIFS('Details PC'!$AK$5:$AK$421,'Details PC'!$W$5:$W$421,'Processing Centre'!O$4)</f>
        <v>240650</v>
      </c>
      <c r="P33" s="258">
        <f>SUMIFS('Details PC'!$AK$5:$AK$421,'Details PC'!$W$5:$W$421,'Processing Centre'!P$4)</f>
        <v>77855</v>
      </c>
      <c r="Q33" s="258">
        <f>SUMIFS('Details PC'!$AK$5:$AK$421,'Details PC'!$W$5:$W$421,'Processing Centre'!Q$4)</f>
        <v>263190</v>
      </c>
      <c r="R33" s="258">
        <f>SUMIFS('Details PC'!$AK$5:$AK$421,'Details PC'!$W$5:$W$421,'Processing Centre'!R$4)</f>
        <v>291800</v>
      </c>
      <c r="S33" s="258">
        <f>SUMIFS('Details PC'!$AK$5:$AK$421,'Details PC'!$W$5:$W$421,'Processing Centre'!S$4)</f>
        <v>439935</v>
      </c>
      <c r="T33" s="258">
        <f>SUMIFS('Details PC'!$AK$5:$AK$421,'Details PC'!$W$5:$W$421,'Processing Centre'!T$4)</f>
        <v>724355</v>
      </c>
      <c r="U33" s="258">
        <f>SUMIFS('Details PC'!$AK$5:$AK$421,'Details PC'!$W$5:$W$421,'Processing Centre'!U$4)</f>
        <v>310465</v>
      </c>
      <c r="V33" s="258">
        <f>SUMIFS('Details PC'!$AK$5:$AK$421,'Details PC'!$W$5:$W$421,'Processing Centre'!V$4)</f>
        <v>315785</v>
      </c>
      <c r="W33" s="258">
        <f>SUMIFS('Details PC'!$AK$5:$AK$421,'Details PC'!$W$5:$W$421,'Processing Centre'!W$4)</f>
        <v>438500</v>
      </c>
      <c r="X33" s="258">
        <f>SUMIFS('Details PC'!$AK$5:$AK$421,'Details PC'!$W$5:$W$421,'Processing Centre'!X$4)</f>
        <v>429710</v>
      </c>
      <c r="Y33" s="258">
        <f>SUMIFS('Details PC'!$AK$5:$AK$421,'Details PC'!$W$5:$W$421,'Processing Centre'!Y$4)</f>
        <v>381740</v>
      </c>
      <c r="Z33" s="258">
        <f>SUMIFS('Details PC'!$AK$5:$AK$421,'Details PC'!$W$5:$W$421,'Processing Centre'!Z$4)</f>
        <v>148317.20000000001</v>
      </c>
      <c r="AA33" s="258">
        <f>SUMIFS('Details PC'!$AK$5:$AK$421,'Details PC'!$W$5:$W$421,'Processing Centre'!AA$4)</f>
        <v>14817</v>
      </c>
      <c r="AB33" s="258">
        <f>SUMIFS('Details PC'!$AK$5:$AK$421,'Details PC'!$W$5:$W$421,'Processing Centre'!AB$4)</f>
        <v>157100</v>
      </c>
      <c r="AC33" s="258">
        <f>SUMIFS('Details PC'!$AK$5:$AK$421,'Details PC'!$W$5:$W$421,'Processing Centre'!AC$4)</f>
        <v>53765</v>
      </c>
      <c r="AD33" s="269">
        <f>SUM(C33:AA33)</f>
        <v>4487412.9000000004</v>
      </c>
    </row>
    <row r="34" spans="2:31" ht="12.6" thickBot="1" x14ac:dyDescent="0.3">
      <c r="B34" s="270" t="s">
        <v>1359</v>
      </c>
      <c r="C34" s="271">
        <f>C31+C32-C33</f>
        <v>0</v>
      </c>
      <c r="D34" s="271">
        <f t="shared" ref="D34:P34" si="34">D31+D32-D33</f>
        <v>0</v>
      </c>
      <c r="E34" s="271">
        <f t="shared" si="34"/>
        <v>0</v>
      </c>
      <c r="F34" s="271">
        <f t="shared" si="34"/>
        <v>0</v>
      </c>
      <c r="G34" s="271">
        <f t="shared" si="34"/>
        <v>0</v>
      </c>
      <c r="H34" s="271">
        <f t="shared" si="34"/>
        <v>0</v>
      </c>
      <c r="I34" s="271">
        <f t="shared" si="34"/>
        <v>0</v>
      </c>
      <c r="J34" s="271">
        <f t="shared" si="34"/>
        <v>0</v>
      </c>
      <c r="K34" s="271">
        <f t="shared" si="34"/>
        <v>729470</v>
      </c>
      <c r="L34" s="271">
        <f t="shared" si="34"/>
        <v>769710</v>
      </c>
      <c r="M34" s="271">
        <f t="shared" si="34"/>
        <v>722826.3</v>
      </c>
      <c r="N34" s="271">
        <f t="shared" si="34"/>
        <v>530456.30000000005</v>
      </c>
      <c r="O34" s="271">
        <f t="shared" si="34"/>
        <v>471136.30000000005</v>
      </c>
      <c r="P34" s="271">
        <f t="shared" si="34"/>
        <v>472941.30000000005</v>
      </c>
      <c r="Q34" s="271">
        <f>Q31+Q32-Q33</f>
        <v>1061151.3</v>
      </c>
      <c r="R34" s="271">
        <f>R31+R32-R33</f>
        <v>1104931.3</v>
      </c>
      <c r="S34" s="271">
        <f>S31+S32-S33</f>
        <v>728816.3</v>
      </c>
      <c r="T34" s="271">
        <f t="shared" ref="T34:Z34" si="35">T31+T32-T33</f>
        <v>660281.30000000005</v>
      </c>
      <c r="U34" s="271">
        <f t="shared" si="35"/>
        <v>1761936.3</v>
      </c>
      <c r="V34" s="271">
        <f t="shared" si="35"/>
        <v>1446151.3</v>
      </c>
      <c r="W34" s="271">
        <f t="shared" si="35"/>
        <v>1069100.3</v>
      </c>
      <c r="X34" s="271">
        <f>X31+X32-X33</f>
        <v>664240.30000000005</v>
      </c>
      <c r="Y34" s="271">
        <f t="shared" si="35"/>
        <v>318440.30000000005</v>
      </c>
      <c r="Z34" s="271">
        <f t="shared" si="35"/>
        <v>190920.10000000003</v>
      </c>
      <c r="AA34" s="271">
        <f>AA31+AA32-AA33</f>
        <v>139427.10000000003</v>
      </c>
      <c r="AB34" s="271">
        <f t="shared" ref="AB34:AC34" si="36">AB31+AB32-AB33</f>
        <v>-21338.899999999965</v>
      </c>
      <c r="AC34" s="271">
        <f t="shared" si="36"/>
        <v>-35747.899999999965</v>
      </c>
      <c r="AD34" s="271">
        <f>AD31+AD32-AD33</f>
        <v>191633.09999999963</v>
      </c>
      <c r="AE34" s="253"/>
    </row>
    <row r="35" spans="2:31" x14ac:dyDescent="0.25">
      <c r="AD35" s="253"/>
    </row>
    <row r="36" spans="2:31" x14ac:dyDescent="0.25">
      <c r="AD36" s="316"/>
    </row>
    <row r="37" spans="2:31" x14ac:dyDescent="0.25">
      <c r="AD37" s="316"/>
    </row>
    <row r="48" spans="2:31" x14ac:dyDescent="0.25">
      <c r="C48" s="253"/>
      <c r="D48" s="253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</row>
    <row r="49" spans="3:30" x14ac:dyDescent="0.25">
      <c r="C49" s="253"/>
      <c r="D49" s="253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  <c r="AA49" s="253"/>
      <c r="AB49" s="253"/>
      <c r="AC49" s="253"/>
      <c r="AD49" s="253"/>
    </row>
    <row r="50" spans="3:30" x14ac:dyDescent="0.25"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</row>
    <row r="51" spans="3:30" x14ac:dyDescent="0.25">
      <c r="C51" s="253"/>
      <c r="D51" s="253"/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3"/>
    </row>
    <row r="52" spans="3:30" x14ac:dyDescent="0.25">
      <c r="C52" s="253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  <c r="AA52" s="253"/>
      <c r="AB52" s="253"/>
      <c r="AC52" s="253"/>
      <c r="AD52" s="25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828F-001C-49CB-AE6C-DFCAFA74AEE1}">
  <sheetPr codeName="Sheet12"/>
  <dimension ref="A1:AV754"/>
  <sheetViews>
    <sheetView showGridLines="0" topLeftCell="B1" zoomScale="84" zoomScaleNormal="10" workbookViewId="0">
      <pane xSplit="3" ySplit="4" topLeftCell="N573" activePane="bottomRight" state="frozen"/>
      <selection activeCell="AA206" sqref="AA206"/>
      <selection pane="topRight" activeCell="AA206" sqref="AA206"/>
      <selection pane="bottomLeft" activeCell="AA206" sqref="AA206"/>
      <selection pane="bottomRight" activeCell="AA206" sqref="AA206"/>
    </sheetView>
  </sheetViews>
  <sheetFormatPr defaultColWidth="8.88671875" defaultRowHeight="13.8" x14ac:dyDescent="0.3"/>
  <cols>
    <col min="1" max="1" width="8.88671875" style="272"/>
    <col min="2" max="2" width="5.33203125" style="272" bestFit="1" customWidth="1"/>
    <col min="3" max="3" width="12.77734375" style="272" bestFit="1" customWidth="1"/>
    <col min="4" max="4" width="9.77734375" style="272" bestFit="1" customWidth="1"/>
    <col min="5" max="5" width="13.77734375" style="272" bestFit="1" customWidth="1"/>
    <col min="6" max="6" width="9.77734375" style="273" bestFit="1" customWidth="1"/>
    <col min="7" max="7" width="14.44140625" style="272" bestFit="1" customWidth="1"/>
    <col min="8" max="8" width="41.109375" style="272" bestFit="1" customWidth="1"/>
    <col min="9" max="9" width="31" style="272" bestFit="1" customWidth="1"/>
    <col min="10" max="10" width="29.21875" style="384" bestFit="1" customWidth="1"/>
    <col min="11" max="11" width="22.109375" style="273" bestFit="1" customWidth="1"/>
    <col min="12" max="12" width="16.6640625" style="272" bestFit="1" customWidth="1"/>
    <col min="13" max="13" width="15.33203125" style="273" bestFit="1" customWidth="1"/>
    <col min="14" max="14" width="15.21875" style="272" bestFit="1" customWidth="1"/>
    <col min="15" max="15" width="14.109375" style="272" bestFit="1" customWidth="1"/>
    <col min="16" max="16" width="16.21875" style="272" bestFit="1" customWidth="1"/>
    <col min="17" max="17" width="39" style="272" bestFit="1" customWidth="1"/>
    <col min="18" max="18" width="24.6640625" style="391" bestFit="1" customWidth="1"/>
    <col min="19" max="19" width="11.88671875" style="305" bestFit="1" customWidth="1"/>
    <col min="20" max="20" width="23.5546875" style="391" bestFit="1" customWidth="1"/>
    <col min="21" max="21" width="12.33203125" style="273" bestFit="1" customWidth="1"/>
    <col min="22" max="22" width="12.77734375" style="272" bestFit="1" customWidth="1"/>
    <col min="23" max="23" width="7.6640625" style="272" bestFit="1" customWidth="1"/>
    <col min="24" max="24" width="13.21875" style="273" bestFit="1" customWidth="1"/>
    <col min="25" max="25" width="27.5546875" style="273" bestFit="1" customWidth="1"/>
    <col min="26" max="26" width="9.77734375" style="273" bestFit="1" customWidth="1"/>
    <col min="27" max="27" width="17.88671875" style="272" bestFit="1" customWidth="1"/>
    <col min="28" max="28" width="41.88671875" style="272" bestFit="1" customWidth="1"/>
    <col min="29" max="29" width="16.21875" style="272" bestFit="1" customWidth="1"/>
    <col min="30" max="30" width="39.77734375" style="272" bestFit="1" customWidth="1"/>
    <col min="31" max="31" width="7.77734375" style="384" bestFit="1" customWidth="1"/>
    <col min="32" max="32" width="24.6640625" style="384" bestFit="1" customWidth="1"/>
    <col min="33" max="33" width="17" style="384" bestFit="1" customWidth="1"/>
    <col min="34" max="34" width="10.77734375" style="384" bestFit="1" customWidth="1"/>
    <col min="35" max="35" width="9.77734375" style="384" bestFit="1" customWidth="1"/>
    <col min="36" max="36" width="10.44140625" style="384" bestFit="1" customWidth="1"/>
    <col min="37" max="37" width="7.77734375" style="384" bestFit="1" customWidth="1"/>
    <col min="38" max="38" width="19.21875" style="384" bestFit="1" customWidth="1"/>
    <col min="39" max="39" width="12.44140625" style="384" bestFit="1" customWidth="1"/>
    <col min="40" max="40" width="8.109375" style="272" bestFit="1" customWidth="1"/>
    <col min="41" max="41" width="24.33203125" style="272" bestFit="1" customWidth="1"/>
    <col min="42" max="42" width="7.109375" style="272" bestFit="1" customWidth="1"/>
    <col min="43" max="43" width="11.77734375" style="272" bestFit="1" customWidth="1"/>
    <col min="44" max="44" width="11.88671875" style="272" bestFit="1" customWidth="1"/>
    <col min="45" max="46" width="8.109375" style="272" bestFit="1" customWidth="1"/>
    <col min="47" max="47" width="9.5546875" style="272" bestFit="1" customWidth="1"/>
    <col min="48" max="48" width="6.77734375" style="272" bestFit="1" customWidth="1"/>
    <col min="49" max="16384" width="8.88671875" style="272"/>
  </cols>
  <sheetData>
    <row r="1" spans="1:48" x14ac:dyDescent="0.3">
      <c r="O1" s="274">
        <f>R3-AE3</f>
        <v>13505.099999999627</v>
      </c>
      <c r="P1" s="274"/>
      <c r="AI1" s="384">
        <f>AI3-AJ1</f>
        <v>166888730.4698</v>
      </c>
      <c r="AJ1" s="384">
        <v>1738352.2002000001</v>
      </c>
      <c r="AL1" s="507">
        <f>AL2/(AG3+AH3)</f>
        <v>5.2299353309569217E-2</v>
      </c>
    </row>
    <row r="2" spans="1:48" x14ac:dyDescent="0.3">
      <c r="T2" s="278"/>
      <c r="AL2" s="384">
        <f>(AG3+AH3)-AL3</f>
        <v>8819087.3741202652</v>
      </c>
      <c r="AM2" s="508"/>
      <c r="AO2" s="320"/>
    </row>
    <row r="3" spans="1:48" s="276" customFormat="1" ht="14.4" thickBot="1" x14ac:dyDescent="0.35">
      <c r="F3" s="277"/>
      <c r="J3" s="385"/>
      <c r="K3" s="277"/>
      <c r="M3" s="277"/>
      <c r="R3" s="278">
        <f>SUBTOTAL(9,R5:R421)</f>
        <v>4819148</v>
      </c>
      <c r="S3" s="383"/>
      <c r="T3" s="403">
        <f>SUBTOTAL(9,T5:T421)</f>
        <v>160203774.85375997</v>
      </c>
      <c r="U3" s="277"/>
      <c r="X3" s="277"/>
      <c r="Y3" s="277"/>
      <c r="Z3" s="277"/>
      <c r="AE3" s="509">
        <f>SUBTOTAL(9,AE5:AE421)</f>
        <v>4805642.9000000004</v>
      </c>
      <c r="AF3" s="385"/>
      <c r="AG3" s="509">
        <f t="shared" ref="AG3:AM3" si="0">SUBTOTAL(9,AG5:AG421)</f>
        <v>172912571.75</v>
      </c>
      <c r="AH3" s="509">
        <f t="shared" si="0"/>
        <v>-4285489.08</v>
      </c>
      <c r="AI3" s="509">
        <f t="shared" si="0"/>
        <v>168627082.66999999</v>
      </c>
      <c r="AJ3" s="509">
        <f t="shared" si="0"/>
        <v>107365</v>
      </c>
      <c r="AK3" s="509">
        <f t="shared" si="0"/>
        <v>4698277.9000000004</v>
      </c>
      <c r="AL3" s="509">
        <f t="shared" si="0"/>
        <v>159807995.29587972</v>
      </c>
      <c r="AM3" s="509">
        <f t="shared" si="0"/>
        <v>8819087.3741201963</v>
      </c>
      <c r="AN3" s="279">
        <f>AM3/(AG3+AH3)</f>
        <v>5.2299353309568808E-2</v>
      </c>
      <c r="AO3" s="278">
        <f>SUBTOTAL(9,AO5:AO421)</f>
        <v>160342249.80170473</v>
      </c>
      <c r="AP3" s="277"/>
      <c r="AQ3" s="278">
        <f>SUBTOTAL(9,AQ5:AQ421)</f>
        <v>2891654.352279691</v>
      </c>
      <c r="AR3" s="278">
        <f>SUBTOTAL(9,AR5:AR421)</f>
        <v>5927433.0218405053</v>
      </c>
      <c r="AS3" s="280">
        <f>AR3/(AG3+AH3)</f>
        <v>3.5151133068229493E-2</v>
      </c>
      <c r="AT3" s="333"/>
      <c r="AU3" s="321"/>
      <c r="AV3" s="279"/>
    </row>
    <row r="4" spans="1:48" ht="15" thickBot="1" x14ac:dyDescent="0.35">
      <c r="A4" s="272" t="s">
        <v>3726</v>
      </c>
      <c r="B4" s="281" t="s">
        <v>538</v>
      </c>
      <c r="C4" s="283" t="s">
        <v>539</v>
      </c>
      <c r="D4" s="282" t="s">
        <v>15</v>
      </c>
      <c r="E4" s="282" t="s">
        <v>2688</v>
      </c>
      <c r="F4" s="282" t="s">
        <v>109</v>
      </c>
      <c r="G4" s="282" t="s">
        <v>209</v>
      </c>
      <c r="H4" s="284" t="s">
        <v>112</v>
      </c>
      <c r="I4" s="282" t="s">
        <v>277</v>
      </c>
      <c r="J4" s="386" t="s">
        <v>110</v>
      </c>
      <c r="K4" s="282" t="s">
        <v>278</v>
      </c>
      <c r="L4" s="284" t="s">
        <v>279</v>
      </c>
      <c r="M4" s="282" t="s">
        <v>540</v>
      </c>
      <c r="N4" s="284" t="s">
        <v>541</v>
      </c>
      <c r="O4" s="282" t="s">
        <v>542</v>
      </c>
      <c r="P4" s="285" t="s">
        <v>3004</v>
      </c>
      <c r="Q4" s="285" t="s">
        <v>543</v>
      </c>
      <c r="R4" s="72" t="s">
        <v>533</v>
      </c>
      <c r="S4" s="412" t="s">
        <v>211</v>
      </c>
      <c r="T4" s="72" t="s">
        <v>545</v>
      </c>
      <c r="U4" s="408" t="s">
        <v>2755</v>
      </c>
      <c r="V4" s="282" t="s">
        <v>539</v>
      </c>
      <c r="W4" s="282" t="s">
        <v>15</v>
      </c>
      <c r="X4" s="286" t="s">
        <v>547</v>
      </c>
      <c r="Y4" s="284" t="s">
        <v>76</v>
      </c>
      <c r="Z4" s="286" t="s">
        <v>546</v>
      </c>
      <c r="AA4" s="282" t="s">
        <v>548</v>
      </c>
      <c r="AB4" s="282" t="s">
        <v>47</v>
      </c>
      <c r="AC4" s="284" t="s">
        <v>3004</v>
      </c>
      <c r="AD4" s="284" t="s">
        <v>549</v>
      </c>
      <c r="AE4" s="510" t="s">
        <v>78</v>
      </c>
      <c r="AF4" s="511" t="s">
        <v>211</v>
      </c>
      <c r="AG4" s="511" t="s">
        <v>550</v>
      </c>
      <c r="AH4" s="511" t="s">
        <v>116</v>
      </c>
      <c r="AI4" s="511" t="s">
        <v>218</v>
      </c>
      <c r="AJ4" s="511" t="s">
        <v>103</v>
      </c>
      <c r="AK4" s="511" t="s">
        <v>104</v>
      </c>
      <c r="AL4" s="511" t="s">
        <v>1455</v>
      </c>
      <c r="AM4" s="386" t="s">
        <v>182</v>
      </c>
      <c r="AN4" s="282" t="s">
        <v>551</v>
      </c>
      <c r="AO4" s="282" t="s">
        <v>2306</v>
      </c>
      <c r="AP4" s="285" t="s">
        <v>552</v>
      </c>
      <c r="AQ4" s="285" t="s">
        <v>535</v>
      </c>
      <c r="AR4" s="285" t="s">
        <v>553</v>
      </c>
      <c r="AS4" s="285" t="s">
        <v>554</v>
      </c>
    </row>
    <row r="5" spans="1:48" x14ac:dyDescent="0.3">
      <c r="B5" s="287">
        <v>1</v>
      </c>
      <c r="C5" s="272" t="s">
        <v>131</v>
      </c>
      <c r="D5" s="288" t="str">
        <f>TEXT(F5,"mmm-yy")</f>
        <v>Dec-24</v>
      </c>
      <c r="E5" s="288" t="s">
        <v>107</v>
      </c>
      <c r="F5" s="289">
        <v>45628</v>
      </c>
      <c r="G5" s="290" t="s">
        <v>556</v>
      </c>
      <c r="H5" s="291" t="s">
        <v>2592</v>
      </c>
      <c r="I5" s="290" t="s">
        <v>254</v>
      </c>
      <c r="J5" s="387" t="s">
        <v>557</v>
      </c>
      <c r="K5" s="289">
        <v>45628</v>
      </c>
      <c r="L5" s="291" t="s">
        <v>558</v>
      </c>
      <c r="M5" s="289">
        <v>45638</v>
      </c>
      <c r="N5" s="291" t="s">
        <v>255</v>
      </c>
      <c r="O5" s="290" t="s">
        <v>559</v>
      </c>
      <c r="P5" s="291" t="s">
        <v>501</v>
      </c>
      <c r="Q5" s="291" t="s">
        <v>633</v>
      </c>
      <c r="R5" s="458">
        <v>8840</v>
      </c>
      <c r="S5" s="404">
        <v>33.121000000000002</v>
      </c>
      <c r="T5" s="459">
        <f t="shared" ref="T5:T68" si="1">R5*S5</f>
        <v>292789.64</v>
      </c>
      <c r="U5" s="409" t="s">
        <v>107</v>
      </c>
      <c r="V5" s="288" t="s">
        <v>555</v>
      </c>
      <c r="W5" s="296" t="str">
        <f>TEXT(Z5,"mmm-yy")</f>
        <v>Dec-24</v>
      </c>
      <c r="X5" s="297" t="s">
        <v>561</v>
      </c>
      <c r="Y5" s="314" t="s">
        <v>2634</v>
      </c>
      <c r="Z5" s="297">
        <v>45641</v>
      </c>
      <c r="AA5" s="293" t="s">
        <v>562</v>
      </c>
      <c r="AB5" s="293" t="s">
        <v>563</v>
      </c>
      <c r="AC5" s="298" t="s">
        <v>501</v>
      </c>
      <c r="AD5" s="298" t="s">
        <v>564</v>
      </c>
      <c r="AE5" s="512">
        <v>22510</v>
      </c>
      <c r="AF5" s="513">
        <v>38</v>
      </c>
      <c r="AG5" s="514">
        <f t="shared" ref="AG5:AG68" si="2">AE5*AF5</f>
        <v>855380</v>
      </c>
      <c r="AH5" s="514">
        <v>0</v>
      </c>
      <c r="AI5" s="514">
        <f t="shared" ref="AI5:AI68" si="3">AG5+AH5</f>
        <v>855380</v>
      </c>
      <c r="AJ5" s="514">
        <v>0</v>
      </c>
      <c r="AK5" s="514">
        <f t="shared" ref="AK5:AK68" si="4">AE5-AJ5</f>
        <v>22510</v>
      </c>
      <c r="AL5" s="514">
        <f t="shared" ref="AL5:AL68" si="5">AE5*S5</f>
        <v>745553.71000000008</v>
      </c>
      <c r="AM5" s="515">
        <f t="shared" ref="AM5:AM68" si="6">(AG5+AH5)-AL5</f>
        <v>109826.28999999992</v>
      </c>
      <c r="AN5" s="299">
        <f t="shared" ref="AN5:AN68" si="7">IFERROR(AM5/(AG5+AH5),0)</f>
        <v>0.12839473684210517</v>
      </c>
      <c r="AO5" s="296">
        <f>AE5*S5</f>
        <v>745553.71000000008</v>
      </c>
      <c r="AP5" s="274">
        <f t="shared" ref="AP5:AP41" si="8">(Z5-K5)</f>
        <v>13</v>
      </c>
      <c r="AQ5" s="275">
        <f t="shared" ref="AQ5:AQ41" si="9">T5*9.35%*AP5/365</f>
        <v>975.02960936986312</v>
      </c>
      <c r="AR5" s="275">
        <f>AM5-AQ5</f>
        <v>108851.26039063006</v>
      </c>
      <c r="AS5" s="280">
        <f t="shared" ref="AS5:AS41" si="10">AR5/(AG5+AH5)</f>
        <v>0.12725485794691255</v>
      </c>
    </row>
    <row r="6" spans="1:48" x14ac:dyDescent="0.3">
      <c r="B6" s="287">
        <f t="shared" ref="B6:B69" si="11">B5+1</f>
        <v>2</v>
      </c>
      <c r="C6" s="272" t="s">
        <v>131</v>
      </c>
      <c r="D6" s="288" t="str">
        <f t="shared" ref="D6:D69" si="12">TEXT(F6,"mmm-yy")</f>
        <v>Dec-24</v>
      </c>
      <c r="E6" s="288" t="s">
        <v>107</v>
      </c>
      <c r="F6" s="289">
        <v>45637</v>
      </c>
      <c r="G6" s="290" t="s">
        <v>565</v>
      </c>
      <c r="H6" s="291" t="s">
        <v>2592</v>
      </c>
      <c r="I6" s="290" t="s">
        <v>254</v>
      </c>
      <c r="J6" s="387" t="s">
        <v>566</v>
      </c>
      <c r="K6" s="289">
        <v>45637</v>
      </c>
      <c r="L6" s="291" t="s">
        <v>567</v>
      </c>
      <c r="M6" s="289">
        <v>45637</v>
      </c>
      <c r="N6" s="291" t="s">
        <v>255</v>
      </c>
      <c r="O6" s="290" t="s">
        <v>568</v>
      </c>
      <c r="P6" s="291" t="s">
        <v>501</v>
      </c>
      <c r="Q6" s="291" t="s">
        <v>2602</v>
      </c>
      <c r="R6" s="458">
        <v>29550</v>
      </c>
      <c r="S6" s="404">
        <v>32.299999999999997</v>
      </c>
      <c r="T6" s="459">
        <f t="shared" si="1"/>
        <v>954464.99999999988</v>
      </c>
      <c r="U6" s="409" t="s">
        <v>107</v>
      </c>
      <c r="V6" s="288" t="s">
        <v>555</v>
      </c>
      <c r="W6" s="296" t="str">
        <f t="shared" ref="W6:W69" si="13">TEXT(Z6,"mmm-yy")</f>
        <v>Dec-24</v>
      </c>
      <c r="X6" s="297" t="s">
        <v>561</v>
      </c>
      <c r="Y6" s="293" t="s">
        <v>2635</v>
      </c>
      <c r="Z6" s="297">
        <v>45649</v>
      </c>
      <c r="AA6" s="293" t="s">
        <v>570</v>
      </c>
      <c r="AB6" s="293" t="s">
        <v>571</v>
      </c>
      <c r="AC6" s="298" t="s">
        <v>501</v>
      </c>
      <c r="AD6" s="295" t="s">
        <v>564</v>
      </c>
      <c r="AE6" s="512">
        <v>22790</v>
      </c>
      <c r="AF6" s="513">
        <v>42</v>
      </c>
      <c r="AG6" s="514">
        <f t="shared" si="2"/>
        <v>957180</v>
      </c>
      <c r="AH6" s="514">
        <v>0</v>
      </c>
      <c r="AI6" s="514">
        <f t="shared" si="3"/>
        <v>957180</v>
      </c>
      <c r="AJ6" s="514">
        <v>0</v>
      </c>
      <c r="AK6" s="514">
        <f t="shared" si="4"/>
        <v>22790</v>
      </c>
      <c r="AL6" s="514">
        <f t="shared" si="5"/>
        <v>736116.99999999988</v>
      </c>
      <c r="AM6" s="515">
        <f t="shared" si="6"/>
        <v>221063.00000000012</v>
      </c>
      <c r="AN6" s="299">
        <f t="shared" si="7"/>
        <v>0.23095238095238108</v>
      </c>
      <c r="AO6" s="296">
        <f t="shared" ref="AO6:AO69" si="14">AE6*S6</f>
        <v>736116.99999999988</v>
      </c>
      <c r="AP6" s="274">
        <f t="shared" si="8"/>
        <v>12</v>
      </c>
      <c r="AQ6" s="275">
        <f t="shared" si="9"/>
        <v>2933.9992602739726</v>
      </c>
      <c r="AR6" s="275">
        <f t="shared" ref="AR6:AR69" si="15">AM6-AQ6</f>
        <v>218129.00073972615</v>
      </c>
      <c r="AS6" s="280">
        <f t="shared" si="10"/>
        <v>0.22788712754103319</v>
      </c>
    </row>
    <row r="7" spans="1:48" x14ac:dyDescent="0.3">
      <c r="B7" s="287">
        <f t="shared" si="11"/>
        <v>3</v>
      </c>
      <c r="C7" s="272" t="s">
        <v>131</v>
      </c>
      <c r="D7" s="288" t="str">
        <f t="shared" si="12"/>
        <v>Dec-24</v>
      </c>
      <c r="E7" s="288" t="s">
        <v>107</v>
      </c>
      <c r="F7" s="289">
        <v>45637</v>
      </c>
      <c r="G7" s="290" t="s">
        <v>572</v>
      </c>
      <c r="H7" s="291" t="s">
        <v>2592</v>
      </c>
      <c r="I7" s="290" t="s">
        <v>254</v>
      </c>
      <c r="J7" s="387" t="s">
        <v>573</v>
      </c>
      <c r="K7" s="289">
        <v>45637</v>
      </c>
      <c r="L7" s="291" t="s">
        <v>574</v>
      </c>
      <c r="M7" s="289">
        <v>45637</v>
      </c>
      <c r="N7" s="291" t="s">
        <v>255</v>
      </c>
      <c r="O7" s="290" t="s">
        <v>575</v>
      </c>
      <c r="P7" s="291" t="s">
        <v>501</v>
      </c>
      <c r="Q7" s="291" t="s">
        <v>2602</v>
      </c>
      <c r="R7" s="458">
        <v>22390</v>
      </c>
      <c r="S7" s="404">
        <v>32.299999999999997</v>
      </c>
      <c r="T7" s="459">
        <f t="shared" si="1"/>
        <v>723196.99999999988</v>
      </c>
      <c r="U7" s="409" t="s">
        <v>107</v>
      </c>
      <c r="V7" s="288" t="s">
        <v>555</v>
      </c>
      <c r="W7" s="296" t="str">
        <f t="shared" si="13"/>
        <v>Dec-24</v>
      </c>
      <c r="X7" s="297" t="s">
        <v>561</v>
      </c>
      <c r="Y7" s="293" t="s">
        <v>2636</v>
      </c>
      <c r="Z7" s="297">
        <v>45657</v>
      </c>
      <c r="AA7" s="293" t="s">
        <v>580</v>
      </c>
      <c r="AB7" s="293" t="s">
        <v>571</v>
      </c>
      <c r="AC7" s="298" t="s">
        <v>501</v>
      </c>
      <c r="AD7" s="295" t="s">
        <v>564</v>
      </c>
      <c r="AE7" s="512">
        <v>25500</v>
      </c>
      <c r="AF7" s="513">
        <v>42</v>
      </c>
      <c r="AG7" s="514">
        <f t="shared" si="2"/>
        <v>1071000</v>
      </c>
      <c r="AH7" s="514">
        <v>0</v>
      </c>
      <c r="AI7" s="514">
        <f t="shared" si="3"/>
        <v>1071000</v>
      </c>
      <c r="AJ7" s="514">
        <v>0</v>
      </c>
      <c r="AK7" s="514">
        <f t="shared" si="4"/>
        <v>25500</v>
      </c>
      <c r="AL7" s="514">
        <f t="shared" si="5"/>
        <v>823649.99999999988</v>
      </c>
      <c r="AM7" s="515">
        <f t="shared" si="6"/>
        <v>247350.00000000012</v>
      </c>
      <c r="AN7" s="299">
        <f t="shared" si="7"/>
        <v>0.23095238095238105</v>
      </c>
      <c r="AO7" s="296">
        <f t="shared" si="14"/>
        <v>823649.99999999988</v>
      </c>
      <c r="AP7" s="274">
        <f t="shared" si="8"/>
        <v>20</v>
      </c>
      <c r="AQ7" s="275">
        <f t="shared" si="9"/>
        <v>3705.1462739726016</v>
      </c>
      <c r="AR7" s="275">
        <f t="shared" si="15"/>
        <v>243644.8537260275</v>
      </c>
      <c r="AS7" s="280">
        <f t="shared" si="10"/>
        <v>0.22749286062187443</v>
      </c>
    </row>
    <row r="8" spans="1:48" x14ac:dyDescent="0.3">
      <c r="B8" s="287">
        <f t="shared" si="11"/>
        <v>4</v>
      </c>
      <c r="C8" s="272" t="s">
        <v>131</v>
      </c>
      <c r="D8" s="288" t="str">
        <f t="shared" si="12"/>
        <v>Dec-24</v>
      </c>
      <c r="E8" s="288" t="s">
        <v>107</v>
      </c>
      <c r="F8" s="289">
        <v>45638</v>
      </c>
      <c r="G8" s="290" t="s">
        <v>622</v>
      </c>
      <c r="H8" s="291" t="s">
        <v>2592</v>
      </c>
      <c r="I8" s="290" t="s">
        <v>254</v>
      </c>
      <c r="J8" s="387" t="s">
        <v>623</v>
      </c>
      <c r="K8" s="289">
        <v>45609</v>
      </c>
      <c r="L8" s="291" t="s">
        <v>624</v>
      </c>
      <c r="M8" s="289">
        <v>45638</v>
      </c>
      <c r="N8" s="291" t="s">
        <v>255</v>
      </c>
      <c r="O8" s="290" t="s">
        <v>559</v>
      </c>
      <c r="P8" s="291" t="s">
        <v>501</v>
      </c>
      <c r="Q8" s="291" t="s">
        <v>633</v>
      </c>
      <c r="R8" s="458">
        <v>9050</v>
      </c>
      <c r="S8" s="404">
        <v>33.121000000000002</v>
      </c>
      <c r="T8" s="459">
        <f t="shared" si="1"/>
        <v>299745.05000000005</v>
      </c>
      <c r="U8" s="409" t="s">
        <v>107</v>
      </c>
      <c r="V8" s="288" t="s">
        <v>555</v>
      </c>
      <c r="W8" s="296" t="str">
        <f t="shared" si="13"/>
        <v>Jan-25</v>
      </c>
      <c r="X8" s="293" t="s">
        <v>561</v>
      </c>
      <c r="Y8" s="293" t="s">
        <v>2637</v>
      </c>
      <c r="Z8" s="297">
        <v>45667</v>
      </c>
      <c r="AA8" s="293" t="s">
        <v>591</v>
      </c>
      <c r="AB8" s="293" t="s">
        <v>563</v>
      </c>
      <c r="AC8" s="298" t="s">
        <v>501</v>
      </c>
      <c r="AD8" s="298" t="s">
        <v>564</v>
      </c>
      <c r="AE8" s="512">
        <v>25910</v>
      </c>
      <c r="AF8" s="513">
        <v>38</v>
      </c>
      <c r="AG8" s="514">
        <f t="shared" si="2"/>
        <v>984580</v>
      </c>
      <c r="AH8" s="514">
        <v>-5320</v>
      </c>
      <c r="AI8" s="514">
        <f t="shared" si="3"/>
        <v>979260</v>
      </c>
      <c r="AJ8" s="514">
        <v>0</v>
      </c>
      <c r="AK8" s="514">
        <f t="shared" si="4"/>
        <v>25910</v>
      </c>
      <c r="AL8" s="514">
        <f t="shared" si="5"/>
        <v>858165.1100000001</v>
      </c>
      <c r="AM8" s="515">
        <f t="shared" si="6"/>
        <v>121094.8899999999</v>
      </c>
      <c r="AN8" s="299">
        <f t="shared" si="7"/>
        <v>0.12365958989440996</v>
      </c>
      <c r="AO8" s="296">
        <f t="shared" si="14"/>
        <v>858165.1100000001</v>
      </c>
      <c r="AP8" s="274">
        <f t="shared" si="8"/>
        <v>58</v>
      </c>
      <c r="AQ8" s="275">
        <f t="shared" si="9"/>
        <v>4453.4723456164393</v>
      </c>
      <c r="AR8" s="275">
        <f t="shared" si="15"/>
        <v>116641.41765438346</v>
      </c>
      <c r="AS8" s="280">
        <f t="shared" si="10"/>
        <v>0.11911179630984975</v>
      </c>
    </row>
    <row r="9" spans="1:48" x14ac:dyDescent="0.3">
      <c r="B9" s="287">
        <f t="shared" si="11"/>
        <v>5</v>
      </c>
      <c r="C9" s="272" t="s">
        <v>131</v>
      </c>
      <c r="D9" s="288" t="str">
        <f t="shared" si="12"/>
        <v>Dec-24</v>
      </c>
      <c r="E9" s="288" t="s">
        <v>107</v>
      </c>
      <c r="F9" s="289">
        <v>45638</v>
      </c>
      <c r="G9" s="290" t="s">
        <v>581</v>
      </c>
      <c r="H9" s="291" t="s">
        <v>2592</v>
      </c>
      <c r="I9" s="290" t="s">
        <v>254</v>
      </c>
      <c r="J9" s="387" t="s">
        <v>582</v>
      </c>
      <c r="K9" s="289">
        <v>45602</v>
      </c>
      <c r="L9" s="291" t="s">
        <v>583</v>
      </c>
      <c r="M9" s="289">
        <v>45638</v>
      </c>
      <c r="N9" s="291" t="s">
        <v>255</v>
      </c>
      <c r="O9" s="290" t="s">
        <v>584</v>
      </c>
      <c r="P9" s="291" t="s">
        <v>501</v>
      </c>
      <c r="Q9" s="291" t="s">
        <v>2602</v>
      </c>
      <c r="R9" s="458">
        <v>25040</v>
      </c>
      <c r="S9" s="404">
        <v>33.521000000000001</v>
      </c>
      <c r="T9" s="459">
        <f t="shared" si="1"/>
        <v>839365.84</v>
      </c>
      <c r="U9" s="409" t="s">
        <v>107</v>
      </c>
      <c r="V9" s="288" t="s">
        <v>555</v>
      </c>
      <c r="W9" s="296" t="str">
        <f t="shared" si="13"/>
        <v>Jan-25</v>
      </c>
      <c r="X9" s="297" t="s">
        <v>561</v>
      </c>
      <c r="Y9" s="293" t="s">
        <v>2638</v>
      </c>
      <c r="Z9" s="297">
        <v>45676</v>
      </c>
      <c r="AA9" s="293" t="s">
        <v>600</v>
      </c>
      <c r="AB9" s="293" t="s">
        <v>571</v>
      </c>
      <c r="AC9" s="298" t="s">
        <v>501</v>
      </c>
      <c r="AD9" s="295" t="s">
        <v>564</v>
      </c>
      <c r="AE9" s="512">
        <v>25650</v>
      </c>
      <c r="AF9" s="513">
        <v>42</v>
      </c>
      <c r="AG9" s="514">
        <f t="shared" si="2"/>
        <v>1077300</v>
      </c>
      <c r="AH9" s="514">
        <v>0</v>
      </c>
      <c r="AI9" s="514">
        <f t="shared" si="3"/>
        <v>1077300</v>
      </c>
      <c r="AJ9" s="514">
        <v>0</v>
      </c>
      <c r="AK9" s="514">
        <f t="shared" si="4"/>
        <v>25650</v>
      </c>
      <c r="AL9" s="514">
        <f t="shared" si="5"/>
        <v>859813.65</v>
      </c>
      <c r="AM9" s="515">
        <f t="shared" si="6"/>
        <v>217486.34999999998</v>
      </c>
      <c r="AN9" s="299">
        <f t="shared" si="7"/>
        <v>0.20188095238095236</v>
      </c>
      <c r="AO9" s="296">
        <f t="shared" si="14"/>
        <v>859813.65</v>
      </c>
      <c r="AP9" s="274">
        <f t="shared" si="8"/>
        <v>74</v>
      </c>
      <c r="AQ9" s="275">
        <f t="shared" si="9"/>
        <v>15911.156840986299</v>
      </c>
      <c r="AR9" s="275">
        <f t="shared" si="15"/>
        <v>201575.19315901367</v>
      </c>
      <c r="AS9" s="280">
        <f t="shared" si="10"/>
        <v>0.18711147605960612</v>
      </c>
    </row>
    <row r="10" spans="1:48" x14ac:dyDescent="0.3">
      <c r="B10" s="287">
        <f t="shared" si="11"/>
        <v>6</v>
      </c>
      <c r="C10" s="272" t="s">
        <v>131</v>
      </c>
      <c r="D10" s="288" t="str">
        <f t="shared" si="12"/>
        <v>Dec-24</v>
      </c>
      <c r="E10" s="288" t="s">
        <v>107</v>
      </c>
      <c r="F10" s="289">
        <v>45638</v>
      </c>
      <c r="G10" s="290" t="s">
        <v>576</v>
      </c>
      <c r="H10" s="291" t="s">
        <v>2592</v>
      </c>
      <c r="I10" s="290" t="s">
        <v>254</v>
      </c>
      <c r="J10" s="387" t="s">
        <v>577</v>
      </c>
      <c r="K10" s="289">
        <v>45602</v>
      </c>
      <c r="L10" s="291" t="s">
        <v>578</v>
      </c>
      <c r="M10" s="289">
        <v>45638</v>
      </c>
      <c r="N10" s="291" t="s">
        <v>255</v>
      </c>
      <c r="O10" s="290" t="s">
        <v>579</v>
      </c>
      <c r="P10" s="291" t="s">
        <v>501</v>
      </c>
      <c r="Q10" s="291" t="s">
        <v>2602</v>
      </c>
      <c r="R10" s="458">
        <v>25820</v>
      </c>
      <c r="S10" s="404">
        <v>33.521000000000001</v>
      </c>
      <c r="T10" s="459">
        <f t="shared" si="1"/>
        <v>865512.22</v>
      </c>
      <c r="U10" s="409" t="s">
        <v>107</v>
      </c>
      <c r="V10" s="288" t="s">
        <v>555</v>
      </c>
      <c r="W10" s="296" t="str">
        <f t="shared" si="13"/>
        <v>Feb-25</v>
      </c>
      <c r="X10" s="297" t="s">
        <v>561</v>
      </c>
      <c r="Y10" s="293" t="s">
        <v>2639</v>
      </c>
      <c r="Z10" s="297">
        <v>45696</v>
      </c>
      <c r="AA10" s="293" t="s">
        <v>607</v>
      </c>
      <c r="AB10" s="293" t="s">
        <v>2620</v>
      </c>
      <c r="AC10" s="298" t="s">
        <v>500</v>
      </c>
      <c r="AD10" s="295" t="s">
        <v>608</v>
      </c>
      <c r="AE10" s="512">
        <v>433.7</v>
      </c>
      <c r="AF10" s="513">
        <v>485</v>
      </c>
      <c r="AG10" s="514">
        <f t="shared" si="2"/>
        <v>210344.5</v>
      </c>
      <c r="AH10" s="514">
        <v>-9700</v>
      </c>
      <c r="AI10" s="514">
        <f t="shared" si="3"/>
        <v>200644.5</v>
      </c>
      <c r="AJ10" s="514">
        <v>0</v>
      </c>
      <c r="AK10" s="514">
        <f t="shared" si="4"/>
        <v>433.7</v>
      </c>
      <c r="AL10" s="514">
        <f t="shared" si="5"/>
        <v>14538.057699999999</v>
      </c>
      <c r="AM10" s="515">
        <f t="shared" si="6"/>
        <v>186106.4423</v>
      </c>
      <c r="AN10" s="299">
        <f t="shared" si="7"/>
        <v>0.92754320352663544</v>
      </c>
      <c r="AO10" s="296">
        <f t="shared" si="14"/>
        <v>14538.057699999999</v>
      </c>
      <c r="AP10" s="274">
        <f t="shared" si="8"/>
        <v>94</v>
      </c>
      <c r="AQ10" s="275">
        <f t="shared" si="9"/>
        <v>20841.060004328767</v>
      </c>
      <c r="AR10" s="275">
        <f t="shared" si="15"/>
        <v>165265.38229567124</v>
      </c>
      <c r="AS10" s="280">
        <f t="shared" si="10"/>
        <v>0.82367262643965444</v>
      </c>
    </row>
    <row r="11" spans="1:48" x14ac:dyDescent="0.3">
      <c r="B11" s="287">
        <f t="shared" si="11"/>
        <v>7</v>
      </c>
      <c r="C11" s="272" t="s">
        <v>131</v>
      </c>
      <c r="D11" s="288" t="str">
        <f t="shared" si="12"/>
        <v>Dec-24</v>
      </c>
      <c r="E11" s="288" t="s">
        <v>107</v>
      </c>
      <c r="F11" s="289">
        <v>45638</v>
      </c>
      <c r="G11" s="290" t="s">
        <v>592</v>
      </c>
      <c r="H11" s="291" t="s">
        <v>2592</v>
      </c>
      <c r="I11" s="290" t="s">
        <v>254</v>
      </c>
      <c r="J11" s="387" t="s">
        <v>593</v>
      </c>
      <c r="K11" s="289">
        <v>45603</v>
      </c>
      <c r="L11" s="291" t="s">
        <v>594</v>
      </c>
      <c r="M11" s="289">
        <v>45638</v>
      </c>
      <c r="N11" s="291" t="s">
        <v>255</v>
      </c>
      <c r="O11" s="290" t="s">
        <v>595</v>
      </c>
      <c r="P11" s="291" t="s">
        <v>501</v>
      </c>
      <c r="Q11" s="291" t="s">
        <v>2602</v>
      </c>
      <c r="R11" s="458">
        <v>25190</v>
      </c>
      <c r="S11" s="404">
        <v>33.521000000000001</v>
      </c>
      <c r="T11" s="459">
        <f t="shared" si="1"/>
        <v>844393.99</v>
      </c>
      <c r="U11" s="409" t="s">
        <v>107</v>
      </c>
      <c r="V11" s="288" t="s">
        <v>555</v>
      </c>
      <c r="W11" s="296" t="str">
        <f t="shared" si="13"/>
        <v>Feb-25</v>
      </c>
      <c r="X11" s="293" t="s">
        <v>561</v>
      </c>
      <c r="Y11" s="293" t="s">
        <v>2640</v>
      </c>
      <c r="Z11" s="297">
        <v>45698</v>
      </c>
      <c r="AA11" s="293" t="s">
        <v>612</v>
      </c>
      <c r="AB11" s="293" t="s">
        <v>2621</v>
      </c>
      <c r="AC11" s="298" t="s">
        <v>500</v>
      </c>
      <c r="AD11" s="298" t="s">
        <v>613</v>
      </c>
      <c r="AE11" s="512">
        <v>1050</v>
      </c>
      <c r="AF11" s="513">
        <v>52</v>
      </c>
      <c r="AG11" s="514">
        <f t="shared" si="2"/>
        <v>54600</v>
      </c>
      <c r="AH11" s="514">
        <v>0</v>
      </c>
      <c r="AI11" s="514">
        <f t="shared" si="3"/>
        <v>54600</v>
      </c>
      <c r="AJ11" s="514">
        <v>0</v>
      </c>
      <c r="AK11" s="514">
        <f t="shared" si="4"/>
        <v>1050</v>
      </c>
      <c r="AL11" s="514">
        <f t="shared" si="5"/>
        <v>35197.050000000003</v>
      </c>
      <c r="AM11" s="515">
        <f t="shared" si="6"/>
        <v>19402.949999999997</v>
      </c>
      <c r="AN11" s="299">
        <f t="shared" si="7"/>
        <v>0.35536538461538458</v>
      </c>
      <c r="AO11" s="296">
        <f t="shared" si="14"/>
        <v>35197.050000000003</v>
      </c>
      <c r="AP11" s="274">
        <f t="shared" si="8"/>
        <v>95</v>
      </c>
      <c r="AQ11" s="275">
        <f t="shared" si="9"/>
        <v>20548.848263493153</v>
      </c>
      <c r="AR11" s="275">
        <f t="shared" si="15"/>
        <v>-1145.8982634931563</v>
      </c>
      <c r="AS11" s="280">
        <f t="shared" si="10"/>
        <v>-2.0987147683024839E-2</v>
      </c>
    </row>
    <row r="12" spans="1:48" x14ac:dyDescent="0.3">
      <c r="B12" s="287">
        <f t="shared" si="11"/>
        <v>8</v>
      </c>
      <c r="C12" s="272" t="s">
        <v>131</v>
      </c>
      <c r="D12" s="288" t="str">
        <f t="shared" si="12"/>
        <v>Dec-24</v>
      </c>
      <c r="E12" s="288" t="s">
        <v>107</v>
      </c>
      <c r="F12" s="289">
        <v>45638</v>
      </c>
      <c r="G12" s="290" t="s">
        <v>585</v>
      </c>
      <c r="H12" s="291" t="s">
        <v>2592</v>
      </c>
      <c r="I12" s="290" t="s">
        <v>254</v>
      </c>
      <c r="J12" s="387" t="s">
        <v>586</v>
      </c>
      <c r="K12" s="289">
        <v>45603</v>
      </c>
      <c r="L12" s="291" t="s">
        <v>587</v>
      </c>
      <c r="M12" s="289">
        <v>45638</v>
      </c>
      <c r="N12" s="291" t="s">
        <v>255</v>
      </c>
      <c r="O12" s="290" t="s">
        <v>584</v>
      </c>
      <c r="P12" s="291" t="s">
        <v>501</v>
      </c>
      <c r="Q12" s="291" t="s">
        <v>2602</v>
      </c>
      <c r="R12" s="458">
        <v>20280</v>
      </c>
      <c r="S12" s="404">
        <v>33.521000000000001</v>
      </c>
      <c r="T12" s="459">
        <f t="shared" si="1"/>
        <v>679805.88</v>
      </c>
      <c r="U12" s="409" t="s">
        <v>107</v>
      </c>
      <c r="V12" s="288" t="s">
        <v>555</v>
      </c>
      <c r="W12" s="296" t="str">
        <f t="shared" si="13"/>
        <v>Feb-25</v>
      </c>
      <c r="X12" s="297" t="s">
        <v>561</v>
      </c>
      <c r="Y12" s="293" t="s">
        <v>2641</v>
      </c>
      <c r="Z12" s="297">
        <v>45705</v>
      </c>
      <c r="AA12" s="296" t="s">
        <v>617</v>
      </c>
      <c r="AB12" s="296" t="s">
        <v>571</v>
      </c>
      <c r="AC12" s="298" t="s">
        <v>501</v>
      </c>
      <c r="AD12" s="295" t="s">
        <v>564</v>
      </c>
      <c r="AE12" s="516">
        <v>22170</v>
      </c>
      <c r="AF12" s="514">
        <v>42</v>
      </c>
      <c r="AG12" s="514">
        <f t="shared" si="2"/>
        <v>931140</v>
      </c>
      <c r="AH12" s="514">
        <v>0</v>
      </c>
      <c r="AI12" s="514">
        <f t="shared" si="3"/>
        <v>931140</v>
      </c>
      <c r="AJ12" s="514">
        <v>0</v>
      </c>
      <c r="AK12" s="514">
        <f t="shared" si="4"/>
        <v>22170</v>
      </c>
      <c r="AL12" s="514">
        <f t="shared" si="5"/>
        <v>743160.57000000007</v>
      </c>
      <c r="AM12" s="515">
        <f t="shared" si="6"/>
        <v>187979.42999999993</v>
      </c>
      <c r="AN12" s="299">
        <f t="shared" si="7"/>
        <v>0.2018809523809523</v>
      </c>
      <c r="AO12" s="296">
        <f t="shared" si="14"/>
        <v>743160.57000000007</v>
      </c>
      <c r="AP12" s="274">
        <f t="shared" si="8"/>
        <v>102</v>
      </c>
      <c r="AQ12" s="275">
        <f t="shared" si="9"/>
        <v>17762.489527561644</v>
      </c>
      <c r="AR12" s="275">
        <f t="shared" si="15"/>
        <v>170216.94047243829</v>
      </c>
      <c r="AS12" s="280">
        <f t="shared" si="10"/>
        <v>0.1828048848427071</v>
      </c>
    </row>
    <row r="13" spans="1:48" x14ac:dyDescent="0.3">
      <c r="B13" s="287">
        <f t="shared" si="11"/>
        <v>9</v>
      </c>
      <c r="C13" s="272" t="s">
        <v>131</v>
      </c>
      <c r="D13" s="288" t="str">
        <f t="shared" si="12"/>
        <v>Dec-24</v>
      </c>
      <c r="E13" s="288" t="s">
        <v>107</v>
      </c>
      <c r="F13" s="289">
        <v>45638</v>
      </c>
      <c r="G13" s="290" t="s">
        <v>596</v>
      </c>
      <c r="H13" s="291" t="s">
        <v>2592</v>
      </c>
      <c r="I13" s="290" t="s">
        <v>254</v>
      </c>
      <c r="J13" s="387" t="s">
        <v>597</v>
      </c>
      <c r="K13" s="289">
        <v>45603</v>
      </c>
      <c r="L13" s="291" t="s">
        <v>598</v>
      </c>
      <c r="M13" s="289">
        <v>45638</v>
      </c>
      <c r="N13" s="291" t="s">
        <v>255</v>
      </c>
      <c r="O13" s="290" t="s">
        <v>599</v>
      </c>
      <c r="P13" s="291" t="s">
        <v>501</v>
      </c>
      <c r="Q13" s="291" t="s">
        <v>2602</v>
      </c>
      <c r="R13" s="458">
        <v>17620</v>
      </c>
      <c r="S13" s="404">
        <v>33.521000000000001</v>
      </c>
      <c r="T13" s="459">
        <f t="shared" si="1"/>
        <v>590640.02</v>
      </c>
      <c r="U13" s="409" t="s">
        <v>107</v>
      </c>
      <c r="V13" s="288" t="s">
        <v>555</v>
      </c>
      <c r="W13" s="296" t="str">
        <f t="shared" si="13"/>
        <v>Feb-25</v>
      </c>
      <c r="X13" s="297" t="s">
        <v>561</v>
      </c>
      <c r="Y13" s="293" t="s">
        <v>2642</v>
      </c>
      <c r="Z13" s="297">
        <v>45711</v>
      </c>
      <c r="AA13" s="296" t="s">
        <v>621</v>
      </c>
      <c r="AB13" s="296" t="s">
        <v>571</v>
      </c>
      <c r="AC13" s="298" t="s">
        <v>501</v>
      </c>
      <c r="AD13" s="295" t="s">
        <v>564</v>
      </c>
      <c r="AE13" s="516">
        <v>24330</v>
      </c>
      <c r="AF13" s="514">
        <v>42</v>
      </c>
      <c r="AG13" s="514">
        <f t="shared" si="2"/>
        <v>1021860</v>
      </c>
      <c r="AH13" s="514">
        <v>0</v>
      </c>
      <c r="AI13" s="514">
        <f t="shared" si="3"/>
        <v>1021860</v>
      </c>
      <c r="AJ13" s="514">
        <v>0</v>
      </c>
      <c r="AK13" s="514">
        <f t="shared" si="4"/>
        <v>24330</v>
      </c>
      <c r="AL13" s="514">
        <f t="shared" si="5"/>
        <v>815565.93</v>
      </c>
      <c r="AM13" s="515">
        <f t="shared" si="6"/>
        <v>206294.06999999995</v>
      </c>
      <c r="AN13" s="299">
        <f t="shared" si="7"/>
        <v>0.20188095238095233</v>
      </c>
      <c r="AO13" s="296">
        <f t="shared" si="14"/>
        <v>815565.93</v>
      </c>
      <c r="AP13" s="274">
        <f t="shared" si="8"/>
        <v>108</v>
      </c>
      <c r="AQ13" s="275">
        <f t="shared" si="9"/>
        <v>16340.501156054794</v>
      </c>
      <c r="AR13" s="275">
        <f t="shared" si="15"/>
        <v>189953.56884394516</v>
      </c>
      <c r="AS13" s="280">
        <f t="shared" si="10"/>
        <v>0.1858900131563474</v>
      </c>
    </row>
    <row r="14" spans="1:48" x14ac:dyDescent="0.3">
      <c r="B14" s="287">
        <f t="shared" si="11"/>
        <v>10</v>
      </c>
      <c r="C14" s="272" t="s">
        <v>131</v>
      </c>
      <c r="D14" s="288" t="str">
        <f t="shared" si="12"/>
        <v>Dec-24</v>
      </c>
      <c r="E14" s="288" t="s">
        <v>107</v>
      </c>
      <c r="F14" s="289">
        <v>45638</v>
      </c>
      <c r="G14" s="290" t="s">
        <v>588</v>
      </c>
      <c r="H14" s="291" t="s">
        <v>2592</v>
      </c>
      <c r="I14" s="290" t="s">
        <v>254</v>
      </c>
      <c r="J14" s="387" t="s">
        <v>589</v>
      </c>
      <c r="K14" s="289">
        <v>45603</v>
      </c>
      <c r="L14" s="291" t="s">
        <v>590</v>
      </c>
      <c r="M14" s="289">
        <v>45638</v>
      </c>
      <c r="N14" s="291" t="s">
        <v>255</v>
      </c>
      <c r="O14" s="290" t="s">
        <v>579</v>
      </c>
      <c r="P14" s="291" t="s">
        <v>501</v>
      </c>
      <c r="Q14" s="291" t="s">
        <v>2602</v>
      </c>
      <c r="R14" s="458">
        <v>21200</v>
      </c>
      <c r="S14" s="404">
        <v>33.521000000000001</v>
      </c>
      <c r="T14" s="459">
        <f t="shared" si="1"/>
        <v>710645.20000000007</v>
      </c>
      <c r="U14" s="409" t="s">
        <v>107</v>
      </c>
      <c r="V14" s="288" t="s">
        <v>555</v>
      </c>
      <c r="W14" s="296" t="str">
        <f t="shared" si="13"/>
        <v>Feb-25</v>
      </c>
      <c r="X14" s="297" t="s">
        <v>625</v>
      </c>
      <c r="Y14" s="293" t="s">
        <v>2643</v>
      </c>
      <c r="Z14" s="297">
        <v>45714</v>
      </c>
      <c r="AA14" s="296" t="s">
        <v>626</v>
      </c>
      <c r="AB14" s="296" t="s">
        <v>2596</v>
      </c>
      <c r="AC14" s="298" t="s">
        <v>500</v>
      </c>
      <c r="AD14" s="295" t="s">
        <v>627</v>
      </c>
      <c r="AE14" s="516">
        <v>12940</v>
      </c>
      <c r="AF14" s="514">
        <v>35.700000000000003</v>
      </c>
      <c r="AG14" s="514">
        <f t="shared" si="2"/>
        <v>461958.00000000006</v>
      </c>
      <c r="AH14" s="514">
        <v>0</v>
      </c>
      <c r="AI14" s="514">
        <f t="shared" si="3"/>
        <v>461958.00000000006</v>
      </c>
      <c r="AJ14" s="514">
        <v>0</v>
      </c>
      <c r="AK14" s="514">
        <f t="shared" si="4"/>
        <v>12940</v>
      </c>
      <c r="AL14" s="514">
        <f t="shared" si="5"/>
        <v>433761.74</v>
      </c>
      <c r="AM14" s="515">
        <f t="shared" si="6"/>
        <v>28196.260000000068</v>
      </c>
      <c r="AN14" s="299">
        <f t="shared" si="7"/>
        <v>6.1036414565826466E-2</v>
      </c>
      <c r="AO14" s="296">
        <f t="shared" si="14"/>
        <v>433761.74</v>
      </c>
      <c r="AP14" s="274">
        <f t="shared" si="8"/>
        <v>111</v>
      </c>
      <c r="AQ14" s="275">
        <f t="shared" si="9"/>
        <v>20206.660844383565</v>
      </c>
      <c r="AR14" s="275">
        <f t="shared" si="15"/>
        <v>7989.5991556165027</v>
      </c>
      <c r="AS14" s="280">
        <f t="shared" si="10"/>
        <v>1.7295076945558908E-2</v>
      </c>
    </row>
    <row r="15" spans="1:48" x14ac:dyDescent="0.3">
      <c r="B15" s="287">
        <f t="shared" si="11"/>
        <v>11</v>
      </c>
      <c r="C15" s="272" t="s">
        <v>131</v>
      </c>
      <c r="D15" s="288" t="str">
        <f t="shared" si="12"/>
        <v>Dec-24</v>
      </c>
      <c r="E15" s="288" t="s">
        <v>107</v>
      </c>
      <c r="F15" s="289">
        <v>45638</v>
      </c>
      <c r="G15" s="290" t="s">
        <v>601</v>
      </c>
      <c r="H15" s="291" t="s">
        <v>2592</v>
      </c>
      <c r="I15" s="290" t="s">
        <v>254</v>
      </c>
      <c r="J15" s="387" t="s">
        <v>602</v>
      </c>
      <c r="K15" s="289">
        <v>45604</v>
      </c>
      <c r="L15" s="291" t="s">
        <v>603</v>
      </c>
      <c r="M15" s="289">
        <v>45638</v>
      </c>
      <c r="N15" s="291" t="s">
        <v>255</v>
      </c>
      <c r="O15" s="290" t="s">
        <v>599</v>
      </c>
      <c r="P15" s="291" t="s">
        <v>501</v>
      </c>
      <c r="Q15" s="291" t="s">
        <v>2602</v>
      </c>
      <c r="R15" s="458">
        <v>29120</v>
      </c>
      <c r="S15" s="404">
        <v>33.521000000000001</v>
      </c>
      <c r="T15" s="459">
        <f t="shared" si="1"/>
        <v>976131.52</v>
      </c>
      <c r="U15" s="409" t="s">
        <v>107</v>
      </c>
      <c r="V15" s="288" t="s">
        <v>555</v>
      </c>
      <c r="W15" s="296" t="str">
        <f t="shared" si="13"/>
        <v>Feb-25</v>
      </c>
      <c r="X15" s="297" t="s">
        <v>560</v>
      </c>
      <c r="Y15" s="293" t="s">
        <v>2644</v>
      </c>
      <c r="Z15" s="297">
        <v>45716</v>
      </c>
      <c r="AA15" s="296" t="s">
        <v>632</v>
      </c>
      <c r="AB15" s="296" t="s">
        <v>2596</v>
      </c>
      <c r="AC15" s="298" t="s">
        <v>500</v>
      </c>
      <c r="AD15" s="295" t="s">
        <v>633</v>
      </c>
      <c r="AE15" s="516">
        <v>21600</v>
      </c>
      <c r="AF15" s="514">
        <v>35.299999999999997</v>
      </c>
      <c r="AG15" s="514">
        <f t="shared" si="2"/>
        <v>762479.99999999988</v>
      </c>
      <c r="AH15" s="514">
        <v>0</v>
      </c>
      <c r="AI15" s="514">
        <f t="shared" si="3"/>
        <v>762479.99999999988</v>
      </c>
      <c r="AJ15" s="514">
        <v>0</v>
      </c>
      <c r="AK15" s="514">
        <f t="shared" si="4"/>
        <v>21600</v>
      </c>
      <c r="AL15" s="514">
        <f t="shared" si="5"/>
        <v>724053.6</v>
      </c>
      <c r="AM15" s="515">
        <f t="shared" si="6"/>
        <v>38426.399999999907</v>
      </c>
      <c r="AN15" s="299">
        <f t="shared" si="7"/>
        <v>5.0396600566572122E-2</v>
      </c>
      <c r="AO15" s="296">
        <f t="shared" si="14"/>
        <v>724053.6</v>
      </c>
      <c r="AP15" s="274">
        <f t="shared" si="8"/>
        <v>112</v>
      </c>
      <c r="AQ15" s="275">
        <f t="shared" si="9"/>
        <v>28005.614458739728</v>
      </c>
      <c r="AR15" s="275">
        <f t="shared" si="15"/>
        <v>10420.785541260178</v>
      </c>
      <c r="AS15" s="280">
        <f t="shared" si="10"/>
        <v>1.3666962466241973E-2</v>
      </c>
    </row>
    <row r="16" spans="1:48" x14ac:dyDescent="0.3">
      <c r="B16" s="287">
        <f t="shared" si="11"/>
        <v>12</v>
      </c>
      <c r="C16" s="272" t="s">
        <v>131</v>
      </c>
      <c r="D16" s="288" t="str">
        <f t="shared" si="12"/>
        <v>Dec-24</v>
      </c>
      <c r="E16" s="288" t="s">
        <v>107</v>
      </c>
      <c r="F16" s="289">
        <v>45638</v>
      </c>
      <c r="G16" s="290" t="s">
        <v>604</v>
      </c>
      <c r="H16" s="291" t="s">
        <v>2592</v>
      </c>
      <c r="I16" s="290" t="s">
        <v>254</v>
      </c>
      <c r="J16" s="387" t="s">
        <v>605</v>
      </c>
      <c r="K16" s="289">
        <v>45604</v>
      </c>
      <c r="L16" s="291" t="s">
        <v>606</v>
      </c>
      <c r="M16" s="289">
        <v>45638</v>
      </c>
      <c r="N16" s="291" t="s">
        <v>255</v>
      </c>
      <c r="O16" s="290" t="s">
        <v>579</v>
      </c>
      <c r="P16" s="291" t="s">
        <v>501</v>
      </c>
      <c r="Q16" s="291" t="s">
        <v>2602</v>
      </c>
      <c r="R16" s="458">
        <v>26990</v>
      </c>
      <c r="S16" s="404">
        <v>33.521000000000001</v>
      </c>
      <c r="T16" s="459">
        <f t="shared" si="1"/>
        <v>904731.79</v>
      </c>
      <c r="U16" s="409" t="s">
        <v>107</v>
      </c>
      <c r="V16" s="288" t="s">
        <v>555</v>
      </c>
      <c r="W16" s="296" t="str">
        <f t="shared" si="13"/>
        <v>Mar-25</v>
      </c>
      <c r="X16" s="297" t="s">
        <v>561</v>
      </c>
      <c r="Y16" s="293" t="s">
        <v>2645</v>
      </c>
      <c r="Z16" s="297">
        <v>45719</v>
      </c>
      <c r="AA16" s="293" t="s">
        <v>641</v>
      </c>
      <c r="AB16" s="293" t="s">
        <v>2622</v>
      </c>
      <c r="AC16" s="298" t="s">
        <v>501</v>
      </c>
      <c r="AD16" s="295" t="s">
        <v>564</v>
      </c>
      <c r="AE16" s="512">
        <v>20900</v>
      </c>
      <c r="AF16" s="513">
        <v>38.5</v>
      </c>
      <c r="AG16" s="514">
        <f t="shared" si="2"/>
        <v>804650</v>
      </c>
      <c r="AH16" s="514">
        <v>0</v>
      </c>
      <c r="AI16" s="514">
        <f t="shared" si="3"/>
        <v>804650</v>
      </c>
      <c r="AJ16" s="514">
        <v>0</v>
      </c>
      <c r="AK16" s="514">
        <f t="shared" si="4"/>
        <v>20900</v>
      </c>
      <c r="AL16" s="514">
        <f t="shared" si="5"/>
        <v>700588.9</v>
      </c>
      <c r="AM16" s="515">
        <f t="shared" si="6"/>
        <v>104061.09999999998</v>
      </c>
      <c r="AN16" s="299">
        <f t="shared" si="7"/>
        <v>0.12932467532467529</v>
      </c>
      <c r="AO16" s="296">
        <f t="shared" si="14"/>
        <v>700588.9</v>
      </c>
      <c r="AP16" s="274">
        <f t="shared" si="8"/>
        <v>115</v>
      </c>
      <c r="AQ16" s="275">
        <f t="shared" si="9"/>
        <v>26652.407046506851</v>
      </c>
      <c r="AR16" s="275">
        <f t="shared" si="15"/>
        <v>77408.692953493126</v>
      </c>
      <c r="AS16" s="280">
        <f t="shared" si="10"/>
        <v>9.6201693846384301E-2</v>
      </c>
    </row>
    <row r="17" spans="2:45" x14ac:dyDescent="0.3">
      <c r="B17" s="287">
        <f t="shared" si="11"/>
        <v>13</v>
      </c>
      <c r="C17" s="272" t="s">
        <v>131</v>
      </c>
      <c r="D17" s="288" t="str">
        <f t="shared" si="12"/>
        <v>Dec-24</v>
      </c>
      <c r="E17" s="288" t="s">
        <v>107</v>
      </c>
      <c r="F17" s="289">
        <v>45638</v>
      </c>
      <c r="G17" s="290" t="s">
        <v>618</v>
      </c>
      <c r="H17" s="291" t="s">
        <v>2592</v>
      </c>
      <c r="I17" s="290" t="s">
        <v>254</v>
      </c>
      <c r="J17" s="387" t="s">
        <v>619</v>
      </c>
      <c r="K17" s="289">
        <v>45605</v>
      </c>
      <c r="L17" s="291" t="s">
        <v>620</v>
      </c>
      <c r="M17" s="289">
        <v>45638</v>
      </c>
      <c r="N17" s="291" t="s">
        <v>255</v>
      </c>
      <c r="O17" s="290" t="s">
        <v>595</v>
      </c>
      <c r="P17" s="291" t="s">
        <v>501</v>
      </c>
      <c r="Q17" s="291" t="s">
        <v>2602</v>
      </c>
      <c r="R17" s="458">
        <v>29550</v>
      </c>
      <c r="S17" s="404">
        <v>33.521000000000001</v>
      </c>
      <c r="T17" s="459">
        <f t="shared" si="1"/>
        <v>990545.55</v>
      </c>
      <c r="U17" s="409" t="s">
        <v>107</v>
      </c>
      <c r="V17" s="288" t="s">
        <v>555</v>
      </c>
      <c r="W17" s="296" t="str">
        <f t="shared" si="13"/>
        <v>Mar-25</v>
      </c>
      <c r="X17" s="297" t="s">
        <v>561</v>
      </c>
      <c r="Y17" s="293" t="s">
        <v>2646</v>
      </c>
      <c r="Z17" s="297">
        <v>45719</v>
      </c>
      <c r="AA17" s="296" t="s">
        <v>637</v>
      </c>
      <c r="AB17" s="296" t="s">
        <v>2623</v>
      </c>
      <c r="AC17" s="298" t="s">
        <v>501</v>
      </c>
      <c r="AD17" s="295" t="s">
        <v>564</v>
      </c>
      <c r="AE17" s="516">
        <v>22860</v>
      </c>
      <c r="AF17" s="514">
        <v>36.5</v>
      </c>
      <c r="AG17" s="514">
        <f t="shared" si="2"/>
        <v>834390</v>
      </c>
      <c r="AH17" s="514">
        <v>0</v>
      </c>
      <c r="AI17" s="514">
        <f t="shared" si="3"/>
        <v>834390</v>
      </c>
      <c r="AJ17" s="514">
        <v>0</v>
      </c>
      <c r="AK17" s="514">
        <f t="shared" si="4"/>
        <v>22860</v>
      </c>
      <c r="AL17" s="514">
        <f t="shared" si="5"/>
        <v>766290.06</v>
      </c>
      <c r="AM17" s="515">
        <f t="shared" si="6"/>
        <v>68099.939999999944</v>
      </c>
      <c r="AN17" s="299">
        <f t="shared" si="7"/>
        <v>8.161643835616432E-2</v>
      </c>
      <c r="AO17" s="296">
        <f t="shared" si="14"/>
        <v>766290.06</v>
      </c>
      <c r="AP17" s="274">
        <f t="shared" si="8"/>
        <v>114</v>
      </c>
      <c r="AQ17" s="275">
        <f t="shared" si="9"/>
        <v>28926.643883424662</v>
      </c>
      <c r="AR17" s="275">
        <f t="shared" si="15"/>
        <v>39173.296116575279</v>
      </c>
      <c r="AS17" s="280">
        <f t="shared" si="10"/>
        <v>4.6948424737323406E-2</v>
      </c>
    </row>
    <row r="18" spans="2:45" x14ac:dyDescent="0.3">
      <c r="B18" s="287">
        <f t="shared" si="11"/>
        <v>14</v>
      </c>
      <c r="C18" s="272" t="s">
        <v>131</v>
      </c>
      <c r="D18" s="288" t="str">
        <f t="shared" si="12"/>
        <v>Dec-24</v>
      </c>
      <c r="E18" s="288" t="s">
        <v>107</v>
      </c>
      <c r="F18" s="289">
        <v>45638</v>
      </c>
      <c r="G18" s="290" t="s">
        <v>609</v>
      </c>
      <c r="H18" s="291" t="s">
        <v>2592</v>
      </c>
      <c r="I18" s="290" t="s">
        <v>254</v>
      </c>
      <c r="J18" s="387" t="s">
        <v>610</v>
      </c>
      <c r="K18" s="289">
        <v>45605</v>
      </c>
      <c r="L18" s="291" t="s">
        <v>611</v>
      </c>
      <c r="M18" s="289">
        <v>45638</v>
      </c>
      <c r="N18" s="291" t="s">
        <v>255</v>
      </c>
      <c r="O18" s="290" t="s">
        <v>584</v>
      </c>
      <c r="P18" s="291" t="s">
        <v>501</v>
      </c>
      <c r="Q18" s="291" t="s">
        <v>2602</v>
      </c>
      <c r="R18" s="458">
        <v>23850</v>
      </c>
      <c r="S18" s="404">
        <v>33.521000000000001</v>
      </c>
      <c r="T18" s="459">
        <f t="shared" si="1"/>
        <v>799475.85</v>
      </c>
      <c r="U18" s="409" t="s">
        <v>107</v>
      </c>
      <c r="V18" s="288" t="s">
        <v>555</v>
      </c>
      <c r="W18" s="296" t="str">
        <f t="shared" si="13"/>
        <v>Mar-25</v>
      </c>
      <c r="X18" s="297" t="s">
        <v>560</v>
      </c>
      <c r="Y18" s="293" t="s">
        <v>2647</v>
      </c>
      <c r="Z18" s="297">
        <v>45720</v>
      </c>
      <c r="AA18" s="293" t="s">
        <v>645</v>
      </c>
      <c r="AB18" s="293" t="s">
        <v>2596</v>
      </c>
      <c r="AC18" s="298" t="s">
        <v>500</v>
      </c>
      <c r="AD18" s="295" t="s">
        <v>633</v>
      </c>
      <c r="AE18" s="512">
        <v>10680</v>
      </c>
      <c r="AF18" s="513">
        <v>35.299999999999997</v>
      </c>
      <c r="AG18" s="514">
        <f t="shared" si="2"/>
        <v>377003.99999999994</v>
      </c>
      <c r="AH18" s="514">
        <v>0</v>
      </c>
      <c r="AI18" s="514">
        <f t="shared" si="3"/>
        <v>377003.99999999994</v>
      </c>
      <c r="AJ18" s="514">
        <v>0</v>
      </c>
      <c r="AK18" s="514">
        <f t="shared" si="4"/>
        <v>10680</v>
      </c>
      <c r="AL18" s="514">
        <f t="shared" si="5"/>
        <v>358004.28</v>
      </c>
      <c r="AM18" s="515">
        <f t="shared" si="6"/>
        <v>18999.719999999914</v>
      </c>
      <c r="AN18" s="299">
        <f t="shared" si="7"/>
        <v>5.0396600566572018E-2</v>
      </c>
      <c r="AO18" s="296">
        <f t="shared" si="14"/>
        <v>358004.28</v>
      </c>
      <c r="AP18" s="274">
        <f t="shared" si="8"/>
        <v>115</v>
      </c>
      <c r="AQ18" s="275">
        <f t="shared" si="9"/>
        <v>23551.682403082192</v>
      </c>
      <c r="AR18" s="275">
        <f t="shared" si="15"/>
        <v>-4551.9624030822779</v>
      </c>
      <c r="AS18" s="280">
        <f t="shared" si="10"/>
        <v>-1.2074042723902872E-2</v>
      </c>
    </row>
    <row r="19" spans="2:45" x14ac:dyDescent="0.3">
      <c r="B19" s="287">
        <f t="shared" si="11"/>
        <v>15</v>
      </c>
      <c r="C19" s="272" t="s">
        <v>131</v>
      </c>
      <c r="D19" s="288" t="str">
        <f t="shared" si="12"/>
        <v>Dec-24</v>
      </c>
      <c r="E19" s="288" t="s">
        <v>107</v>
      </c>
      <c r="F19" s="289">
        <v>45638</v>
      </c>
      <c r="G19" s="290" t="s">
        <v>614</v>
      </c>
      <c r="H19" s="291" t="s">
        <v>2592</v>
      </c>
      <c r="I19" s="290" t="s">
        <v>254</v>
      </c>
      <c r="J19" s="387" t="s">
        <v>615</v>
      </c>
      <c r="K19" s="289">
        <v>45605</v>
      </c>
      <c r="L19" s="291" t="s">
        <v>616</v>
      </c>
      <c r="M19" s="289">
        <v>45638</v>
      </c>
      <c r="N19" s="291" t="s">
        <v>255</v>
      </c>
      <c r="O19" s="290" t="s">
        <v>568</v>
      </c>
      <c r="P19" s="291" t="s">
        <v>501</v>
      </c>
      <c r="Q19" s="291" t="s">
        <v>2602</v>
      </c>
      <c r="R19" s="458">
        <v>20710</v>
      </c>
      <c r="S19" s="404">
        <v>33.521000000000001</v>
      </c>
      <c r="T19" s="459">
        <f t="shared" si="1"/>
        <v>694219.91</v>
      </c>
      <c r="U19" s="409" t="s">
        <v>107</v>
      </c>
      <c r="V19" s="288" t="s">
        <v>555</v>
      </c>
      <c r="W19" s="296" t="str">
        <f t="shared" si="13"/>
        <v>Mar-25</v>
      </c>
      <c r="X19" s="297" t="s">
        <v>561</v>
      </c>
      <c r="Y19" s="293" t="s">
        <v>2649</v>
      </c>
      <c r="Z19" s="297">
        <v>45721</v>
      </c>
      <c r="AA19" s="293" t="s">
        <v>649</v>
      </c>
      <c r="AB19" s="293" t="s">
        <v>2623</v>
      </c>
      <c r="AC19" s="298" t="s">
        <v>501</v>
      </c>
      <c r="AD19" s="295" t="s">
        <v>564</v>
      </c>
      <c r="AE19" s="512">
        <v>21660</v>
      </c>
      <c r="AF19" s="513">
        <v>36.5</v>
      </c>
      <c r="AG19" s="514">
        <f t="shared" si="2"/>
        <v>790590</v>
      </c>
      <c r="AH19" s="514">
        <v>0</v>
      </c>
      <c r="AI19" s="514">
        <f t="shared" si="3"/>
        <v>790590</v>
      </c>
      <c r="AJ19" s="514">
        <v>0</v>
      </c>
      <c r="AK19" s="514">
        <f t="shared" si="4"/>
        <v>21660</v>
      </c>
      <c r="AL19" s="514">
        <f t="shared" si="5"/>
        <v>726064.86</v>
      </c>
      <c r="AM19" s="515">
        <f t="shared" si="6"/>
        <v>64525.140000000014</v>
      </c>
      <c r="AN19" s="299">
        <f t="shared" si="7"/>
        <v>8.1616438356164403E-2</v>
      </c>
      <c r="AO19" s="296">
        <f t="shared" si="14"/>
        <v>726064.86</v>
      </c>
      <c r="AP19" s="274">
        <f t="shared" si="8"/>
        <v>116</v>
      </c>
      <c r="AQ19" s="275">
        <f t="shared" si="9"/>
        <v>20628.792174958904</v>
      </c>
      <c r="AR19" s="275">
        <f t="shared" si="15"/>
        <v>43896.347825041114</v>
      </c>
      <c r="AS19" s="280">
        <f t="shared" si="10"/>
        <v>5.5523530306531975E-2</v>
      </c>
    </row>
    <row r="20" spans="2:45" x14ac:dyDescent="0.3">
      <c r="B20" s="287">
        <f t="shared" si="11"/>
        <v>16</v>
      </c>
      <c r="C20" s="272" t="s">
        <v>131</v>
      </c>
      <c r="D20" s="288" t="str">
        <f t="shared" si="12"/>
        <v>Dec-24</v>
      </c>
      <c r="E20" s="288" t="s">
        <v>107</v>
      </c>
      <c r="F20" s="289">
        <v>45638</v>
      </c>
      <c r="G20" s="290" t="s">
        <v>628</v>
      </c>
      <c r="H20" s="291" t="s">
        <v>2592</v>
      </c>
      <c r="I20" s="290" t="s">
        <v>254</v>
      </c>
      <c r="J20" s="387" t="s">
        <v>629</v>
      </c>
      <c r="K20" s="289">
        <v>45621</v>
      </c>
      <c r="L20" s="291" t="s">
        <v>630</v>
      </c>
      <c r="M20" s="289">
        <v>45638</v>
      </c>
      <c r="N20" s="291" t="s">
        <v>255</v>
      </c>
      <c r="O20" s="290" t="s">
        <v>631</v>
      </c>
      <c r="P20" s="291" t="s">
        <v>501</v>
      </c>
      <c r="Q20" s="291" t="s">
        <v>2602</v>
      </c>
      <c r="R20" s="458">
        <v>12020</v>
      </c>
      <c r="S20" s="404">
        <v>33.521000000000001</v>
      </c>
      <c r="T20" s="459">
        <f t="shared" si="1"/>
        <v>402922.42</v>
      </c>
      <c r="U20" s="409" t="s">
        <v>107</v>
      </c>
      <c r="V20" s="288" t="s">
        <v>555</v>
      </c>
      <c r="W20" s="296" t="str">
        <f t="shared" si="13"/>
        <v>Mar-25</v>
      </c>
      <c r="X20" s="293" t="s">
        <v>560</v>
      </c>
      <c r="Y20" s="293" t="s">
        <v>2648</v>
      </c>
      <c r="Z20" s="297">
        <v>45722</v>
      </c>
      <c r="AA20" s="293" t="s">
        <v>657</v>
      </c>
      <c r="AB20" s="293" t="s">
        <v>2596</v>
      </c>
      <c r="AC20" s="298" t="s">
        <v>500</v>
      </c>
      <c r="AD20" s="298" t="s">
        <v>633</v>
      </c>
      <c r="AE20" s="512">
        <v>19840</v>
      </c>
      <c r="AF20" s="513">
        <v>35.299999999999997</v>
      </c>
      <c r="AG20" s="514">
        <f t="shared" si="2"/>
        <v>700352</v>
      </c>
      <c r="AH20" s="514">
        <v>0</v>
      </c>
      <c r="AI20" s="514">
        <f t="shared" si="3"/>
        <v>700352</v>
      </c>
      <c r="AJ20" s="514">
        <v>0</v>
      </c>
      <c r="AK20" s="514">
        <f t="shared" si="4"/>
        <v>19840</v>
      </c>
      <c r="AL20" s="514">
        <f t="shared" si="5"/>
        <v>665056.64</v>
      </c>
      <c r="AM20" s="515">
        <f t="shared" si="6"/>
        <v>35295.359999999986</v>
      </c>
      <c r="AN20" s="299">
        <f t="shared" si="7"/>
        <v>5.0396600566572219E-2</v>
      </c>
      <c r="AO20" s="296">
        <f t="shared" si="14"/>
        <v>665056.64</v>
      </c>
      <c r="AP20" s="274">
        <f t="shared" si="8"/>
        <v>101</v>
      </c>
      <c r="AQ20" s="275">
        <f t="shared" si="9"/>
        <v>10424.651707589039</v>
      </c>
      <c r="AR20" s="275">
        <f t="shared" si="15"/>
        <v>24870.708292410949</v>
      </c>
      <c r="AS20" s="280">
        <f t="shared" si="10"/>
        <v>3.5511725949823728E-2</v>
      </c>
    </row>
    <row r="21" spans="2:45" x14ac:dyDescent="0.3">
      <c r="B21" s="287">
        <f t="shared" si="11"/>
        <v>17</v>
      </c>
      <c r="C21" s="272" t="s">
        <v>131</v>
      </c>
      <c r="D21" s="288" t="str">
        <f t="shared" si="12"/>
        <v>Dec-24</v>
      </c>
      <c r="E21" s="288" t="s">
        <v>107</v>
      </c>
      <c r="F21" s="289">
        <v>45638</v>
      </c>
      <c r="G21" s="290" t="s">
        <v>634</v>
      </c>
      <c r="H21" s="291" t="s">
        <v>2592</v>
      </c>
      <c r="I21" s="290" t="s">
        <v>254</v>
      </c>
      <c r="J21" s="387" t="s">
        <v>635</v>
      </c>
      <c r="K21" s="289">
        <v>45621</v>
      </c>
      <c r="L21" s="291" t="s">
        <v>636</v>
      </c>
      <c r="M21" s="289">
        <v>45638</v>
      </c>
      <c r="N21" s="291" t="s">
        <v>255</v>
      </c>
      <c r="O21" s="290" t="s">
        <v>299</v>
      </c>
      <c r="P21" s="291" t="s">
        <v>501</v>
      </c>
      <c r="Q21" s="291" t="s">
        <v>2602</v>
      </c>
      <c r="R21" s="458">
        <v>4330</v>
      </c>
      <c r="S21" s="404">
        <v>33.521000000000001</v>
      </c>
      <c r="T21" s="459">
        <f t="shared" si="1"/>
        <v>145145.93</v>
      </c>
      <c r="U21" s="409" t="s">
        <v>107</v>
      </c>
      <c r="V21" s="288" t="s">
        <v>555</v>
      </c>
      <c r="W21" s="296" t="str">
        <f t="shared" si="13"/>
        <v>Mar-25</v>
      </c>
      <c r="X21" s="293" t="s">
        <v>560</v>
      </c>
      <c r="Y21" s="293" t="s">
        <v>2650</v>
      </c>
      <c r="Z21" s="297">
        <v>45722</v>
      </c>
      <c r="AA21" s="293" t="s">
        <v>661</v>
      </c>
      <c r="AB21" s="293" t="s">
        <v>2596</v>
      </c>
      <c r="AC21" s="298" t="s">
        <v>500</v>
      </c>
      <c r="AD21" s="298" t="s">
        <v>633</v>
      </c>
      <c r="AE21" s="512">
        <v>7470</v>
      </c>
      <c r="AF21" s="513">
        <v>35.299999999999997</v>
      </c>
      <c r="AG21" s="514">
        <f t="shared" si="2"/>
        <v>263691</v>
      </c>
      <c r="AH21" s="514">
        <v>0</v>
      </c>
      <c r="AI21" s="514">
        <f t="shared" si="3"/>
        <v>263691</v>
      </c>
      <c r="AJ21" s="514">
        <v>0</v>
      </c>
      <c r="AK21" s="514">
        <f t="shared" si="4"/>
        <v>7470</v>
      </c>
      <c r="AL21" s="514">
        <f t="shared" si="5"/>
        <v>250401.87</v>
      </c>
      <c r="AM21" s="515">
        <f t="shared" si="6"/>
        <v>13289.130000000005</v>
      </c>
      <c r="AN21" s="299">
        <f t="shared" si="7"/>
        <v>5.0396600566572254E-2</v>
      </c>
      <c r="AO21" s="296">
        <f t="shared" si="14"/>
        <v>250401.87</v>
      </c>
      <c r="AP21" s="274">
        <f t="shared" si="8"/>
        <v>101</v>
      </c>
      <c r="AQ21" s="275">
        <f t="shared" si="9"/>
        <v>3755.3029861780819</v>
      </c>
      <c r="AR21" s="275">
        <f t="shared" si="15"/>
        <v>9533.8270138219232</v>
      </c>
      <c r="AS21" s="280">
        <f t="shared" si="10"/>
        <v>3.6155299247308113E-2</v>
      </c>
    </row>
    <row r="22" spans="2:45" x14ac:dyDescent="0.3">
      <c r="B22" s="287">
        <f t="shared" si="11"/>
        <v>18</v>
      </c>
      <c r="C22" s="272" t="s">
        <v>131</v>
      </c>
      <c r="D22" s="288" t="str">
        <f t="shared" si="12"/>
        <v>Dec-24</v>
      </c>
      <c r="E22" s="288" t="s">
        <v>107</v>
      </c>
      <c r="F22" s="289">
        <v>45638</v>
      </c>
      <c r="G22" s="290" t="s">
        <v>642</v>
      </c>
      <c r="H22" s="291" t="s">
        <v>2592</v>
      </c>
      <c r="I22" s="290" t="s">
        <v>254</v>
      </c>
      <c r="J22" s="387" t="s">
        <v>643</v>
      </c>
      <c r="K22" s="289">
        <v>45638</v>
      </c>
      <c r="L22" s="291" t="s">
        <v>644</v>
      </c>
      <c r="M22" s="289">
        <v>45638</v>
      </c>
      <c r="N22" s="291" t="s">
        <v>255</v>
      </c>
      <c r="O22" s="290" t="s">
        <v>599</v>
      </c>
      <c r="P22" s="291" t="s">
        <v>501</v>
      </c>
      <c r="Q22" s="291" t="s">
        <v>2602</v>
      </c>
      <c r="R22" s="458">
        <v>24970</v>
      </c>
      <c r="S22" s="404">
        <v>32.299999999999997</v>
      </c>
      <c r="T22" s="459">
        <f t="shared" si="1"/>
        <v>806530.99999999988</v>
      </c>
      <c r="U22" s="409" t="s">
        <v>107</v>
      </c>
      <c r="V22" s="288" t="s">
        <v>555</v>
      </c>
      <c r="W22" s="296" t="str">
        <f t="shared" si="13"/>
        <v>Mar-25</v>
      </c>
      <c r="X22" s="297" t="s">
        <v>561</v>
      </c>
      <c r="Y22" s="293" t="s">
        <v>2651</v>
      </c>
      <c r="Z22" s="297">
        <v>45722</v>
      </c>
      <c r="AA22" s="293" t="s">
        <v>653</v>
      </c>
      <c r="AB22" s="293" t="s">
        <v>2623</v>
      </c>
      <c r="AC22" s="298" t="s">
        <v>501</v>
      </c>
      <c r="AD22" s="295" t="s">
        <v>564</v>
      </c>
      <c r="AE22" s="512">
        <v>22520</v>
      </c>
      <c r="AF22" s="513">
        <v>36.5</v>
      </c>
      <c r="AG22" s="514">
        <f t="shared" si="2"/>
        <v>821980</v>
      </c>
      <c r="AH22" s="514">
        <v>0</v>
      </c>
      <c r="AI22" s="514">
        <f t="shared" si="3"/>
        <v>821980</v>
      </c>
      <c r="AJ22" s="514">
        <v>0</v>
      </c>
      <c r="AK22" s="514">
        <f t="shared" si="4"/>
        <v>22520</v>
      </c>
      <c r="AL22" s="514">
        <f t="shared" si="5"/>
        <v>727395.99999999988</v>
      </c>
      <c r="AM22" s="515">
        <f t="shared" si="6"/>
        <v>94584.000000000116</v>
      </c>
      <c r="AN22" s="299">
        <f t="shared" si="7"/>
        <v>0.11506849315068507</v>
      </c>
      <c r="AO22" s="296">
        <f t="shared" si="14"/>
        <v>727395.99999999988</v>
      </c>
      <c r="AP22" s="274">
        <f t="shared" si="8"/>
        <v>84</v>
      </c>
      <c r="AQ22" s="275">
        <f t="shared" si="9"/>
        <v>17354.779380821918</v>
      </c>
      <c r="AR22" s="275">
        <f t="shared" si="15"/>
        <v>77229.220619178202</v>
      </c>
      <c r="AS22" s="280">
        <f t="shared" si="10"/>
        <v>9.3955109150074462E-2</v>
      </c>
    </row>
    <row r="23" spans="2:45" x14ac:dyDescent="0.3">
      <c r="B23" s="287">
        <f t="shared" si="11"/>
        <v>19</v>
      </c>
      <c r="C23" s="272" t="s">
        <v>131</v>
      </c>
      <c r="D23" s="288" t="str">
        <f t="shared" si="12"/>
        <v>Dec-24</v>
      </c>
      <c r="E23" s="288" t="s">
        <v>107</v>
      </c>
      <c r="F23" s="289">
        <v>45638</v>
      </c>
      <c r="G23" s="290" t="s">
        <v>650</v>
      </c>
      <c r="H23" s="291" t="s">
        <v>2592</v>
      </c>
      <c r="I23" s="290" t="s">
        <v>254</v>
      </c>
      <c r="J23" s="387" t="s">
        <v>651</v>
      </c>
      <c r="K23" s="289">
        <v>45638</v>
      </c>
      <c r="L23" s="291" t="s">
        <v>652</v>
      </c>
      <c r="M23" s="289">
        <v>45638</v>
      </c>
      <c r="N23" s="291" t="s">
        <v>255</v>
      </c>
      <c r="O23" s="290" t="s">
        <v>595</v>
      </c>
      <c r="P23" s="291" t="s">
        <v>501</v>
      </c>
      <c r="Q23" s="291" t="s">
        <v>2602</v>
      </c>
      <c r="R23" s="458">
        <v>25180</v>
      </c>
      <c r="S23" s="404">
        <v>32.299999999999997</v>
      </c>
      <c r="T23" s="459">
        <f t="shared" si="1"/>
        <v>813313.99999999988</v>
      </c>
      <c r="U23" s="409" t="s">
        <v>107</v>
      </c>
      <c r="V23" s="288" t="s">
        <v>555</v>
      </c>
      <c r="W23" s="296" t="str">
        <f t="shared" si="13"/>
        <v>Mar-25</v>
      </c>
      <c r="X23" s="297" t="s">
        <v>561</v>
      </c>
      <c r="Y23" s="293" t="s">
        <v>2652</v>
      </c>
      <c r="Z23" s="297">
        <v>45723</v>
      </c>
      <c r="AA23" s="293" t="s">
        <v>665</v>
      </c>
      <c r="AB23" s="293" t="s">
        <v>2623</v>
      </c>
      <c r="AC23" s="298" t="s">
        <v>501</v>
      </c>
      <c r="AD23" s="295" t="s">
        <v>564</v>
      </c>
      <c r="AE23" s="512">
        <v>20190</v>
      </c>
      <c r="AF23" s="513">
        <v>36.5</v>
      </c>
      <c r="AG23" s="514">
        <f t="shared" si="2"/>
        <v>736935</v>
      </c>
      <c r="AH23" s="514">
        <v>0</v>
      </c>
      <c r="AI23" s="514">
        <f t="shared" si="3"/>
        <v>736935</v>
      </c>
      <c r="AJ23" s="514">
        <v>0</v>
      </c>
      <c r="AK23" s="514">
        <f t="shared" si="4"/>
        <v>20190</v>
      </c>
      <c r="AL23" s="514">
        <f t="shared" si="5"/>
        <v>652137</v>
      </c>
      <c r="AM23" s="515">
        <f t="shared" si="6"/>
        <v>84798</v>
      </c>
      <c r="AN23" s="299">
        <f t="shared" si="7"/>
        <v>0.11506849315068493</v>
      </c>
      <c r="AO23" s="296">
        <f t="shared" si="14"/>
        <v>652137</v>
      </c>
      <c r="AP23" s="274">
        <f t="shared" si="8"/>
        <v>85</v>
      </c>
      <c r="AQ23" s="275">
        <f t="shared" si="9"/>
        <v>17709.076753424655</v>
      </c>
      <c r="AR23" s="275">
        <f t="shared" si="15"/>
        <v>67088.923246575345</v>
      </c>
      <c r="AS23" s="280">
        <f t="shared" si="10"/>
        <v>9.1037775715056751E-2</v>
      </c>
    </row>
    <row r="24" spans="2:45" x14ac:dyDescent="0.3">
      <c r="B24" s="287">
        <f t="shared" si="11"/>
        <v>20</v>
      </c>
      <c r="C24" s="272" t="s">
        <v>131</v>
      </c>
      <c r="D24" s="288" t="str">
        <f t="shared" si="12"/>
        <v>Dec-24</v>
      </c>
      <c r="E24" s="288" t="s">
        <v>107</v>
      </c>
      <c r="F24" s="289">
        <v>45638</v>
      </c>
      <c r="G24" s="290" t="s">
        <v>638</v>
      </c>
      <c r="H24" s="291" t="s">
        <v>2592</v>
      </c>
      <c r="I24" s="290" t="s">
        <v>254</v>
      </c>
      <c r="J24" s="387" t="s">
        <v>639</v>
      </c>
      <c r="K24" s="289">
        <v>45638</v>
      </c>
      <c r="L24" s="291" t="s">
        <v>640</v>
      </c>
      <c r="M24" s="289">
        <v>45638</v>
      </c>
      <c r="N24" s="291" t="s">
        <v>255</v>
      </c>
      <c r="O24" s="290" t="s">
        <v>568</v>
      </c>
      <c r="P24" s="291" t="s">
        <v>501</v>
      </c>
      <c r="Q24" s="291" t="s">
        <v>2602</v>
      </c>
      <c r="R24" s="458">
        <v>20950</v>
      </c>
      <c r="S24" s="404">
        <v>32.299999999999997</v>
      </c>
      <c r="T24" s="459">
        <f t="shared" si="1"/>
        <v>676684.99999999988</v>
      </c>
      <c r="U24" s="409" t="s">
        <v>107</v>
      </c>
      <c r="V24" s="288" t="s">
        <v>555</v>
      </c>
      <c r="W24" s="296" t="str">
        <f t="shared" si="13"/>
        <v>Mar-25</v>
      </c>
      <c r="X24" s="297" t="s">
        <v>569</v>
      </c>
      <c r="Y24" s="293" t="s">
        <v>2653</v>
      </c>
      <c r="Z24" s="297">
        <v>45723</v>
      </c>
      <c r="AA24" s="293" t="s">
        <v>669</v>
      </c>
      <c r="AB24" s="293" t="s">
        <v>571</v>
      </c>
      <c r="AC24" s="298" t="s">
        <v>501</v>
      </c>
      <c r="AD24" s="295" t="s">
        <v>564</v>
      </c>
      <c r="AE24" s="512">
        <v>16320</v>
      </c>
      <c r="AF24" s="513">
        <v>42</v>
      </c>
      <c r="AG24" s="514">
        <f t="shared" si="2"/>
        <v>685440</v>
      </c>
      <c r="AH24" s="514">
        <v>0</v>
      </c>
      <c r="AI24" s="514">
        <f t="shared" si="3"/>
        <v>685440</v>
      </c>
      <c r="AJ24" s="514">
        <v>0</v>
      </c>
      <c r="AK24" s="514">
        <f t="shared" si="4"/>
        <v>16320</v>
      </c>
      <c r="AL24" s="514">
        <f t="shared" si="5"/>
        <v>527136</v>
      </c>
      <c r="AM24" s="515">
        <f t="shared" si="6"/>
        <v>158304</v>
      </c>
      <c r="AN24" s="299">
        <f t="shared" si="7"/>
        <v>0.23095238095238096</v>
      </c>
      <c r="AO24" s="296">
        <f t="shared" si="14"/>
        <v>527136</v>
      </c>
      <c r="AP24" s="274">
        <f t="shared" si="8"/>
        <v>85</v>
      </c>
      <c r="AQ24" s="275">
        <f t="shared" si="9"/>
        <v>14734.120650684928</v>
      </c>
      <c r="AR24" s="275">
        <f t="shared" si="15"/>
        <v>143569.87934931507</v>
      </c>
      <c r="AS24" s="280">
        <f t="shared" si="10"/>
        <v>0.20945652332708198</v>
      </c>
    </row>
    <row r="25" spans="2:45" x14ac:dyDescent="0.3">
      <c r="B25" s="287">
        <f t="shared" si="11"/>
        <v>21</v>
      </c>
      <c r="C25" s="272" t="s">
        <v>131</v>
      </c>
      <c r="D25" s="288" t="str">
        <f t="shared" si="12"/>
        <v>Dec-24</v>
      </c>
      <c r="E25" s="288" t="s">
        <v>107</v>
      </c>
      <c r="F25" s="289">
        <v>45638</v>
      </c>
      <c r="G25" s="290" t="s">
        <v>646</v>
      </c>
      <c r="H25" s="291" t="s">
        <v>2592</v>
      </c>
      <c r="I25" s="290" t="s">
        <v>254</v>
      </c>
      <c r="J25" s="387" t="s">
        <v>647</v>
      </c>
      <c r="K25" s="289">
        <v>45638</v>
      </c>
      <c r="L25" s="291" t="s">
        <v>648</v>
      </c>
      <c r="M25" s="289">
        <v>45638</v>
      </c>
      <c r="N25" s="291" t="s">
        <v>255</v>
      </c>
      <c r="O25" s="290" t="s">
        <v>575</v>
      </c>
      <c r="P25" s="291" t="s">
        <v>501</v>
      </c>
      <c r="Q25" s="291" t="s">
        <v>2602</v>
      </c>
      <c r="R25" s="458">
        <v>25460</v>
      </c>
      <c r="S25" s="404">
        <v>32.299999999999997</v>
      </c>
      <c r="T25" s="459">
        <f t="shared" si="1"/>
        <v>822357.99999999988</v>
      </c>
      <c r="U25" s="409" t="s">
        <v>107</v>
      </c>
      <c r="V25" s="288" t="s">
        <v>555</v>
      </c>
      <c r="W25" s="296" t="str">
        <f t="shared" si="13"/>
        <v>Mar-25</v>
      </c>
      <c r="X25" s="297" t="s">
        <v>673</v>
      </c>
      <c r="Y25" s="293" t="s">
        <v>2654</v>
      </c>
      <c r="Z25" s="297">
        <v>45736</v>
      </c>
      <c r="AA25" s="293" t="s">
        <v>674</v>
      </c>
      <c r="AB25" s="293" t="s">
        <v>2596</v>
      </c>
      <c r="AC25" s="298" t="s">
        <v>501</v>
      </c>
      <c r="AD25" s="295" t="s">
        <v>2604</v>
      </c>
      <c r="AE25" s="512">
        <v>22310</v>
      </c>
      <c r="AF25" s="517">
        <v>37</v>
      </c>
      <c r="AG25" s="514">
        <f t="shared" si="2"/>
        <v>825470</v>
      </c>
      <c r="AH25" s="514">
        <v>0</v>
      </c>
      <c r="AI25" s="514">
        <f t="shared" si="3"/>
        <v>825470</v>
      </c>
      <c r="AJ25" s="514">
        <v>0</v>
      </c>
      <c r="AK25" s="514">
        <f t="shared" si="4"/>
        <v>22310</v>
      </c>
      <c r="AL25" s="514">
        <f t="shared" si="5"/>
        <v>720612.99999999988</v>
      </c>
      <c r="AM25" s="515">
        <f t="shared" si="6"/>
        <v>104857.00000000012</v>
      </c>
      <c r="AN25" s="299">
        <f t="shared" si="7"/>
        <v>0.12702702702702717</v>
      </c>
      <c r="AO25" s="296">
        <f t="shared" si="14"/>
        <v>720612.99999999988</v>
      </c>
      <c r="AP25" s="274">
        <f t="shared" si="8"/>
        <v>98</v>
      </c>
      <c r="AQ25" s="275">
        <f t="shared" si="9"/>
        <v>20644.565353424652</v>
      </c>
      <c r="AR25" s="275">
        <f t="shared" si="15"/>
        <v>84212.434646575464</v>
      </c>
      <c r="AS25" s="280">
        <f t="shared" si="10"/>
        <v>0.10201755926511619</v>
      </c>
    </row>
    <row r="26" spans="2:45" x14ac:dyDescent="0.3">
      <c r="B26" s="287">
        <f t="shared" si="11"/>
        <v>22</v>
      </c>
      <c r="C26" s="272" t="s">
        <v>131</v>
      </c>
      <c r="D26" s="288" t="str">
        <f t="shared" si="12"/>
        <v>Dec-24</v>
      </c>
      <c r="E26" s="288" t="s">
        <v>107</v>
      </c>
      <c r="F26" s="289">
        <v>45638</v>
      </c>
      <c r="G26" s="290" t="s">
        <v>654</v>
      </c>
      <c r="H26" s="291" t="s">
        <v>2592</v>
      </c>
      <c r="I26" s="290" t="s">
        <v>254</v>
      </c>
      <c r="J26" s="387" t="s">
        <v>655</v>
      </c>
      <c r="K26" s="289">
        <v>45638</v>
      </c>
      <c r="L26" s="291" t="s">
        <v>656</v>
      </c>
      <c r="M26" s="289">
        <v>45638</v>
      </c>
      <c r="N26" s="291" t="s">
        <v>255</v>
      </c>
      <c r="O26" s="290" t="s">
        <v>584</v>
      </c>
      <c r="P26" s="291" t="s">
        <v>501</v>
      </c>
      <c r="Q26" s="291" t="s">
        <v>2602</v>
      </c>
      <c r="R26" s="458">
        <v>30410</v>
      </c>
      <c r="S26" s="404">
        <v>32.299999999999997</v>
      </c>
      <c r="T26" s="459">
        <f t="shared" si="1"/>
        <v>982242.99999999988</v>
      </c>
      <c r="U26" s="409" t="s">
        <v>107</v>
      </c>
      <c r="V26" s="288" t="s">
        <v>555</v>
      </c>
      <c r="W26" s="296" t="str">
        <f t="shared" si="13"/>
        <v>Mar-25</v>
      </c>
      <c r="X26" s="297" t="s">
        <v>673</v>
      </c>
      <c r="Y26" s="293" t="s">
        <v>2655</v>
      </c>
      <c r="Z26" s="297">
        <v>45737</v>
      </c>
      <c r="AA26" s="293" t="s">
        <v>678</v>
      </c>
      <c r="AB26" s="293" t="s">
        <v>2596</v>
      </c>
      <c r="AC26" s="298" t="s">
        <v>501</v>
      </c>
      <c r="AD26" s="295" t="s">
        <v>2604</v>
      </c>
      <c r="AE26" s="512">
        <v>20660</v>
      </c>
      <c r="AF26" s="513">
        <v>37</v>
      </c>
      <c r="AG26" s="514">
        <f t="shared" si="2"/>
        <v>764420</v>
      </c>
      <c r="AH26" s="514">
        <v>0</v>
      </c>
      <c r="AI26" s="514">
        <f t="shared" si="3"/>
        <v>764420</v>
      </c>
      <c r="AJ26" s="514">
        <v>0</v>
      </c>
      <c r="AK26" s="514">
        <f t="shared" si="4"/>
        <v>20660</v>
      </c>
      <c r="AL26" s="514">
        <f t="shared" si="5"/>
        <v>667317.99999999988</v>
      </c>
      <c r="AM26" s="515">
        <f t="shared" si="6"/>
        <v>97102.000000000116</v>
      </c>
      <c r="AN26" s="299">
        <f t="shared" si="7"/>
        <v>0.12702702702702717</v>
      </c>
      <c r="AO26" s="296">
        <f t="shared" si="14"/>
        <v>667317.99999999988</v>
      </c>
      <c r="AP26" s="274">
        <f t="shared" si="8"/>
        <v>99</v>
      </c>
      <c r="AQ26" s="275">
        <f t="shared" si="9"/>
        <v>24909.951587671232</v>
      </c>
      <c r="AR26" s="275">
        <f t="shared" si="15"/>
        <v>72192.048412328877</v>
      </c>
      <c r="AS26" s="280">
        <f t="shared" si="10"/>
        <v>9.4440292525481903E-2</v>
      </c>
    </row>
    <row r="27" spans="2:45" x14ac:dyDescent="0.3">
      <c r="B27" s="287">
        <f t="shared" si="11"/>
        <v>23</v>
      </c>
      <c r="C27" s="272" t="s">
        <v>131</v>
      </c>
      <c r="D27" s="288" t="str">
        <f t="shared" si="12"/>
        <v>Dec-24</v>
      </c>
      <c r="E27" s="288" t="s">
        <v>107</v>
      </c>
      <c r="F27" s="289">
        <v>45639</v>
      </c>
      <c r="G27" s="290" t="s">
        <v>666</v>
      </c>
      <c r="H27" s="291" t="s">
        <v>2592</v>
      </c>
      <c r="I27" s="290" t="s">
        <v>254</v>
      </c>
      <c r="J27" s="387" t="s">
        <v>667</v>
      </c>
      <c r="K27" s="289">
        <v>45639</v>
      </c>
      <c r="L27" s="291" t="s">
        <v>668</v>
      </c>
      <c r="M27" s="289">
        <v>45639</v>
      </c>
      <c r="N27" s="291" t="s">
        <v>255</v>
      </c>
      <c r="O27" s="290" t="s">
        <v>595</v>
      </c>
      <c r="P27" s="291" t="s">
        <v>501</v>
      </c>
      <c r="Q27" s="291" t="s">
        <v>2602</v>
      </c>
      <c r="R27" s="458">
        <v>33420</v>
      </c>
      <c r="S27" s="404">
        <v>32.299999999999997</v>
      </c>
      <c r="T27" s="459">
        <f t="shared" si="1"/>
        <v>1079466</v>
      </c>
      <c r="U27" s="409" t="s">
        <v>107</v>
      </c>
      <c r="V27" s="288" t="s">
        <v>313</v>
      </c>
      <c r="W27" s="296" t="str">
        <f t="shared" si="13"/>
        <v>Apr-25</v>
      </c>
      <c r="X27" s="297" t="s">
        <v>569</v>
      </c>
      <c r="Y27" s="293" t="s">
        <v>221</v>
      </c>
      <c r="Z27" s="297">
        <v>45750</v>
      </c>
      <c r="AA27" s="293" t="s">
        <v>227</v>
      </c>
      <c r="AB27" s="293" t="s">
        <v>571</v>
      </c>
      <c r="AC27" s="298" t="s">
        <v>501</v>
      </c>
      <c r="AD27" s="295" t="s">
        <v>564</v>
      </c>
      <c r="AE27" s="512">
        <v>22290</v>
      </c>
      <c r="AF27" s="513">
        <v>42</v>
      </c>
      <c r="AG27" s="514">
        <f t="shared" si="2"/>
        <v>936180</v>
      </c>
      <c r="AH27" s="514">
        <v>0</v>
      </c>
      <c r="AI27" s="514">
        <f t="shared" si="3"/>
        <v>936180</v>
      </c>
      <c r="AJ27" s="514">
        <v>0</v>
      </c>
      <c r="AK27" s="514">
        <f t="shared" si="4"/>
        <v>22290</v>
      </c>
      <c r="AL27" s="514">
        <f t="shared" si="5"/>
        <v>719966.99999999988</v>
      </c>
      <c r="AM27" s="515">
        <f t="shared" si="6"/>
        <v>216213.00000000012</v>
      </c>
      <c r="AN27" s="299">
        <f t="shared" si="7"/>
        <v>0.23095238095238108</v>
      </c>
      <c r="AO27" s="296">
        <f t="shared" si="14"/>
        <v>719966.99999999988</v>
      </c>
      <c r="AP27" s="274">
        <f t="shared" si="8"/>
        <v>111</v>
      </c>
      <c r="AQ27" s="275">
        <f t="shared" si="9"/>
        <v>30693.802413698628</v>
      </c>
      <c r="AR27" s="275">
        <f t="shared" si="15"/>
        <v>185519.19758630148</v>
      </c>
      <c r="AS27" s="280">
        <f t="shared" si="10"/>
        <v>0.1981661620482188</v>
      </c>
    </row>
    <row r="28" spans="2:45" x14ac:dyDescent="0.3">
      <c r="B28" s="287">
        <f t="shared" si="11"/>
        <v>24</v>
      </c>
      <c r="C28" s="272" t="s">
        <v>131</v>
      </c>
      <c r="D28" s="288" t="str">
        <f t="shared" si="12"/>
        <v>Dec-24</v>
      </c>
      <c r="E28" s="288" t="s">
        <v>107</v>
      </c>
      <c r="F28" s="289">
        <v>45639</v>
      </c>
      <c r="G28" s="290" t="s">
        <v>670</v>
      </c>
      <c r="H28" s="291" t="s">
        <v>2592</v>
      </c>
      <c r="I28" s="290" t="s">
        <v>254</v>
      </c>
      <c r="J28" s="387" t="s">
        <v>671</v>
      </c>
      <c r="K28" s="289">
        <v>45639</v>
      </c>
      <c r="L28" s="291" t="s">
        <v>672</v>
      </c>
      <c r="M28" s="289">
        <v>45639</v>
      </c>
      <c r="N28" s="291" t="s">
        <v>255</v>
      </c>
      <c r="O28" s="290" t="s">
        <v>568</v>
      </c>
      <c r="P28" s="291" t="s">
        <v>501</v>
      </c>
      <c r="Q28" s="291" t="s">
        <v>2602</v>
      </c>
      <c r="R28" s="458">
        <v>35960</v>
      </c>
      <c r="S28" s="404">
        <v>32.299999999999997</v>
      </c>
      <c r="T28" s="459">
        <f t="shared" si="1"/>
        <v>1161508</v>
      </c>
      <c r="U28" s="409" t="s">
        <v>107</v>
      </c>
      <c r="V28" s="288" t="s">
        <v>313</v>
      </c>
      <c r="W28" s="296" t="str">
        <f t="shared" si="13"/>
        <v>Apr-25</v>
      </c>
      <c r="X28" s="293" t="s">
        <v>569</v>
      </c>
      <c r="Y28" s="293" t="s">
        <v>222</v>
      </c>
      <c r="Z28" s="297">
        <v>45751</v>
      </c>
      <c r="AA28" s="293" t="s">
        <v>228</v>
      </c>
      <c r="AB28" s="293" t="s">
        <v>2624</v>
      </c>
      <c r="AC28" s="298" t="s">
        <v>501</v>
      </c>
      <c r="AD28" s="298" t="s">
        <v>564</v>
      </c>
      <c r="AE28" s="512">
        <v>21360</v>
      </c>
      <c r="AF28" s="517">
        <v>42</v>
      </c>
      <c r="AG28" s="514">
        <f t="shared" si="2"/>
        <v>897120</v>
      </c>
      <c r="AH28" s="514">
        <v>0</v>
      </c>
      <c r="AI28" s="514">
        <f t="shared" si="3"/>
        <v>897120</v>
      </c>
      <c r="AJ28" s="514">
        <v>0</v>
      </c>
      <c r="AK28" s="514">
        <f t="shared" si="4"/>
        <v>21360</v>
      </c>
      <c r="AL28" s="514">
        <f t="shared" si="5"/>
        <v>689927.99999999988</v>
      </c>
      <c r="AM28" s="515">
        <f t="shared" si="6"/>
        <v>207192.00000000012</v>
      </c>
      <c r="AN28" s="299">
        <f t="shared" si="7"/>
        <v>0.23095238095238108</v>
      </c>
      <c r="AO28" s="296">
        <f t="shared" si="14"/>
        <v>689927.99999999988</v>
      </c>
      <c r="AP28" s="274">
        <f t="shared" si="8"/>
        <v>112</v>
      </c>
      <c r="AQ28" s="275">
        <f t="shared" si="9"/>
        <v>33324.141852054796</v>
      </c>
      <c r="AR28" s="275">
        <f t="shared" si="15"/>
        <v>173867.85814794531</v>
      </c>
      <c r="AS28" s="280">
        <f t="shared" si="10"/>
        <v>0.19380669046275339</v>
      </c>
    </row>
    <row r="29" spans="2:45" x14ac:dyDescent="0.3">
      <c r="B29" s="287">
        <f t="shared" si="11"/>
        <v>25</v>
      </c>
      <c r="C29" s="272" t="s">
        <v>131</v>
      </c>
      <c r="D29" s="288" t="str">
        <f t="shared" si="12"/>
        <v>Dec-24</v>
      </c>
      <c r="E29" s="288" t="s">
        <v>107</v>
      </c>
      <c r="F29" s="289">
        <v>45639</v>
      </c>
      <c r="G29" s="290" t="s">
        <v>662</v>
      </c>
      <c r="H29" s="291" t="s">
        <v>2592</v>
      </c>
      <c r="I29" s="290" t="s">
        <v>254</v>
      </c>
      <c r="J29" s="387" t="s">
        <v>663</v>
      </c>
      <c r="K29" s="289">
        <v>45639</v>
      </c>
      <c r="L29" s="291" t="s">
        <v>664</v>
      </c>
      <c r="M29" s="289">
        <v>45639</v>
      </c>
      <c r="N29" s="291" t="s">
        <v>255</v>
      </c>
      <c r="O29" s="290" t="s">
        <v>575</v>
      </c>
      <c r="P29" s="291" t="s">
        <v>501</v>
      </c>
      <c r="Q29" s="291" t="s">
        <v>2602</v>
      </c>
      <c r="R29" s="458">
        <v>30280</v>
      </c>
      <c r="S29" s="404">
        <v>32.299999999999997</v>
      </c>
      <c r="T29" s="459">
        <f t="shared" si="1"/>
        <v>978043.99999999988</v>
      </c>
      <c r="U29" s="409" t="s">
        <v>107</v>
      </c>
      <c r="V29" s="288" t="s">
        <v>313</v>
      </c>
      <c r="W29" s="296" t="str">
        <f t="shared" si="13"/>
        <v>Apr-25</v>
      </c>
      <c r="X29" s="293" t="s">
        <v>569</v>
      </c>
      <c r="Y29" s="293" t="s">
        <v>223</v>
      </c>
      <c r="Z29" s="297">
        <v>45751</v>
      </c>
      <c r="AA29" s="293" t="s">
        <v>229</v>
      </c>
      <c r="AB29" s="293" t="s">
        <v>2624</v>
      </c>
      <c r="AC29" s="298" t="s">
        <v>501</v>
      </c>
      <c r="AD29" s="298" t="s">
        <v>564</v>
      </c>
      <c r="AE29" s="512">
        <v>23850</v>
      </c>
      <c r="AF29" s="513">
        <v>42</v>
      </c>
      <c r="AG29" s="514">
        <f t="shared" si="2"/>
        <v>1001700</v>
      </c>
      <c r="AH29" s="514">
        <v>0</v>
      </c>
      <c r="AI29" s="514">
        <f t="shared" si="3"/>
        <v>1001700</v>
      </c>
      <c r="AJ29" s="514">
        <v>0</v>
      </c>
      <c r="AK29" s="514">
        <f t="shared" si="4"/>
        <v>23850</v>
      </c>
      <c r="AL29" s="514">
        <f t="shared" si="5"/>
        <v>770354.99999999988</v>
      </c>
      <c r="AM29" s="515">
        <f t="shared" si="6"/>
        <v>231345.00000000012</v>
      </c>
      <c r="AN29" s="299">
        <f t="shared" si="7"/>
        <v>0.23095238095238108</v>
      </c>
      <c r="AO29" s="296">
        <f t="shared" si="14"/>
        <v>770354.99999999988</v>
      </c>
      <c r="AP29" s="274">
        <f t="shared" si="8"/>
        <v>112</v>
      </c>
      <c r="AQ29" s="275">
        <f t="shared" si="9"/>
        <v>28060.484295890408</v>
      </c>
      <c r="AR29" s="275">
        <f t="shared" si="15"/>
        <v>203284.51570410971</v>
      </c>
      <c r="AS29" s="280">
        <f t="shared" si="10"/>
        <v>0.20293951852262127</v>
      </c>
    </row>
    <row r="30" spans="2:45" x14ac:dyDescent="0.3">
      <c r="B30" s="287">
        <f t="shared" si="11"/>
        <v>26</v>
      </c>
      <c r="C30" s="272" t="s">
        <v>131</v>
      </c>
      <c r="D30" s="288" t="str">
        <f t="shared" si="12"/>
        <v>Dec-24</v>
      </c>
      <c r="E30" s="288" t="s">
        <v>107</v>
      </c>
      <c r="F30" s="289">
        <v>45639</v>
      </c>
      <c r="G30" s="290" t="s">
        <v>658</v>
      </c>
      <c r="H30" s="291" t="s">
        <v>2592</v>
      </c>
      <c r="I30" s="290" t="s">
        <v>254</v>
      </c>
      <c r="J30" s="387" t="s">
        <v>659</v>
      </c>
      <c r="K30" s="289">
        <v>45639</v>
      </c>
      <c r="L30" s="291" t="s">
        <v>660</v>
      </c>
      <c r="M30" s="289">
        <v>45639</v>
      </c>
      <c r="N30" s="291" t="s">
        <v>255</v>
      </c>
      <c r="O30" s="290" t="s">
        <v>599</v>
      </c>
      <c r="P30" s="291" t="s">
        <v>501</v>
      </c>
      <c r="Q30" s="291" t="s">
        <v>2602</v>
      </c>
      <c r="R30" s="458">
        <v>25710</v>
      </c>
      <c r="S30" s="404">
        <v>32.299999999999997</v>
      </c>
      <c r="T30" s="459">
        <f t="shared" si="1"/>
        <v>830432.99999999988</v>
      </c>
      <c r="U30" s="409" t="s">
        <v>107</v>
      </c>
      <c r="V30" s="288" t="s">
        <v>313</v>
      </c>
      <c r="W30" s="296" t="str">
        <f t="shared" si="13"/>
        <v>Apr-25</v>
      </c>
      <c r="X30" s="293" t="s">
        <v>569</v>
      </c>
      <c r="Y30" s="293" t="s">
        <v>224</v>
      </c>
      <c r="Z30" s="297">
        <v>45752</v>
      </c>
      <c r="AA30" s="293" t="s">
        <v>230</v>
      </c>
      <c r="AB30" s="293" t="s">
        <v>563</v>
      </c>
      <c r="AC30" s="298" t="s">
        <v>501</v>
      </c>
      <c r="AD30" s="298" t="s">
        <v>564</v>
      </c>
      <c r="AE30" s="512">
        <v>24190</v>
      </c>
      <c r="AF30" s="513">
        <v>37.5</v>
      </c>
      <c r="AG30" s="514">
        <f t="shared" si="2"/>
        <v>907125</v>
      </c>
      <c r="AH30" s="514">
        <v>-3187.5</v>
      </c>
      <c r="AI30" s="514">
        <f t="shared" si="3"/>
        <v>903937.5</v>
      </c>
      <c r="AJ30" s="514">
        <v>0</v>
      </c>
      <c r="AK30" s="514">
        <f t="shared" si="4"/>
        <v>24190</v>
      </c>
      <c r="AL30" s="514">
        <f t="shared" si="5"/>
        <v>781336.99999999988</v>
      </c>
      <c r="AM30" s="515">
        <f t="shared" si="6"/>
        <v>122600.50000000012</v>
      </c>
      <c r="AN30" s="299">
        <f t="shared" si="7"/>
        <v>0.13562939915646835</v>
      </c>
      <c r="AO30" s="296">
        <f t="shared" si="14"/>
        <v>781336.99999999988</v>
      </c>
      <c r="AP30" s="274">
        <f t="shared" si="8"/>
        <v>113</v>
      </c>
      <c r="AQ30" s="275">
        <f t="shared" si="9"/>
        <v>24038.191401369859</v>
      </c>
      <c r="AR30" s="275">
        <f t="shared" si="15"/>
        <v>98562.308598630261</v>
      </c>
      <c r="AS30" s="280">
        <f t="shared" si="10"/>
        <v>0.10903664091668977</v>
      </c>
    </row>
    <row r="31" spans="2:45" x14ac:dyDescent="0.3">
      <c r="B31" s="287">
        <f t="shared" si="11"/>
        <v>27</v>
      </c>
      <c r="C31" s="272" t="s">
        <v>131</v>
      </c>
      <c r="D31" s="288" t="str">
        <f t="shared" si="12"/>
        <v>Dec-24</v>
      </c>
      <c r="E31" s="288" t="s">
        <v>107</v>
      </c>
      <c r="F31" s="289">
        <v>45642</v>
      </c>
      <c r="G31" s="290" t="s">
        <v>682</v>
      </c>
      <c r="H31" s="291" t="s">
        <v>2592</v>
      </c>
      <c r="I31" s="290" t="s">
        <v>254</v>
      </c>
      <c r="J31" s="387" t="s">
        <v>683</v>
      </c>
      <c r="K31" s="289">
        <v>45642</v>
      </c>
      <c r="L31" s="291" t="s">
        <v>684</v>
      </c>
      <c r="M31" s="289">
        <v>45642</v>
      </c>
      <c r="N31" s="291" t="s">
        <v>255</v>
      </c>
      <c r="O31" s="290" t="s">
        <v>595</v>
      </c>
      <c r="P31" s="291" t="s">
        <v>501</v>
      </c>
      <c r="Q31" s="291" t="s">
        <v>2602</v>
      </c>
      <c r="R31" s="458">
        <v>36830</v>
      </c>
      <c r="S31" s="404">
        <v>32.299999999999997</v>
      </c>
      <c r="T31" s="459">
        <f t="shared" si="1"/>
        <v>1189609</v>
      </c>
      <c r="U31" s="409" t="s">
        <v>107</v>
      </c>
      <c r="V31" s="288" t="s">
        <v>313</v>
      </c>
      <c r="W31" s="296" t="str">
        <f t="shared" si="13"/>
        <v>Apr-25</v>
      </c>
      <c r="X31" s="297" t="s">
        <v>569</v>
      </c>
      <c r="Y31" s="293" t="s">
        <v>225</v>
      </c>
      <c r="Z31" s="297">
        <v>45753</v>
      </c>
      <c r="AA31" s="293" t="s">
        <v>231</v>
      </c>
      <c r="AB31" s="293" t="s">
        <v>2622</v>
      </c>
      <c r="AC31" s="298" t="s">
        <v>501</v>
      </c>
      <c r="AD31" s="295" t="s">
        <v>564</v>
      </c>
      <c r="AE31" s="512">
        <v>23460</v>
      </c>
      <c r="AF31" s="513">
        <v>39.5</v>
      </c>
      <c r="AG31" s="514">
        <f t="shared" si="2"/>
        <v>926670</v>
      </c>
      <c r="AH31" s="514">
        <v>0</v>
      </c>
      <c r="AI31" s="514">
        <f t="shared" si="3"/>
        <v>926670</v>
      </c>
      <c r="AJ31" s="514">
        <v>0</v>
      </c>
      <c r="AK31" s="514">
        <f t="shared" si="4"/>
        <v>23460</v>
      </c>
      <c r="AL31" s="514">
        <f t="shared" si="5"/>
        <v>757757.99999999988</v>
      </c>
      <c r="AM31" s="515">
        <f t="shared" si="6"/>
        <v>168912.00000000012</v>
      </c>
      <c r="AN31" s="299">
        <f t="shared" si="7"/>
        <v>0.18227848101265837</v>
      </c>
      <c r="AO31" s="296">
        <f t="shared" si="14"/>
        <v>757757.99999999988</v>
      </c>
      <c r="AP31" s="274">
        <f t="shared" si="8"/>
        <v>111</v>
      </c>
      <c r="AQ31" s="275">
        <f t="shared" si="9"/>
        <v>33825.635634246573</v>
      </c>
      <c r="AR31" s="275">
        <f t="shared" si="15"/>
        <v>135086.36436575354</v>
      </c>
      <c r="AS31" s="280">
        <f t="shared" si="10"/>
        <v>0.14577612781869873</v>
      </c>
    </row>
    <row r="32" spans="2:45" x14ac:dyDescent="0.3">
      <c r="B32" s="287">
        <f t="shared" si="11"/>
        <v>28</v>
      </c>
      <c r="C32" s="272" t="s">
        <v>131</v>
      </c>
      <c r="D32" s="288" t="str">
        <f t="shared" si="12"/>
        <v>Dec-24</v>
      </c>
      <c r="E32" s="288" t="s">
        <v>107</v>
      </c>
      <c r="F32" s="289">
        <v>45642</v>
      </c>
      <c r="G32" s="290" t="s">
        <v>685</v>
      </c>
      <c r="H32" s="291" t="s">
        <v>2592</v>
      </c>
      <c r="I32" s="290" t="s">
        <v>254</v>
      </c>
      <c r="J32" s="387" t="s">
        <v>686</v>
      </c>
      <c r="K32" s="289">
        <v>45642</v>
      </c>
      <c r="L32" s="291" t="s">
        <v>687</v>
      </c>
      <c r="M32" s="289">
        <v>45642</v>
      </c>
      <c r="N32" s="291" t="s">
        <v>255</v>
      </c>
      <c r="O32" s="290" t="s">
        <v>579</v>
      </c>
      <c r="P32" s="291" t="s">
        <v>501</v>
      </c>
      <c r="Q32" s="291" t="s">
        <v>2602</v>
      </c>
      <c r="R32" s="458">
        <v>30920</v>
      </c>
      <c r="S32" s="404">
        <v>32.299999999999997</v>
      </c>
      <c r="T32" s="459">
        <f t="shared" si="1"/>
        <v>998715.99999999988</v>
      </c>
      <c r="U32" s="409" t="s">
        <v>107</v>
      </c>
      <c r="V32" s="288" t="s">
        <v>313</v>
      </c>
      <c r="W32" s="296" t="str">
        <f t="shared" si="13"/>
        <v>Apr-25</v>
      </c>
      <c r="X32" s="297" t="s">
        <v>569</v>
      </c>
      <c r="Y32" s="293" t="s">
        <v>246</v>
      </c>
      <c r="Z32" s="297">
        <v>45754</v>
      </c>
      <c r="AA32" s="293" t="s">
        <v>248</v>
      </c>
      <c r="AB32" s="293" t="s">
        <v>2625</v>
      </c>
      <c r="AC32" s="298" t="s">
        <v>501</v>
      </c>
      <c r="AD32" s="295" t="s">
        <v>564</v>
      </c>
      <c r="AE32" s="512">
        <v>22270</v>
      </c>
      <c r="AF32" s="513">
        <v>37.5</v>
      </c>
      <c r="AG32" s="514">
        <f t="shared" si="2"/>
        <v>835125</v>
      </c>
      <c r="AH32" s="514">
        <v>0</v>
      </c>
      <c r="AI32" s="514">
        <f t="shared" si="3"/>
        <v>835125</v>
      </c>
      <c r="AJ32" s="514">
        <v>0</v>
      </c>
      <c r="AK32" s="514">
        <f t="shared" si="4"/>
        <v>22270</v>
      </c>
      <c r="AL32" s="514">
        <f t="shared" si="5"/>
        <v>719320.99999999988</v>
      </c>
      <c r="AM32" s="515">
        <f t="shared" si="6"/>
        <v>115804.00000000012</v>
      </c>
      <c r="AN32" s="299">
        <f t="shared" si="7"/>
        <v>0.1386666666666668</v>
      </c>
      <c r="AO32" s="296">
        <f t="shared" si="14"/>
        <v>719320.99999999988</v>
      </c>
      <c r="AP32" s="274">
        <f t="shared" si="8"/>
        <v>112</v>
      </c>
      <c r="AQ32" s="275">
        <f t="shared" si="9"/>
        <v>28653.57247123287</v>
      </c>
      <c r="AR32" s="275">
        <f t="shared" si="15"/>
        <v>87150.42752876725</v>
      </c>
      <c r="AS32" s="280">
        <f t="shared" si="10"/>
        <v>0.10435614731778746</v>
      </c>
    </row>
    <row r="33" spans="2:45" x14ac:dyDescent="0.3">
      <c r="B33" s="287">
        <f t="shared" si="11"/>
        <v>29</v>
      </c>
      <c r="C33" s="272" t="s">
        <v>131</v>
      </c>
      <c r="D33" s="288" t="str">
        <f t="shared" si="12"/>
        <v>Dec-24</v>
      </c>
      <c r="E33" s="288" t="s">
        <v>107</v>
      </c>
      <c r="F33" s="289">
        <v>45642</v>
      </c>
      <c r="G33" s="290" t="s">
        <v>691</v>
      </c>
      <c r="H33" s="291" t="s">
        <v>2592</v>
      </c>
      <c r="I33" s="290" t="s">
        <v>254</v>
      </c>
      <c r="J33" s="387" t="s">
        <v>692</v>
      </c>
      <c r="K33" s="289">
        <v>45642</v>
      </c>
      <c r="L33" s="291" t="s">
        <v>693</v>
      </c>
      <c r="M33" s="289">
        <v>45642</v>
      </c>
      <c r="N33" s="291" t="s">
        <v>255</v>
      </c>
      <c r="O33" s="290" t="s">
        <v>599</v>
      </c>
      <c r="P33" s="291" t="s">
        <v>501</v>
      </c>
      <c r="Q33" s="291" t="s">
        <v>2602</v>
      </c>
      <c r="R33" s="458">
        <v>30000</v>
      </c>
      <c r="S33" s="404">
        <v>32.299999999999997</v>
      </c>
      <c r="T33" s="459">
        <f t="shared" si="1"/>
        <v>968999.99999999988</v>
      </c>
      <c r="U33" s="409" t="s">
        <v>107</v>
      </c>
      <c r="V33" s="288" t="s">
        <v>313</v>
      </c>
      <c r="W33" s="296" t="str">
        <f t="shared" si="13"/>
        <v>Apr-25</v>
      </c>
      <c r="X33" s="297" t="s">
        <v>569</v>
      </c>
      <c r="Y33" s="293" t="s">
        <v>245</v>
      </c>
      <c r="Z33" s="297">
        <v>45754</v>
      </c>
      <c r="AA33" s="293" t="s">
        <v>247</v>
      </c>
      <c r="AB33" s="293" t="s">
        <v>2625</v>
      </c>
      <c r="AC33" s="298" t="s">
        <v>501</v>
      </c>
      <c r="AD33" s="295" t="s">
        <v>564</v>
      </c>
      <c r="AE33" s="512">
        <v>22300</v>
      </c>
      <c r="AF33" s="513">
        <v>37.5</v>
      </c>
      <c r="AG33" s="514">
        <f t="shared" si="2"/>
        <v>836250</v>
      </c>
      <c r="AH33" s="514">
        <v>0</v>
      </c>
      <c r="AI33" s="514">
        <f t="shared" si="3"/>
        <v>836250</v>
      </c>
      <c r="AJ33" s="514">
        <v>0</v>
      </c>
      <c r="AK33" s="514">
        <f t="shared" si="4"/>
        <v>22300</v>
      </c>
      <c r="AL33" s="514">
        <f t="shared" si="5"/>
        <v>720289.99999999988</v>
      </c>
      <c r="AM33" s="515">
        <f t="shared" si="6"/>
        <v>115960.00000000012</v>
      </c>
      <c r="AN33" s="299">
        <f t="shared" si="7"/>
        <v>0.1386666666666668</v>
      </c>
      <c r="AO33" s="296">
        <f t="shared" si="14"/>
        <v>720289.99999999988</v>
      </c>
      <c r="AP33" s="274">
        <f t="shared" si="8"/>
        <v>112</v>
      </c>
      <c r="AQ33" s="275">
        <f t="shared" si="9"/>
        <v>27801.008219178078</v>
      </c>
      <c r="AR33" s="275">
        <f t="shared" si="15"/>
        <v>88158.991780822034</v>
      </c>
      <c r="AS33" s="280">
        <f t="shared" si="10"/>
        <v>0.10542181378872591</v>
      </c>
    </row>
    <row r="34" spans="2:45" x14ac:dyDescent="0.3">
      <c r="B34" s="287">
        <f t="shared" si="11"/>
        <v>30</v>
      </c>
      <c r="C34" s="272" t="s">
        <v>131</v>
      </c>
      <c r="D34" s="288" t="str">
        <f t="shared" si="12"/>
        <v>Dec-24</v>
      </c>
      <c r="E34" s="288" t="s">
        <v>107</v>
      </c>
      <c r="F34" s="289">
        <v>45642</v>
      </c>
      <c r="G34" s="290" t="s">
        <v>675</v>
      </c>
      <c r="H34" s="291" t="s">
        <v>2592</v>
      </c>
      <c r="I34" s="290" t="s">
        <v>254</v>
      </c>
      <c r="J34" s="387" t="s">
        <v>676</v>
      </c>
      <c r="K34" s="289">
        <v>45642</v>
      </c>
      <c r="L34" s="291" t="s">
        <v>677</v>
      </c>
      <c r="M34" s="289">
        <v>45642</v>
      </c>
      <c r="N34" s="291" t="s">
        <v>255</v>
      </c>
      <c r="O34" s="290" t="s">
        <v>575</v>
      </c>
      <c r="P34" s="291" t="s">
        <v>501</v>
      </c>
      <c r="Q34" s="291" t="s">
        <v>2602</v>
      </c>
      <c r="R34" s="458">
        <v>32530</v>
      </c>
      <c r="S34" s="404">
        <v>32.299999999999997</v>
      </c>
      <c r="T34" s="459">
        <f t="shared" si="1"/>
        <v>1050719</v>
      </c>
      <c r="U34" s="409" t="s">
        <v>107</v>
      </c>
      <c r="V34" s="288" t="s">
        <v>313</v>
      </c>
      <c r="W34" s="296" t="str">
        <f t="shared" si="13"/>
        <v>Apr-25</v>
      </c>
      <c r="X34" s="297" t="s">
        <v>569</v>
      </c>
      <c r="Y34" s="293" t="s">
        <v>273</v>
      </c>
      <c r="Z34" s="297">
        <v>45761</v>
      </c>
      <c r="AA34" s="293" t="s">
        <v>275</v>
      </c>
      <c r="AB34" s="293" t="s">
        <v>2624</v>
      </c>
      <c r="AC34" s="298" t="s">
        <v>501</v>
      </c>
      <c r="AD34" s="295" t="s">
        <v>564</v>
      </c>
      <c r="AE34" s="512">
        <v>21590</v>
      </c>
      <c r="AF34" s="513">
        <v>42</v>
      </c>
      <c r="AG34" s="514">
        <f t="shared" si="2"/>
        <v>906780</v>
      </c>
      <c r="AH34" s="514">
        <v>0</v>
      </c>
      <c r="AI34" s="514">
        <f t="shared" si="3"/>
        <v>906780</v>
      </c>
      <c r="AJ34" s="514">
        <v>0</v>
      </c>
      <c r="AK34" s="514">
        <f t="shared" si="4"/>
        <v>21590</v>
      </c>
      <c r="AL34" s="514">
        <f t="shared" si="5"/>
        <v>697356.99999999988</v>
      </c>
      <c r="AM34" s="515">
        <f t="shared" si="6"/>
        <v>209423.00000000012</v>
      </c>
      <c r="AN34" s="299">
        <f t="shared" si="7"/>
        <v>0.23095238095238108</v>
      </c>
      <c r="AO34" s="296">
        <f t="shared" si="14"/>
        <v>697356.99999999988</v>
      </c>
      <c r="AP34" s="274">
        <f t="shared" si="8"/>
        <v>119</v>
      </c>
      <c r="AQ34" s="275">
        <f t="shared" si="9"/>
        <v>32029.657406849317</v>
      </c>
      <c r="AR34" s="275">
        <f t="shared" si="15"/>
        <v>177393.3425931508</v>
      </c>
      <c r="AS34" s="280">
        <f t="shared" si="10"/>
        <v>0.19562996823171089</v>
      </c>
    </row>
    <row r="35" spans="2:45" x14ac:dyDescent="0.3">
      <c r="B35" s="287">
        <f t="shared" si="11"/>
        <v>31</v>
      </c>
      <c r="C35" s="272" t="s">
        <v>131</v>
      </c>
      <c r="D35" s="288" t="str">
        <f t="shared" si="12"/>
        <v>Dec-24</v>
      </c>
      <c r="E35" s="288" t="s">
        <v>107</v>
      </c>
      <c r="F35" s="289">
        <v>45642</v>
      </c>
      <c r="G35" s="290" t="s">
        <v>679</v>
      </c>
      <c r="H35" s="291" t="s">
        <v>2592</v>
      </c>
      <c r="I35" s="290" t="s">
        <v>254</v>
      </c>
      <c r="J35" s="387" t="s">
        <v>680</v>
      </c>
      <c r="K35" s="289">
        <v>45642</v>
      </c>
      <c r="L35" s="291" t="s">
        <v>681</v>
      </c>
      <c r="M35" s="289">
        <v>45642</v>
      </c>
      <c r="N35" s="291" t="s">
        <v>255</v>
      </c>
      <c r="O35" s="290" t="s">
        <v>568</v>
      </c>
      <c r="P35" s="291" t="s">
        <v>501</v>
      </c>
      <c r="Q35" s="291" t="s">
        <v>2602</v>
      </c>
      <c r="R35" s="458">
        <v>29760</v>
      </c>
      <c r="S35" s="404">
        <v>32.299999999999997</v>
      </c>
      <c r="T35" s="459">
        <f t="shared" si="1"/>
        <v>961247.99999999988</v>
      </c>
      <c r="U35" s="409" t="s">
        <v>107</v>
      </c>
      <c r="V35" s="288" t="s">
        <v>313</v>
      </c>
      <c r="W35" s="296" t="str">
        <f t="shared" si="13"/>
        <v>Apr-25</v>
      </c>
      <c r="X35" s="293" t="s">
        <v>502</v>
      </c>
      <c r="Y35" s="293" t="s">
        <v>287</v>
      </c>
      <c r="Z35" s="297">
        <v>45763</v>
      </c>
      <c r="AA35" s="293" t="s">
        <v>290</v>
      </c>
      <c r="AB35" s="293" t="s">
        <v>563</v>
      </c>
      <c r="AC35" s="298" t="s">
        <v>500</v>
      </c>
      <c r="AD35" s="298" t="s">
        <v>2630</v>
      </c>
      <c r="AE35" s="512">
        <v>2660</v>
      </c>
      <c r="AF35" s="513">
        <v>39</v>
      </c>
      <c r="AG35" s="514">
        <f t="shared" si="2"/>
        <v>103740</v>
      </c>
      <c r="AH35" s="514">
        <v>0</v>
      </c>
      <c r="AI35" s="514">
        <f t="shared" si="3"/>
        <v>103740</v>
      </c>
      <c r="AJ35" s="514">
        <v>0</v>
      </c>
      <c r="AK35" s="514">
        <f t="shared" si="4"/>
        <v>2660</v>
      </c>
      <c r="AL35" s="514">
        <f t="shared" si="5"/>
        <v>85917.999999999985</v>
      </c>
      <c r="AM35" s="515">
        <f t="shared" si="6"/>
        <v>17822.000000000015</v>
      </c>
      <c r="AN35" s="299">
        <f t="shared" si="7"/>
        <v>0.17179487179487193</v>
      </c>
      <c r="AO35" s="296">
        <f t="shared" si="14"/>
        <v>85917.999999999985</v>
      </c>
      <c r="AP35" s="274">
        <f t="shared" si="8"/>
        <v>121</v>
      </c>
      <c r="AQ35" s="275">
        <f t="shared" si="9"/>
        <v>29794.737665753422</v>
      </c>
      <c r="AR35" s="275">
        <f t="shared" si="15"/>
        <v>-11972.737665753408</v>
      </c>
      <c r="AS35" s="280">
        <f t="shared" si="10"/>
        <v>-0.11541100506799121</v>
      </c>
    </row>
    <row r="36" spans="2:45" x14ac:dyDescent="0.3">
      <c r="B36" s="287">
        <f t="shared" si="11"/>
        <v>32</v>
      </c>
      <c r="C36" s="272" t="s">
        <v>131</v>
      </c>
      <c r="D36" s="288" t="str">
        <f t="shared" si="12"/>
        <v>Dec-24</v>
      </c>
      <c r="E36" s="288" t="s">
        <v>107</v>
      </c>
      <c r="F36" s="289">
        <v>45642</v>
      </c>
      <c r="G36" s="290" t="s">
        <v>688</v>
      </c>
      <c r="H36" s="291" t="s">
        <v>2592</v>
      </c>
      <c r="I36" s="290" t="s">
        <v>254</v>
      </c>
      <c r="J36" s="387" t="s">
        <v>689</v>
      </c>
      <c r="K36" s="289">
        <v>45642</v>
      </c>
      <c r="L36" s="291" t="s">
        <v>690</v>
      </c>
      <c r="M36" s="289">
        <v>45642</v>
      </c>
      <c r="N36" s="291" t="s">
        <v>255</v>
      </c>
      <c r="O36" s="290" t="s">
        <v>559</v>
      </c>
      <c r="P36" s="291" t="s">
        <v>501</v>
      </c>
      <c r="Q36" s="291" t="s">
        <v>2602</v>
      </c>
      <c r="R36" s="458">
        <v>21650</v>
      </c>
      <c r="S36" s="404">
        <v>32.299999999999997</v>
      </c>
      <c r="T36" s="459">
        <f t="shared" si="1"/>
        <v>699294.99999999988</v>
      </c>
      <c r="U36" s="409" t="s">
        <v>107</v>
      </c>
      <c r="V36" s="288" t="s">
        <v>313</v>
      </c>
      <c r="W36" s="296" t="str">
        <f t="shared" si="13"/>
        <v>Apr-25</v>
      </c>
      <c r="X36" s="293" t="s">
        <v>569</v>
      </c>
      <c r="Y36" s="293" t="s">
        <v>274</v>
      </c>
      <c r="Z36" s="297">
        <v>45763</v>
      </c>
      <c r="AA36" s="293" t="s">
        <v>276</v>
      </c>
      <c r="AB36" s="293" t="s">
        <v>571</v>
      </c>
      <c r="AC36" s="298" t="s">
        <v>501</v>
      </c>
      <c r="AD36" s="298" t="s">
        <v>564</v>
      </c>
      <c r="AE36" s="512">
        <v>15830</v>
      </c>
      <c r="AF36" s="513">
        <v>42</v>
      </c>
      <c r="AG36" s="514">
        <f t="shared" si="2"/>
        <v>664860</v>
      </c>
      <c r="AH36" s="514">
        <v>0</v>
      </c>
      <c r="AI36" s="514">
        <f t="shared" si="3"/>
        <v>664860</v>
      </c>
      <c r="AJ36" s="514">
        <v>0</v>
      </c>
      <c r="AK36" s="514">
        <f t="shared" si="4"/>
        <v>15830</v>
      </c>
      <c r="AL36" s="514">
        <f t="shared" si="5"/>
        <v>511308.99999999994</v>
      </c>
      <c r="AM36" s="515">
        <f t="shared" si="6"/>
        <v>153551.00000000006</v>
      </c>
      <c r="AN36" s="299">
        <f t="shared" si="7"/>
        <v>0.23095238095238105</v>
      </c>
      <c r="AO36" s="296">
        <f t="shared" si="14"/>
        <v>511308.99999999994</v>
      </c>
      <c r="AP36" s="274">
        <f t="shared" si="8"/>
        <v>121</v>
      </c>
      <c r="AQ36" s="275">
        <f t="shared" si="9"/>
        <v>21675.271184931506</v>
      </c>
      <c r="AR36" s="275">
        <f t="shared" si="15"/>
        <v>131875.72881506855</v>
      </c>
      <c r="AS36" s="280">
        <f t="shared" si="10"/>
        <v>0.1983511247707315</v>
      </c>
    </row>
    <row r="37" spans="2:45" x14ac:dyDescent="0.3">
      <c r="B37" s="287">
        <f t="shared" si="11"/>
        <v>33</v>
      </c>
      <c r="C37" s="272" t="s">
        <v>131</v>
      </c>
      <c r="D37" s="288" t="str">
        <f t="shared" si="12"/>
        <v>Dec-24</v>
      </c>
      <c r="E37" s="288" t="s">
        <v>107</v>
      </c>
      <c r="F37" s="289">
        <v>45647</v>
      </c>
      <c r="G37" s="290" t="s">
        <v>694</v>
      </c>
      <c r="H37" s="291" t="s">
        <v>2592</v>
      </c>
      <c r="I37" s="290" t="s">
        <v>254</v>
      </c>
      <c r="J37" s="387" t="s">
        <v>695</v>
      </c>
      <c r="K37" s="289">
        <v>45647</v>
      </c>
      <c r="L37" s="291" t="s">
        <v>696</v>
      </c>
      <c r="M37" s="289">
        <v>45652</v>
      </c>
      <c r="N37" s="291" t="s">
        <v>255</v>
      </c>
      <c r="O37" s="290" t="s">
        <v>697</v>
      </c>
      <c r="P37" s="291" t="s">
        <v>501</v>
      </c>
      <c r="Q37" s="291" t="s">
        <v>633</v>
      </c>
      <c r="R37" s="458">
        <v>8790</v>
      </c>
      <c r="S37" s="404">
        <v>33.121000000000002</v>
      </c>
      <c r="T37" s="459">
        <f t="shared" si="1"/>
        <v>291133.59000000003</v>
      </c>
      <c r="U37" s="409" t="s">
        <v>107</v>
      </c>
      <c r="V37" s="288" t="s">
        <v>313</v>
      </c>
      <c r="W37" s="296" t="str">
        <f t="shared" si="13"/>
        <v>Apr-25</v>
      </c>
      <c r="X37" s="297" t="s">
        <v>569</v>
      </c>
      <c r="Y37" s="293" t="s">
        <v>288</v>
      </c>
      <c r="Z37" s="297">
        <v>45764</v>
      </c>
      <c r="AA37" s="293" t="s">
        <v>291</v>
      </c>
      <c r="AB37" s="293" t="s">
        <v>2621</v>
      </c>
      <c r="AC37" s="298" t="s">
        <v>501</v>
      </c>
      <c r="AD37" s="295" t="s">
        <v>2631</v>
      </c>
      <c r="AE37" s="512">
        <v>3820</v>
      </c>
      <c r="AF37" s="513">
        <v>38</v>
      </c>
      <c r="AG37" s="514">
        <f t="shared" si="2"/>
        <v>145160</v>
      </c>
      <c r="AH37" s="514">
        <v>0</v>
      </c>
      <c r="AI37" s="514">
        <f t="shared" si="3"/>
        <v>145160</v>
      </c>
      <c r="AJ37" s="514">
        <v>0</v>
      </c>
      <c r="AK37" s="514">
        <f t="shared" si="4"/>
        <v>3820</v>
      </c>
      <c r="AL37" s="514">
        <f t="shared" si="5"/>
        <v>126522.22000000002</v>
      </c>
      <c r="AM37" s="515">
        <f t="shared" si="6"/>
        <v>18637.779999999984</v>
      </c>
      <c r="AN37" s="299">
        <f t="shared" si="7"/>
        <v>0.12839473684210514</v>
      </c>
      <c r="AO37" s="296">
        <f t="shared" si="14"/>
        <v>126522.22000000002</v>
      </c>
      <c r="AP37" s="274">
        <f t="shared" si="8"/>
        <v>117</v>
      </c>
      <c r="AQ37" s="275">
        <f t="shared" si="9"/>
        <v>8725.6326241232873</v>
      </c>
      <c r="AR37" s="275">
        <f t="shared" si="15"/>
        <v>9912.147375876697</v>
      </c>
      <c r="AS37" s="280">
        <f t="shared" si="10"/>
        <v>6.8284288894162978E-2</v>
      </c>
    </row>
    <row r="38" spans="2:45" x14ac:dyDescent="0.3">
      <c r="B38" s="287">
        <f t="shared" si="11"/>
        <v>34</v>
      </c>
      <c r="C38" s="272" t="s">
        <v>131</v>
      </c>
      <c r="D38" s="288" t="str">
        <f t="shared" si="12"/>
        <v>Dec-24</v>
      </c>
      <c r="E38" s="288" t="s">
        <v>107</v>
      </c>
      <c r="F38" s="289">
        <v>45650</v>
      </c>
      <c r="G38" s="290" t="s">
        <v>698</v>
      </c>
      <c r="H38" s="291" t="s">
        <v>2592</v>
      </c>
      <c r="I38" s="290" t="s">
        <v>254</v>
      </c>
      <c r="J38" s="387" t="s">
        <v>699</v>
      </c>
      <c r="K38" s="289">
        <v>45650</v>
      </c>
      <c r="L38" s="291" t="s">
        <v>700</v>
      </c>
      <c r="M38" s="289">
        <v>45652</v>
      </c>
      <c r="N38" s="291" t="s">
        <v>255</v>
      </c>
      <c r="O38" s="290" t="s">
        <v>697</v>
      </c>
      <c r="P38" s="291" t="s">
        <v>501</v>
      </c>
      <c r="Q38" s="291" t="s">
        <v>633</v>
      </c>
      <c r="R38" s="458">
        <v>5900</v>
      </c>
      <c r="S38" s="404">
        <v>33.121000000000002</v>
      </c>
      <c r="T38" s="459">
        <f t="shared" si="1"/>
        <v>195413.90000000002</v>
      </c>
      <c r="U38" s="409" t="s">
        <v>107</v>
      </c>
      <c r="V38" s="288" t="s">
        <v>313</v>
      </c>
      <c r="W38" s="296" t="str">
        <f t="shared" si="13"/>
        <v>Apr-25</v>
      </c>
      <c r="X38" s="297" t="s">
        <v>569</v>
      </c>
      <c r="Y38" s="293" t="s">
        <v>289</v>
      </c>
      <c r="Z38" s="297">
        <v>45766</v>
      </c>
      <c r="AA38" s="293" t="s">
        <v>292</v>
      </c>
      <c r="AB38" s="293" t="s">
        <v>2622</v>
      </c>
      <c r="AC38" s="298" t="s">
        <v>501</v>
      </c>
      <c r="AD38" s="295" t="s">
        <v>564</v>
      </c>
      <c r="AE38" s="512">
        <v>12270</v>
      </c>
      <c r="AF38" s="513">
        <v>40</v>
      </c>
      <c r="AG38" s="514">
        <f t="shared" si="2"/>
        <v>490800</v>
      </c>
      <c r="AH38" s="514">
        <v>0</v>
      </c>
      <c r="AI38" s="514">
        <f t="shared" si="3"/>
        <v>490800</v>
      </c>
      <c r="AJ38" s="514">
        <v>0</v>
      </c>
      <c r="AK38" s="514">
        <f t="shared" si="4"/>
        <v>12270</v>
      </c>
      <c r="AL38" s="514">
        <f t="shared" si="5"/>
        <v>406394.67000000004</v>
      </c>
      <c r="AM38" s="515">
        <f t="shared" si="6"/>
        <v>84405.329999999958</v>
      </c>
      <c r="AN38" s="299">
        <f t="shared" si="7"/>
        <v>0.17197499999999991</v>
      </c>
      <c r="AO38" s="296">
        <f t="shared" si="14"/>
        <v>406394.67000000004</v>
      </c>
      <c r="AP38" s="274">
        <f t="shared" si="8"/>
        <v>116</v>
      </c>
      <c r="AQ38" s="275">
        <f t="shared" si="9"/>
        <v>5806.7374230136993</v>
      </c>
      <c r="AR38" s="275">
        <f t="shared" si="15"/>
        <v>78598.592576986266</v>
      </c>
      <c r="AS38" s="280">
        <f t="shared" si="10"/>
        <v>0.16014383165645124</v>
      </c>
    </row>
    <row r="39" spans="2:45" x14ac:dyDescent="0.3">
      <c r="B39" s="287">
        <f t="shared" si="11"/>
        <v>35</v>
      </c>
      <c r="C39" s="272" t="s">
        <v>131</v>
      </c>
      <c r="D39" s="288" t="str">
        <f t="shared" si="12"/>
        <v>Jan-25</v>
      </c>
      <c r="E39" s="288" t="s">
        <v>107</v>
      </c>
      <c r="F39" s="289">
        <v>45658</v>
      </c>
      <c r="G39" s="290" t="s">
        <v>701</v>
      </c>
      <c r="H39" s="291" t="s">
        <v>2592</v>
      </c>
      <c r="I39" s="290" t="s">
        <v>254</v>
      </c>
      <c r="J39" s="387" t="s">
        <v>702</v>
      </c>
      <c r="K39" s="289">
        <v>45656</v>
      </c>
      <c r="L39" s="291" t="s">
        <v>703</v>
      </c>
      <c r="M39" s="289">
        <v>45658</v>
      </c>
      <c r="N39" s="291" t="s">
        <v>255</v>
      </c>
      <c r="O39" s="290" t="s">
        <v>704</v>
      </c>
      <c r="P39" s="291" t="s">
        <v>501</v>
      </c>
      <c r="Q39" s="291" t="s">
        <v>633</v>
      </c>
      <c r="R39" s="458">
        <v>5840</v>
      </c>
      <c r="S39" s="404">
        <v>33.121000000000002</v>
      </c>
      <c r="T39" s="459">
        <f t="shared" si="1"/>
        <v>193426.64</v>
      </c>
      <c r="U39" s="409" t="s">
        <v>107</v>
      </c>
      <c r="V39" s="288" t="s">
        <v>313</v>
      </c>
      <c r="W39" s="296" t="str">
        <f t="shared" si="13"/>
        <v>Apr-25</v>
      </c>
      <c r="X39" s="297" t="s">
        <v>673</v>
      </c>
      <c r="Y39" s="293" t="s">
        <v>303</v>
      </c>
      <c r="Z39" s="297">
        <v>45772</v>
      </c>
      <c r="AA39" s="293" t="s">
        <v>306</v>
      </c>
      <c r="AB39" s="293" t="s">
        <v>2596</v>
      </c>
      <c r="AC39" s="298" t="s">
        <v>501</v>
      </c>
      <c r="AD39" s="295" t="s">
        <v>2604</v>
      </c>
      <c r="AE39" s="512">
        <v>7600</v>
      </c>
      <c r="AF39" s="513">
        <v>37</v>
      </c>
      <c r="AG39" s="514">
        <f t="shared" si="2"/>
        <v>281200</v>
      </c>
      <c r="AH39" s="514">
        <v>0</v>
      </c>
      <c r="AI39" s="514">
        <f t="shared" si="3"/>
        <v>281200</v>
      </c>
      <c r="AJ39" s="514">
        <v>0</v>
      </c>
      <c r="AK39" s="514">
        <f t="shared" si="4"/>
        <v>7600</v>
      </c>
      <c r="AL39" s="514">
        <f t="shared" si="5"/>
        <v>251719.6</v>
      </c>
      <c r="AM39" s="515">
        <f t="shared" si="6"/>
        <v>29480.399999999994</v>
      </c>
      <c r="AN39" s="299">
        <f t="shared" si="7"/>
        <v>0.10483783783783782</v>
      </c>
      <c r="AO39" s="296">
        <f t="shared" si="14"/>
        <v>251719.6</v>
      </c>
      <c r="AP39" s="274">
        <f t="shared" si="8"/>
        <v>116</v>
      </c>
      <c r="AQ39" s="275">
        <f t="shared" si="9"/>
        <v>5747.6858560000001</v>
      </c>
      <c r="AR39" s="275">
        <f t="shared" si="15"/>
        <v>23732.714143999994</v>
      </c>
      <c r="AS39" s="280">
        <f t="shared" si="10"/>
        <v>8.4397987709815062E-2</v>
      </c>
    </row>
    <row r="40" spans="2:45" x14ac:dyDescent="0.3">
      <c r="B40" s="287">
        <f t="shared" si="11"/>
        <v>36</v>
      </c>
      <c r="C40" s="272" t="s">
        <v>131</v>
      </c>
      <c r="D40" s="288" t="str">
        <f t="shared" si="12"/>
        <v>Jan-25</v>
      </c>
      <c r="E40" s="288" t="s">
        <v>107</v>
      </c>
      <c r="F40" s="289">
        <v>45671</v>
      </c>
      <c r="G40" s="290" t="s">
        <v>705</v>
      </c>
      <c r="H40" s="291" t="s">
        <v>2593</v>
      </c>
      <c r="I40" s="290" t="s">
        <v>298</v>
      </c>
      <c r="J40" s="387" t="s">
        <v>706</v>
      </c>
      <c r="K40" s="289">
        <v>45671</v>
      </c>
      <c r="L40" s="291" t="s">
        <v>707</v>
      </c>
      <c r="M40" s="289">
        <v>45673</v>
      </c>
      <c r="N40" s="291" t="s">
        <v>255</v>
      </c>
      <c r="O40" s="290" t="s">
        <v>708</v>
      </c>
      <c r="P40" s="291" t="s">
        <v>501</v>
      </c>
      <c r="Q40" s="291" t="s">
        <v>2603</v>
      </c>
      <c r="R40" s="458">
        <v>12520</v>
      </c>
      <c r="S40" s="404">
        <v>34.110999999999997</v>
      </c>
      <c r="T40" s="459">
        <f t="shared" si="1"/>
        <v>427069.72</v>
      </c>
      <c r="U40" s="409" t="s">
        <v>107</v>
      </c>
      <c r="V40" s="288" t="s">
        <v>313</v>
      </c>
      <c r="W40" s="296" t="str">
        <f t="shared" si="13"/>
        <v>Apr-25</v>
      </c>
      <c r="X40" s="297" t="s">
        <v>625</v>
      </c>
      <c r="Y40" s="293" t="s">
        <v>304</v>
      </c>
      <c r="Z40" s="297">
        <v>45772</v>
      </c>
      <c r="AA40" s="293" t="s">
        <v>307</v>
      </c>
      <c r="AB40" s="293" t="s">
        <v>2596</v>
      </c>
      <c r="AC40" s="298" t="s">
        <v>500</v>
      </c>
      <c r="AD40" s="295" t="s">
        <v>627</v>
      </c>
      <c r="AE40" s="512">
        <v>5500</v>
      </c>
      <c r="AF40" s="513">
        <v>35.700000000000003</v>
      </c>
      <c r="AG40" s="514">
        <f t="shared" si="2"/>
        <v>196350.00000000003</v>
      </c>
      <c r="AH40" s="514">
        <v>0</v>
      </c>
      <c r="AI40" s="514">
        <f t="shared" si="3"/>
        <v>196350.00000000003</v>
      </c>
      <c r="AJ40" s="514">
        <v>0</v>
      </c>
      <c r="AK40" s="514">
        <f t="shared" si="4"/>
        <v>5500</v>
      </c>
      <c r="AL40" s="514">
        <f t="shared" si="5"/>
        <v>187610.49999999997</v>
      </c>
      <c r="AM40" s="515">
        <f t="shared" si="6"/>
        <v>8739.5000000000582</v>
      </c>
      <c r="AN40" s="299">
        <f t="shared" si="7"/>
        <v>4.4509803921568919E-2</v>
      </c>
      <c r="AO40" s="296">
        <f t="shared" si="14"/>
        <v>187610.49999999997</v>
      </c>
      <c r="AP40" s="274">
        <f t="shared" si="8"/>
        <v>101</v>
      </c>
      <c r="AQ40" s="275">
        <f t="shared" si="9"/>
        <v>11049.405207726026</v>
      </c>
      <c r="AR40" s="275">
        <f t="shared" si="15"/>
        <v>-2309.9052077259676</v>
      </c>
      <c r="AS40" s="280">
        <f t="shared" si="10"/>
        <v>-1.1764223110394536E-2</v>
      </c>
    </row>
    <row r="41" spans="2:45" x14ac:dyDescent="0.3">
      <c r="B41" s="287">
        <f t="shared" si="11"/>
        <v>37</v>
      </c>
      <c r="C41" s="272" t="s">
        <v>131</v>
      </c>
      <c r="D41" s="288" t="str">
        <f t="shared" si="12"/>
        <v>Jan-25</v>
      </c>
      <c r="E41" s="288" t="s">
        <v>107</v>
      </c>
      <c r="F41" s="289">
        <v>45673</v>
      </c>
      <c r="G41" s="290" t="s">
        <v>710</v>
      </c>
      <c r="H41" s="291" t="s">
        <v>2593</v>
      </c>
      <c r="I41" s="290" t="s">
        <v>298</v>
      </c>
      <c r="J41" s="387" t="s">
        <v>711</v>
      </c>
      <c r="K41" s="289">
        <v>45673</v>
      </c>
      <c r="L41" s="291" t="s">
        <v>712</v>
      </c>
      <c r="M41" s="289">
        <v>45675</v>
      </c>
      <c r="N41" s="291" t="s">
        <v>255</v>
      </c>
      <c r="O41" s="290" t="s">
        <v>299</v>
      </c>
      <c r="P41" s="291" t="s">
        <v>501</v>
      </c>
      <c r="Q41" s="291" t="s">
        <v>633</v>
      </c>
      <c r="R41" s="458">
        <v>6800</v>
      </c>
      <c r="S41" s="404">
        <v>32.121000000000002</v>
      </c>
      <c r="T41" s="459">
        <f t="shared" si="1"/>
        <v>218422.80000000002</v>
      </c>
      <c r="U41" s="409" t="s">
        <v>107</v>
      </c>
      <c r="V41" s="288" t="s">
        <v>313</v>
      </c>
      <c r="W41" s="296" t="str">
        <f t="shared" si="13"/>
        <v>Apr-25</v>
      </c>
      <c r="X41" s="293" t="s">
        <v>709</v>
      </c>
      <c r="Y41" s="293" t="s">
        <v>305</v>
      </c>
      <c r="Z41" s="297">
        <v>45772</v>
      </c>
      <c r="AA41" s="293" t="s">
        <v>308</v>
      </c>
      <c r="AB41" s="293" t="s">
        <v>2596</v>
      </c>
      <c r="AC41" s="298" t="s">
        <v>501</v>
      </c>
      <c r="AD41" s="298" t="s">
        <v>2632</v>
      </c>
      <c r="AE41" s="512">
        <v>11660</v>
      </c>
      <c r="AF41" s="513">
        <v>34.799999999999997</v>
      </c>
      <c r="AG41" s="514">
        <f t="shared" si="2"/>
        <v>405767.99999999994</v>
      </c>
      <c r="AH41" s="514">
        <v>0</v>
      </c>
      <c r="AI41" s="514">
        <f t="shared" si="3"/>
        <v>405767.99999999994</v>
      </c>
      <c r="AJ41" s="514">
        <v>0</v>
      </c>
      <c r="AK41" s="514">
        <f t="shared" si="4"/>
        <v>11660</v>
      </c>
      <c r="AL41" s="514">
        <f t="shared" si="5"/>
        <v>374530.86000000004</v>
      </c>
      <c r="AM41" s="515">
        <f t="shared" si="6"/>
        <v>31237.139999999898</v>
      </c>
      <c r="AN41" s="299">
        <f t="shared" si="7"/>
        <v>7.6982758620689415E-2</v>
      </c>
      <c r="AO41" s="296">
        <f t="shared" si="14"/>
        <v>374530.86000000004</v>
      </c>
      <c r="AP41" s="274">
        <f t="shared" si="8"/>
        <v>99</v>
      </c>
      <c r="AQ41" s="275">
        <f t="shared" si="9"/>
        <v>5539.262049863014</v>
      </c>
      <c r="AR41" s="275">
        <f t="shared" si="15"/>
        <v>25697.877950136884</v>
      </c>
      <c r="AS41" s="280">
        <f t="shared" si="10"/>
        <v>6.3331455290059568E-2</v>
      </c>
    </row>
    <row r="42" spans="2:45" x14ac:dyDescent="0.3">
      <c r="B42" s="287">
        <f t="shared" si="11"/>
        <v>38</v>
      </c>
      <c r="C42" s="272" t="s">
        <v>131</v>
      </c>
      <c r="D42" s="288" t="str">
        <f t="shared" si="12"/>
        <v>Jan-25</v>
      </c>
      <c r="E42" s="288" t="s">
        <v>107</v>
      </c>
      <c r="F42" s="289">
        <v>45675</v>
      </c>
      <c r="G42" s="290" t="s">
        <v>713</v>
      </c>
      <c r="H42" s="291" t="s">
        <v>2592</v>
      </c>
      <c r="I42" s="290" t="s">
        <v>254</v>
      </c>
      <c r="J42" s="387" t="s">
        <v>714</v>
      </c>
      <c r="K42" s="289">
        <v>45675</v>
      </c>
      <c r="L42" s="291" t="s">
        <v>715</v>
      </c>
      <c r="M42" s="289">
        <v>45677</v>
      </c>
      <c r="N42" s="291" t="s">
        <v>255</v>
      </c>
      <c r="O42" s="290" t="s">
        <v>299</v>
      </c>
      <c r="P42" s="291" t="s">
        <v>2754</v>
      </c>
      <c r="Q42" s="291" t="s">
        <v>716</v>
      </c>
      <c r="R42" s="458">
        <v>2760</v>
      </c>
      <c r="S42" s="404">
        <v>84.521000000000001</v>
      </c>
      <c r="T42" s="459">
        <f t="shared" si="1"/>
        <v>233277.96</v>
      </c>
      <c r="U42" s="409" t="s">
        <v>107</v>
      </c>
      <c r="V42" s="288" t="s">
        <v>313</v>
      </c>
      <c r="W42" s="296" t="str">
        <f t="shared" si="13"/>
        <v>May-25</v>
      </c>
      <c r="X42" s="297" t="s">
        <v>754</v>
      </c>
      <c r="Y42" s="293" t="s">
        <v>326</v>
      </c>
      <c r="Z42" s="297">
        <v>45785</v>
      </c>
      <c r="AA42" s="484" t="s">
        <v>327</v>
      </c>
      <c r="AB42" s="293" t="s">
        <v>563</v>
      </c>
      <c r="AC42" s="298" t="s">
        <v>500</v>
      </c>
      <c r="AD42" s="298" t="s">
        <v>2630</v>
      </c>
      <c r="AE42" s="512">
        <v>7550</v>
      </c>
      <c r="AF42" s="513">
        <v>40</v>
      </c>
      <c r="AG42" s="514">
        <f t="shared" si="2"/>
        <v>302000</v>
      </c>
      <c r="AH42" s="514">
        <v>-302000</v>
      </c>
      <c r="AI42" s="514">
        <f t="shared" si="3"/>
        <v>0</v>
      </c>
      <c r="AJ42" s="514">
        <v>7550</v>
      </c>
      <c r="AK42" s="514">
        <f t="shared" si="4"/>
        <v>0</v>
      </c>
      <c r="AL42" s="514">
        <f t="shared" si="5"/>
        <v>638133.55000000005</v>
      </c>
      <c r="AM42" s="515">
        <f t="shared" si="6"/>
        <v>-638133.55000000005</v>
      </c>
      <c r="AN42" s="299">
        <f t="shared" si="7"/>
        <v>0</v>
      </c>
      <c r="AO42" s="296">
        <f t="shared" si="14"/>
        <v>638133.55000000005</v>
      </c>
      <c r="AP42" s="274"/>
      <c r="AQ42" s="275"/>
      <c r="AR42" s="275">
        <f t="shared" si="15"/>
        <v>-638133.55000000005</v>
      </c>
      <c r="AS42" s="280"/>
    </row>
    <row r="43" spans="2:45" x14ac:dyDescent="0.3">
      <c r="B43" s="287">
        <f t="shared" si="11"/>
        <v>39</v>
      </c>
      <c r="C43" s="272" t="s">
        <v>131</v>
      </c>
      <c r="D43" s="288" t="str">
        <f t="shared" si="12"/>
        <v>Jan-25</v>
      </c>
      <c r="E43" s="288" t="s">
        <v>107</v>
      </c>
      <c r="F43" s="289">
        <v>45681</v>
      </c>
      <c r="G43" s="290" t="s">
        <v>718</v>
      </c>
      <c r="H43" s="291" t="s">
        <v>2593</v>
      </c>
      <c r="I43" s="290" t="s">
        <v>298</v>
      </c>
      <c r="J43" s="387" t="s">
        <v>719</v>
      </c>
      <c r="K43" s="289">
        <v>45681</v>
      </c>
      <c r="L43" s="291" t="s">
        <v>720</v>
      </c>
      <c r="M43" s="289">
        <v>45681</v>
      </c>
      <c r="N43" s="291" t="s">
        <v>255</v>
      </c>
      <c r="O43" s="290" t="s">
        <v>721</v>
      </c>
      <c r="P43" s="291" t="s">
        <v>501</v>
      </c>
      <c r="Q43" s="291" t="s">
        <v>2604</v>
      </c>
      <c r="R43" s="458">
        <v>7440</v>
      </c>
      <c r="S43" s="404">
        <v>35.110999999999997</v>
      </c>
      <c r="T43" s="459">
        <f t="shared" si="1"/>
        <v>261225.83999999997</v>
      </c>
      <c r="U43" s="409" t="s">
        <v>107</v>
      </c>
      <c r="V43" s="288" t="s">
        <v>313</v>
      </c>
      <c r="W43" s="296" t="str">
        <f t="shared" si="13"/>
        <v>May-25</v>
      </c>
      <c r="X43" s="297" t="s">
        <v>502</v>
      </c>
      <c r="Y43" s="293" t="s">
        <v>365</v>
      </c>
      <c r="Z43" s="297">
        <v>45799</v>
      </c>
      <c r="AA43" s="293" t="s">
        <v>369</v>
      </c>
      <c r="AB43" s="293" t="s">
        <v>373</v>
      </c>
      <c r="AC43" s="298" t="s">
        <v>500</v>
      </c>
      <c r="AD43" s="298" t="s">
        <v>2630</v>
      </c>
      <c r="AE43" s="512">
        <v>24720</v>
      </c>
      <c r="AF43" s="513">
        <v>38</v>
      </c>
      <c r="AG43" s="514">
        <f t="shared" si="2"/>
        <v>939360</v>
      </c>
      <c r="AH43" s="514">
        <v>0</v>
      </c>
      <c r="AI43" s="514">
        <f t="shared" si="3"/>
        <v>939360</v>
      </c>
      <c r="AJ43" s="514">
        <v>0</v>
      </c>
      <c r="AK43" s="514">
        <f t="shared" si="4"/>
        <v>24720</v>
      </c>
      <c r="AL43" s="514">
        <f t="shared" si="5"/>
        <v>867943.91999999993</v>
      </c>
      <c r="AM43" s="515">
        <f t="shared" si="6"/>
        <v>71416.080000000075</v>
      </c>
      <c r="AN43" s="299">
        <f t="shared" si="7"/>
        <v>7.6026315789473761E-2</v>
      </c>
      <c r="AO43" s="296">
        <f t="shared" si="14"/>
        <v>867943.91999999993</v>
      </c>
      <c r="AP43" s="274">
        <f t="shared" ref="AP43:AP74" si="16">(Z43-K43)</f>
        <v>118</v>
      </c>
      <c r="AQ43" s="275">
        <f t="shared" ref="AQ43:AQ74" si="17">T43*9.35%*AP43/365</f>
        <v>7896.1772403287659</v>
      </c>
      <c r="AR43" s="275">
        <f t="shared" si="15"/>
        <v>63519.902759671306</v>
      </c>
      <c r="AS43" s="280">
        <f t="shared" ref="AS43:AS86" si="18">AR43/(AG43+AH43)</f>
        <v>6.7620404061990408E-2</v>
      </c>
    </row>
    <row r="44" spans="2:45" x14ac:dyDescent="0.3">
      <c r="B44" s="287">
        <f t="shared" si="11"/>
        <v>40</v>
      </c>
      <c r="C44" s="272" t="s">
        <v>131</v>
      </c>
      <c r="D44" s="288" t="str">
        <f t="shared" si="12"/>
        <v>Jan-25</v>
      </c>
      <c r="E44" s="288" t="s">
        <v>107</v>
      </c>
      <c r="F44" s="289">
        <v>45684</v>
      </c>
      <c r="G44" s="290" t="s">
        <v>722</v>
      </c>
      <c r="H44" s="291" t="s">
        <v>2593</v>
      </c>
      <c r="I44" s="290" t="s">
        <v>298</v>
      </c>
      <c r="J44" s="387" t="s">
        <v>723</v>
      </c>
      <c r="K44" s="289">
        <v>45684</v>
      </c>
      <c r="L44" s="291" t="s">
        <v>724</v>
      </c>
      <c r="M44" s="289">
        <v>45686</v>
      </c>
      <c r="N44" s="291" t="s">
        <v>255</v>
      </c>
      <c r="O44" s="290" t="s">
        <v>721</v>
      </c>
      <c r="P44" s="291" t="s">
        <v>501</v>
      </c>
      <c r="Q44" s="291" t="s">
        <v>2604</v>
      </c>
      <c r="R44" s="458">
        <v>8920</v>
      </c>
      <c r="S44" s="404">
        <v>35.110999999999997</v>
      </c>
      <c r="T44" s="459">
        <f t="shared" si="1"/>
        <v>313190.12</v>
      </c>
      <c r="U44" s="409" t="s">
        <v>107</v>
      </c>
      <c r="V44" s="288" t="s">
        <v>313</v>
      </c>
      <c r="W44" s="296" t="str">
        <f t="shared" si="13"/>
        <v>May-25</v>
      </c>
      <c r="X44" s="293" t="s">
        <v>569</v>
      </c>
      <c r="Y44" s="293" t="s">
        <v>367</v>
      </c>
      <c r="Z44" s="297">
        <v>45800</v>
      </c>
      <c r="AA44" s="293" t="s">
        <v>371</v>
      </c>
      <c r="AB44" s="293" t="s">
        <v>571</v>
      </c>
      <c r="AC44" s="298" t="s">
        <v>501</v>
      </c>
      <c r="AD44" s="298" t="s">
        <v>564</v>
      </c>
      <c r="AE44" s="512">
        <v>10280</v>
      </c>
      <c r="AF44" s="513">
        <v>42</v>
      </c>
      <c r="AG44" s="514">
        <f t="shared" si="2"/>
        <v>431760</v>
      </c>
      <c r="AH44" s="514">
        <v>0</v>
      </c>
      <c r="AI44" s="514">
        <f t="shared" si="3"/>
        <v>431760</v>
      </c>
      <c r="AJ44" s="514">
        <v>0</v>
      </c>
      <c r="AK44" s="514">
        <f t="shared" si="4"/>
        <v>10280</v>
      </c>
      <c r="AL44" s="514">
        <f t="shared" si="5"/>
        <v>360941.07999999996</v>
      </c>
      <c r="AM44" s="515">
        <f t="shared" si="6"/>
        <v>70818.920000000042</v>
      </c>
      <c r="AN44" s="299">
        <f t="shared" si="7"/>
        <v>0.16402380952380963</v>
      </c>
      <c r="AO44" s="296">
        <f t="shared" si="14"/>
        <v>360941.07999999996</v>
      </c>
      <c r="AP44" s="274">
        <f t="shared" si="16"/>
        <v>116</v>
      </c>
      <c r="AQ44" s="275">
        <f t="shared" si="17"/>
        <v>9306.4658671780817</v>
      </c>
      <c r="AR44" s="275">
        <f t="shared" si="15"/>
        <v>61512.454132821964</v>
      </c>
      <c r="AS44" s="280">
        <f t="shared" si="18"/>
        <v>0.14246908961650445</v>
      </c>
    </row>
    <row r="45" spans="2:45" x14ac:dyDescent="0.3">
      <c r="B45" s="287">
        <f t="shared" si="11"/>
        <v>41</v>
      </c>
      <c r="C45" s="272" t="s">
        <v>131</v>
      </c>
      <c r="D45" s="288" t="str">
        <f t="shared" si="12"/>
        <v>Jan-25</v>
      </c>
      <c r="E45" s="288" t="s">
        <v>107</v>
      </c>
      <c r="F45" s="289">
        <v>45685</v>
      </c>
      <c r="G45" s="290" t="s">
        <v>725</v>
      </c>
      <c r="H45" s="291" t="s">
        <v>2593</v>
      </c>
      <c r="I45" s="290" t="s">
        <v>298</v>
      </c>
      <c r="J45" s="387" t="s">
        <v>726</v>
      </c>
      <c r="K45" s="289">
        <v>45685</v>
      </c>
      <c r="L45" s="291" t="s">
        <v>727</v>
      </c>
      <c r="M45" s="289">
        <v>45686</v>
      </c>
      <c r="N45" s="291" t="s">
        <v>255</v>
      </c>
      <c r="O45" s="290" t="s">
        <v>721</v>
      </c>
      <c r="P45" s="291" t="s">
        <v>501</v>
      </c>
      <c r="Q45" s="291" t="s">
        <v>2604</v>
      </c>
      <c r="R45" s="458">
        <v>7940</v>
      </c>
      <c r="S45" s="404">
        <v>35.110999999999997</v>
      </c>
      <c r="T45" s="459">
        <f t="shared" si="1"/>
        <v>278781.33999999997</v>
      </c>
      <c r="U45" s="409" t="s">
        <v>107</v>
      </c>
      <c r="V45" s="288" t="s">
        <v>313</v>
      </c>
      <c r="W45" s="296" t="str">
        <f t="shared" si="13"/>
        <v>May-25</v>
      </c>
      <c r="X45" s="297" t="s">
        <v>569</v>
      </c>
      <c r="Y45" s="293" t="s">
        <v>366</v>
      </c>
      <c r="Z45" s="297">
        <v>45800</v>
      </c>
      <c r="AA45" s="293" t="s">
        <v>370</v>
      </c>
      <c r="AB45" s="293" t="s">
        <v>571</v>
      </c>
      <c r="AC45" s="298" t="s">
        <v>501</v>
      </c>
      <c r="AD45" s="298" t="s">
        <v>564</v>
      </c>
      <c r="AE45" s="512">
        <v>9600</v>
      </c>
      <c r="AF45" s="513">
        <v>42</v>
      </c>
      <c r="AG45" s="514">
        <f t="shared" si="2"/>
        <v>403200</v>
      </c>
      <c r="AH45" s="514">
        <v>0</v>
      </c>
      <c r="AI45" s="514">
        <f t="shared" si="3"/>
        <v>403200</v>
      </c>
      <c r="AJ45" s="514">
        <v>0</v>
      </c>
      <c r="AK45" s="514">
        <f t="shared" si="4"/>
        <v>9600</v>
      </c>
      <c r="AL45" s="514">
        <f t="shared" si="5"/>
        <v>337065.6</v>
      </c>
      <c r="AM45" s="515">
        <f t="shared" si="6"/>
        <v>66134.400000000023</v>
      </c>
      <c r="AN45" s="299">
        <f t="shared" si="7"/>
        <v>0.16402380952380957</v>
      </c>
      <c r="AO45" s="296">
        <f t="shared" si="14"/>
        <v>337065.6</v>
      </c>
      <c r="AP45" s="274">
        <f t="shared" si="16"/>
        <v>115</v>
      </c>
      <c r="AQ45" s="275">
        <f t="shared" si="17"/>
        <v>8212.5927626027387</v>
      </c>
      <c r="AR45" s="275">
        <f t="shared" si="15"/>
        <v>57921.807237397283</v>
      </c>
      <c r="AS45" s="280">
        <f t="shared" si="18"/>
        <v>0.14365527588640198</v>
      </c>
    </row>
    <row r="46" spans="2:45" x14ac:dyDescent="0.3">
      <c r="B46" s="287">
        <f t="shared" si="11"/>
        <v>42</v>
      </c>
      <c r="C46" s="272" t="s">
        <v>131</v>
      </c>
      <c r="D46" s="288" t="str">
        <f t="shared" si="12"/>
        <v>Jan-25</v>
      </c>
      <c r="E46" s="288" t="s">
        <v>107</v>
      </c>
      <c r="F46" s="289">
        <v>45686</v>
      </c>
      <c r="G46" s="290" t="s">
        <v>728</v>
      </c>
      <c r="H46" s="291" t="s">
        <v>2593</v>
      </c>
      <c r="I46" s="290" t="s">
        <v>298</v>
      </c>
      <c r="J46" s="387" t="s">
        <v>729</v>
      </c>
      <c r="K46" s="289">
        <v>45686</v>
      </c>
      <c r="L46" s="291" t="s">
        <v>730</v>
      </c>
      <c r="M46" s="289">
        <v>45687</v>
      </c>
      <c r="N46" s="291" t="s">
        <v>255</v>
      </c>
      <c r="O46" s="290" t="s">
        <v>721</v>
      </c>
      <c r="P46" s="291" t="s">
        <v>501</v>
      </c>
      <c r="Q46" s="291" t="s">
        <v>2604</v>
      </c>
      <c r="R46" s="458">
        <v>10240</v>
      </c>
      <c r="S46" s="404">
        <v>35.110999999999997</v>
      </c>
      <c r="T46" s="459">
        <f t="shared" si="1"/>
        <v>359536.63999999996</v>
      </c>
      <c r="U46" s="409" t="s">
        <v>107</v>
      </c>
      <c r="V46" s="288" t="s">
        <v>313</v>
      </c>
      <c r="W46" s="296" t="str">
        <f t="shared" si="13"/>
        <v>May-25</v>
      </c>
      <c r="X46" s="297" t="s">
        <v>569</v>
      </c>
      <c r="Y46" s="293" t="s">
        <v>368</v>
      </c>
      <c r="Z46" s="297">
        <v>45801</v>
      </c>
      <c r="AA46" s="293" t="s">
        <v>372</v>
      </c>
      <c r="AB46" s="293" t="s">
        <v>571</v>
      </c>
      <c r="AC46" s="298" t="s">
        <v>501</v>
      </c>
      <c r="AD46" s="298" t="s">
        <v>564</v>
      </c>
      <c r="AE46" s="512">
        <v>5600</v>
      </c>
      <c r="AF46" s="513">
        <v>42</v>
      </c>
      <c r="AG46" s="514">
        <f t="shared" si="2"/>
        <v>235200</v>
      </c>
      <c r="AH46" s="514">
        <v>0</v>
      </c>
      <c r="AI46" s="514">
        <f t="shared" si="3"/>
        <v>235200</v>
      </c>
      <c r="AJ46" s="514">
        <v>0</v>
      </c>
      <c r="AK46" s="514">
        <f t="shared" si="4"/>
        <v>5600</v>
      </c>
      <c r="AL46" s="514">
        <f t="shared" si="5"/>
        <v>196621.59999999998</v>
      </c>
      <c r="AM46" s="515">
        <f t="shared" si="6"/>
        <v>38578.400000000023</v>
      </c>
      <c r="AN46" s="299">
        <f t="shared" si="7"/>
        <v>0.16402380952380963</v>
      </c>
      <c r="AO46" s="296">
        <f t="shared" si="14"/>
        <v>196621.59999999998</v>
      </c>
      <c r="AP46" s="274">
        <f t="shared" si="16"/>
        <v>115</v>
      </c>
      <c r="AQ46" s="275">
        <f t="shared" si="17"/>
        <v>10591.555401643835</v>
      </c>
      <c r="AR46" s="275">
        <f t="shared" si="15"/>
        <v>27986.844598356191</v>
      </c>
      <c r="AS46" s="280">
        <f t="shared" si="18"/>
        <v>0.11899168621750081</v>
      </c>
    </row>
    <row r="47" spans="2:45" x14ac:dyDescent="0.3">
      <c r="B47" s="287">
        <f t="shared" si="11"/>
        <v>43</v>
      </c>
      <c r="C47" s="272" t="s">
        <v>131</v>
      </c>
      <c r="D47" s="288" t="str">
        <f t="shared" si="12"/>
        <v>Jan-25</v>
      </c>
      <c r="E47" s="288" t="s">
        <v>107</v>
      </c>
      <c r="F47" s="289">
        <v>45687</v>
      </c>
      <c r="G47" s="290" t="s">
        <v>731</v>
      </c>
      <c r="H47" s="291" t="s">
        <v>2593</v>
      </c>
      <c r="I47" s="290" t="s">
        <v>298</v>
      </c>
      <c r="J47" s="387" t="s">
        <v>732</v>
      </c>
      <c r="K47" s="289">
        <v>45687</v>
      </c>
      <c r="L47" s="291" t="s">
        <v>733</v>
      </c>
      <c r="M47" s="289">
        <v>45688</v>
      </c>
      <c r="N47" s="291" t="s">
        <v>255</v>
      </c>
      <c r="O47" s="290" t="s">
        <v>721</v>
      </c>
      <c r="P47" s="291" t="s">
        <v>501</v>
      </c>
      <c r="Q47" s="291" t="s">
        <v>2604</v>
      </c>
      <c r="R47" s="458">
        <v>7240</v>
      </c>
      <c r="S47" s="404">
        <v>35.110999999999997</v>
      </c>
      <c r="T47" s="459">
        <f t="shared" si="1"/>
        <v>254203.63999999998</v>
      </c>
      <c r="U47" s="409" t="s">
        <v>107</v>
      </c>
      <c r="V47" s="288" t="s">
        <v>313</v>
      </c>
      <c r="W47" s="296" t="str">
        <f t="shared" si="13"/>
        <v>May-25</v>
      </c>
      <c r="X47" s="297" t="s">
        <v>569</v>
      </c>
      <c r="Y47" s="293" t="s">
        <v>379</v>
      </c>
      <c r="Z47" s="297">
        <v>45805</v>
      </c>
      <c r="AA47" s="293" t="s">
        <v>382</v>
      </c>
      <c r="AB47" s="293" t="s">
        <v>571</v>
      </c>
      <c r="AC47" s="298" t="s">
        <v>501</v>
      </c>
      <c r="AD47" s="298" t="s">
        <v>564</v>
      </c>
      <c r="AE47" s="512">
        <v>11630</v>
      </c>
      <c r="AF47" s="513">
        <v>42</v>
      </c>
      <c r="AG47" s="514">
        <f t="shared" si="2"/>
        <v>488460</v>
      </c>
      <c r="AH47" s="514">
        <v>0</v>
      </c>
      <c r="AI47" s="514">
        <f t="shared" si="3"/>
        <v>488460</v>
      </c>
      <c r="AJ47" s="514">
        <v>0</v>
      </c>
      <c r="AK47" s="514">
        <f t="shared" si="4"/>
        <v>11630</v>
      </c>
      <c r="AL47" s="514">
        <f t="shared" si="5"/>
        <v>408340.93</v>
      </c>
      <c r="AM47" s="515">
        <f t="shared" si="6"/>
        <v>80119.070000000007</v>
      </c>
      <c r="AN47" s="299">
        <f t="shared" si="7"/>
        <v>0.16402380952380954</v>
      </c>
      <c r="AO47" s="296">
        <f t="shared" si="14"/>
        <v>408340.93</v>
      </c>
      <c r="AP47" s="274">
        <f t="shared" si="16"/>
        <v>118</v>
      </c>
      <c r="AQ47" s="275">
        <f t="shared" si="17"/>
        <v>7683.9144112876702</v>
      </c>
      <c r="AR47" s="275">
        <f t="shared" si="15"/>
        <v>72435.15558871234</v>
      </c>
      <c r="AS47" s="280">
        <f t="shared" si="18"/>
        <v>0.1482929115766129</v>
      </c>
    </row>
    <row r="48" spans="2:45" x14ac:dyDescent="0.3">
      <c r="B48" s="287">
        <f t="shared" si="11"/>
        <v>44</v>
      </c>
      <c r="C48" s="272" t="s">
        <v>131</v>
      </c>
      <c r="D48" s="288" t="str">
        <f t="shared" si="12"/>
        <v>Jan-25</v>
      </c>
      <c r="E48" s="288" t="s">
        <v>107</v>
      </c>
      <c r="F48" s="289">
        <v>45687</v>
      </c>
      <c r="G48" s="290" t="s">
        <v>734</v>
      </c>
      <c r="H48" s="291" t="s">
        <v>2593</v>
      </c>
      <c r="I48" s="290" t="s">
        <v>298</v>
      </c>
      <c r="J48" s="387" t="s">
        <v>735</v>
      </c>
      <c r="K48" s="289">
        <v>45687</v>
      </c>
      <c r="L48" s="291" t="s">
        <v>736</v>
      </c>
      <c r="M48" s="289">
        <v>45688</v>
      </c>
      <c r="N48" s="291" t="s">
        <v>255</v>
      </c>
      <c r="O48" s="290" t="s">
        <v>631</v>
      </c>
      <c r="P48" s="291" t="s">
        <v>501</v>
      </c>
      <c r="Q48" s="291" t="s">
        <v>633</v>
      </c>
      <c r="R48" s="458">
        <v>7400</v>
      </c>
      <c r="S48" s="404">
        <v>32.121000000000002</v>
      </c>
      <c r="T48" s="459">
        <f t="shared" si="1"/>
        <v>237695.40000000002</v>
      </c>
      <c r="U48" s="409" t="s">
        <v>107</v>
      </c>
      <c r="V48" s="288" t="s">
        <v>313</v>
      </c>
      <c r="W48" s="296" t="str">
        <f t="shared" si="13"/>
        <v>May-25</v>
      </c>
      <c r="X48" s="293" t="s">
        <v>569</v>
      </c>
      <c r="Y48" s="293" t="s">
        <v>380</v>
      </c>
      <c r="Z48" s="297">
        <v>45806</v>
      </c>
      <c r="AA48" s="293" t="s">
        <v>383</v>
      </c>
      <c r="AB48" s="293" t="s">
        <v>571</v>
      </c>
      <c r="AC48" s="298" t="s">
        <v>501</v>
      </c>
      <c r="AD48" s="298" t="s">
        <v>564</v>
      </c>
      <c r="AE48" s="512">
        <v>12960</v>
      </c>
      <c r="AF48" s="513">
        <v>42</v>
      </c>
      <c r="AG48" s="514">
        <f t="shared" si="2"/>
        <v>544320</v>
      </c>
      <c r="AH48" s="514">
        <v>0</v>
      </c>
      <c r="AI48" s="514">
        <f t="shared" si="3"/>
        <v>544320</v>
      </c>
      <c r="AJ48" s="514">
        <v>0</v>
      </c>
      <c r="AK48" s="514">
        <f t="shared" si="4"/>
        <v>12960</v>
      </c>
      <c r="AL48" s="514">
        <f t="shared" si="5"/>
        <v>416288.16000000003</v>
      </c>
      <c r="AM48" s="515">
        <f t="shared" si="6"/>
        <v>128031.83999999997</v>
      </c>
      <c r="AN48" s="299">
        <f t="shared" si="7"/>
        <v>0.23521428571428565</v>
      </c>
      <c r="AO48" s="296">
        <f t="shared" si="14"/>
        <v>416288.16000000003</v>
      </c>
      <c r="AP48" s="274">
        <f t="shared" si="16"/>
        <v>119</v>
      </c>
      <c r="AQ48" s="275">
        <f t="shared" si="17"/>
        <v>7245.8023783561657</v>
      </c>
      <c r="AR48" s="275">
        <f t="shared" si="15"/>
        <v>120786.0376216438</v>
      </c>
      <c r="AS48" s="280">
        <f t="shared" si="18"/>
        <v>0.22190262643600051</v>
      </c>
    </row>
    <row r="49" spans="2:45" x14ac:dyDescent="0.3">
      <c r="B49" s="287">
        <f t="shared" si="11"/>
        <v>45</v>
      </c>
      <c r="C49" s="272" t="s">
        <v>131</v>
      </c>
      <c r="D49" s="288" t="str">
        <f t="shared" si="12"/>
        <v>Jan-25</v>
      </c>
      <c r="E49" s="288" t="s">
        <v>107</v>
      </c>
      <c r="F49" s="289">
        <v>45688</v>
      </c>
      <c r="G49" s="290" t="s">
        <v>740</v>
      </c>
      <c r="H49" s="291" t="s">
        <v>2593</v>
      </c>
      <c r="I49" s="290" t="s">
        <v>298</v>
      </c>
      <c r="J49" s="387" t="s">
        <v>741</v>
      </c>
      <c r="K49" s="289">
        <v>45688</v>
      </c>
      <c r="L49" s="291" t="s">
        <v>742</v>
      </c>
      <c r="M49" s="289">
        <v>45691</v>
      </c>
      <c r="N49" s="291" t="s">
        <v>255</v>
      </c>
      <c r="O49" s="290" t="s">
        <v>631</v>
      </c>
      <c r="P49" s="291" t="s">
        <v>501</v>
      </c>
      <c r="Q49" s="291" t="s">
        <v>2604</v>
      </c>
      <c r="R49" s="458">
        <v>8460</v>
      </c>
      <c r="S49" s="404">
        <v>35.110999999999997</v>
      </c>
      <c r="T49" s="459">
        <f t="shared" si="1"/>
        <v>297039.06</v>
      </c>
      <c r="U49" s="409" t="s">
        <v>107</v>
      </c>
      <c r="V49" s="288" t="s">
        <v>313</v>
      </c>
      <c r="W49" s="296" t="str">
        <f t="shared" si="13"/>
        <v>May-25</v>
      </c>
      <c r="X49" s="297" t="s">
        <v>754</v>
      </c>
      <c r="Y49" s="293" t="s">
        <v>381</v>
      </c>
      <c r="Z49" s="297">
        <v>45808</v>
      </c>
      <c r="AA49" s="293" t="s">
        <v>384</v>
      </c>
      <c r="AB49" s="293" t="s">
        <v>563</v>
      </c>
      <c r="AC49" s="298" t="s">
        <v>500</v>
      </c>
      <c r="AD49" s="298" t="s">
        <v>2630</v>
      </c>
      <c r="AE49" s="512">
        <v>3065</v>
      </c>
      <c r="AF49" s="513">
        <v>40</v>
      </c>
      <c r="AG49" s="514">
        <f t="shared" si="2"/>
        <v>122600</v>
      </c>
      <c r="AH49" s="514">
        <v>0</v>
      </c>
      <c r="AI49" s="514">
        <f t="shared" si="3"/>
        <v>122600</v>
      </c>
      <c r="AJ49" s="514">
        <v>0</v>
      </c>
      <c r="AK49" s="514">
        <f t="shared" si="4"/>
        <v>3065</v>
      </c>
      <c r="AL49" s="514">
        <f t="shared" si="5"/>
        <v>107615.215</v>
      </c>
      <c r="AM49" s="515">
        <f t="shared" si="6"/>
        <v>14984.785000000003</v>
      </c>
      <c r="AN49" s="299">
        <f t="shared" si="7"/>
        <v>0.12222500000000003</v>
      </c>
      <c r="AO49" s="296">
        <f t="shared" si="14"/>
        <v>107615.215</v>
      </c>
      <c r="AP49" s="274">
        <f t="shared" si="16"/>
        <v>120</v>
      </c>
      <c r="AQ49" s="275">
        <f t="shared" si="17"/>
        <v>9130.8993238356161</v>
      </c>
      <c r="AR49" s="275">
        <f t="shared" si="15"/>
        <v>5853.8856761643874</v>
      </c>
      <c r="AS49" s="280">
        <f t="shared" si="18"/>
        <v>4.7747844014391416E-2</v>
      </c>
    </row>
    <row r="50" spans="2:45" x14ac:dyDescent="0.3">
      <c r="B50" s="287">
        <f t="shared" si="11"/>
        <v>46</v>
      </c>
      <c r="C50" s="272" t="s">
        <v>131</v>
      </c>
      <c r="D50" s="288" t="str">
        <f t="shared" si="12"/>
        <v>Jan-25</v>
      </c>
      <c r="E50" s="288" t="s">
        <v>107</v>
      </c>
      <c r="F50" s="289">
        <v>45688</v>
      </c>
      <c r="G50" s="290" t="s">
        <v>737</v>
      </c>
      <c r="H50" s="291" t="s">
        <v>2593</v>
      </c>
      <c r="I50" s="290" t="s">
        <v>298</v>
      </c>
      <c r="J50" s="387" t="s">
        <v>738</v>
      </c>
      <c r="K50" s="289">
        <v>45688</v>
      </c>
      <c r="L50" s="291" t="s">
        <v>739</v>
      </c>
      <c r="M50" s="289">
        <v>45691</v>
      </c>
      <c r="N50" s="291" t="s">
        <v>255</v>
      </c>
      <c r="O50" s="290" t="s">
        <v>721</v>
      </c>
      <c r="P50" s="291" t="s">
        <v>501</v>
      </c>
      <c r="Q50" s="291" t="s">
        <v>633</v>
      </c>
      <c r="R50" s="458">
        <v>6240</v>
      </c>
      <c r="S50" s="404">
        <v>32.121000000000002</v>
      </c>
      <c r="T50" s="459">
        <f t="shared" si="1"/>
        <v>200435.04</v>
      </c>
      <c r="U50" s="409" t="s">
        <v>107</v>
      </c>
      <c r="V50" s="288" t="s">
        <v>313</v>
      </c>
      <c r="W50" s="296" t="str">
        <f t="shared" si="13"/>
        <v>Jun-25</v>
      </c>
      <c r="X50" s="297" t="s">
        <v>569</v>
      </c>
      <c r="Y50" s="293" t="s">
        <v>426</v>
      </c>
      <c r="Z50" s="297">
        <v>45809</v>
      </c>
      <c r="AA50" s="293" t="s">
        <v>420</v>
      </c>
      <c r="AB50" s="293" t="s">
        <v>571</v>
      </c>
      <c r="AC50" s="298" t="s">
        <v>501</v>
      </c>
      <c r="AD50" s="295" t="s">
        <v>564</v>
      </c>
      <c r="AE50" s="512">
        <v>13840</v>
      </c>
      <c r="AF50" s="513">
        <v>42</v>
      </c>
      <c r="AG50" s="514">
        <f t="shared" si="2"/>
        <v>581280</v>
      </c>
      <c r="AH50" s="514">
        <v>0</v>
      </c>
      <c r="AI50" s="514">
        <f t="shared" si="3"/>
        <v>581280</v>
      </c>
      <c r="AJ50" s="514">
        <v>0</v>
      </c>
      <c r="AK50" s="514">
        <f t="shared" si="4"/>
        <v>13840</v>
      </c>
      <c r="AL50" s="514">
        <f t="shared" si="5"/>
        <v>444554.64</v>
      </c>
      <c r="AM50" s="515">
        <f t="shared" si="6"/>
        <v>136725.35999999999</v>
      </c>
      <c r="AN50" s="299">
        <f t="shared" si="7"/>
        <v>0.23521428571428568</v>
      </c>
      <c r="AO50" s="296">
        <f t="shared" si="14"/>
        <v>444554.64</v>
      </c>
      <c r="AP50" s="274">
        <f t="shared" si="16"/>
        <v>121</v>
      </c>
      <c r="AQ50" s="275">
        <f t="shared" si="17"/>
        <v>6212.6625343561645</v>
      </c>
      <c r="AR50" s="275">
        <f t="shared" si="15"/>
        <v>130512.69746564383</v>
      </c>
      <c r="AS50" s="280">
        <f t="shared" si="18"/>
        <v>0.22452638567582547</v>
      </c>
    </row>
    <row r="51" spans="2:45" x14ac:dyDescent="0.3">
      <c r="B51" s="287">
        <f t="shared" si="11"/>
        <v>47</v>
      </c>
      <c r="C51" s="272" t="s">
        <v>131</v>
      </c>
      <c r="D51" s="288" t="str">
        <f t="shared" si="12"/>
        <v>Feb-25</v>
      </c>
      <c r="E51" s="288" t="s">
        <v>107</v>
      </c>
      <c r="F51" s="289">
        <v>45706</v>
      </c>
      <c r="G51" s="290" t="s">
        <v>743</v>
      </c>
      <c r="H51" s="291" t="s">
        <v>2594</v>
      </c>
      <c r="I51" s="290" t="s">
        <v>297</v>
      </c>
      <c r="J51" s="387" t="s">
        <v>744</v>
      </c>
      <c r="K51" s="289">
        <v>45706</v>
      </c>
      <c r="L51" s="291" t="s">
        <v>745</v>
      </c>
      <c r="M51" s="289">
        <v>45710</v>
      </c>
      <c r="N51" s="291" t="s">
        <v>255</v>
      </c>
      <c r="O51" s="290" t="s">
        <v>559</v>
      </c>
      <c r="P51" s="291" t="s">
        <v>500</v>
      </c>
      <c r="Q51" s="291" t="s">
        <v>627</v>
      </c>
      <c r="R51" s="458">
        <v>18370</v>
      </c>
      <c r="S51" s="404">
        <v>34.1</v>
      </c>
      <c r="T51" s="459">
        <f t="shared" si="1"/>
        <v>626417</v>
      </c>
      <c r="U51" s="409" t="s">
        <v>107</v>
      </c>
      <c r="V51" s="288" t="s">
        <v>313</v>
      </c>
      <c r="W51" s="296" t="str">
        <f t="shared" si="13"/>
        <v>Jun-25</v>
      </c>
      <c r="X51" s="297" t="s">
        <v>502</v>
      </c>
      <c r="Y51" s="293" t="s">
        <v>425</v>
      </c>
      <c r="Z51" s="297">
        <v>45809</v>
      </c>
      <c r="AA51" s="293" t="s">
        <v>419</v>
      </c>
      <c r="AB51" s="293" t="s">
        <v>2596</v>
      </c>
      <c r="AC51" s="298" t="s">
        <v>501</v>
      </c>
      <c r="AD51" s="295" t="s">
        <v>501</v>
      </c>
      <c r="AE51" s="512">
        <v>12090</v>
      </c>
      <c r="AF51" s="513">
        <v>33</v>
      </c>
      <c r="AG51" s="514">
        <f t="shared" si="2"/>
        <v>398970</v>
      </c>
      <c r="AH51" s="514">
        <v>0</v>
      </c>
      <c r="AI51" s="514">
        <f t="shared" si="3"/>
        <v>398970</v>
      </c>
      <c r="AJ51" s="514">
        <v>0</v>
      </c>
      <c r="AK51" s="514">
        <f t="shared" si="4"/>
        <v>12090</v>
      </c>
      <c r="AL51" s="514">
        <f t="shared" si="5"/>
        <v>412269</v>
      </c>
      <c r="AM51" s="515">
        <f t="shared" si="6"/>
        <v>-13299</v>
      </c>
      <c r="AN51" s="299">
        <f t="shared" si="7"/>
        <v>-3.3333333333333333E-2</v>
      </c>
      <c r="AO51" s="296">
        <f t="shared" si="14"/>
        <v>412269</v>
      </c>
      <c r="AP51" s="274">
        <f t="shared" si="16"/>
        <v>103</v>
      </c>
      <c r="AQ51" s="275">
        <f t="shared" si="17"/>
        <v>16527.96963972603</v>
      </c>
      <c r="AR51" s="275">
        <f t="shared" si="15"/>
        <v>-29826.96963972603</v>
      </c>
      <c r="AS51" s="280">
        <f t="shared" si="18"/>
        <v>-7.4759930921437776E-2</v>
      </c>
    </row>
    <row r="52" spans="2:45" x14ac:dyDescent="0.3">
      <c r="B52" s="287">
        <f t="shared" si="11"/>
        <v>48</v>
      </c>
      <c r="C52" s="272" t="s">
        <v>131</v>
      </c>
      <c r="D52" s="288" t="str">
        <f t="shared" si="12"/>
        <v>Feb-25</v>
      </c>
      <c r="E52" s="288" t="s">
        <v>107</v>
      </c>
      <c r="F52" s="289">
        <v>45709</v>
      </c>
      <c r="G52" s="290" t="s">
        <v>746</v>
      </c>
      <c r="H52" s="291" t="s">
        <v>2592</v>
      </c>
      <c r="I52" s="290" t="s">
        <v>254</v>
      </c>
      <c r="J52" s="387" t="s">
        <v>747</v>
      </c>
      <c r="K52" s="289">
        <v>45709</v>
      </c>
      <c r="L52" s="291" t="s">
        <v>748</v>
      </c>
      <c r="M52" s="289">
        <v>45712</v>
      </c>
      <c r="N52" s="291" t="s">
        <v>255</v>
      </c>
      <c r="O52" s="290" t="s">
        <v>402</v>
      </c>
      <c r="P52" s="291" t="s">
        <v>501</v>
      </c>
      <c r="Q52" s="291" t="s">
        <v>2605</v>
      </c>
      <c r="R52" s="458">
        <v>17270</v>
      </c>
      <c r="S52" s="404">
        <v>34.521000000000001</v>
      </c>
      <c r="T52" s="459">
        <f t="shared" si="1"/>
        <v>596177.67000000004</v>
      </c>
      <c r="U52" s="409" t="s">
        <v>107</v>
      </c>
      <c r="V52" s="288" t="s">
        <v>313</v>
      </c>
      <c r="W52" s="296" t="str">
        <f t="shared" si="13"/>
        <v>Jun-25</v>
      </c>
      <c r="X52" s="297" t="s">
        <v>502</v>
      </c>
      <c r="Y52" s="293" t="s">
        <v>427</v>
      </c>
      <c r="Z52" s="297">
        <v>45810</v>
      </c>
      <c r="AA52" s="293" t="s">
        <v>421</v>
      </c>
      <c r="AB52" s="293" t="s">
        <v>2596</v>
      </c>
      <c r="AC52" s="298" t="s">
        <v>501</v>
      </c>
      <c r="AD52" s="298" t="s">
        <v>501</v>
      </c>
      <c r="AE52" s="512">
        <v>8510</v>
      </c>
      <c r="AF52" s="513">
        <v>33</v>
      </c>
      <c r="AG52" s="514">
        <f t="shared" si="2"/>
        <v>280830</v>
      </c>
      <c r="AH52" s="514">
        <v>0</v>
      </c>
      <c r="AI52" s="514">
        <f t="shared" si="3"/>
        <v>280830</v>
      </c>
      <c r="AJ52" s="514">
        <v>0</v>
      </c>
      <c r="AK52" s="514">
        <f t="shared" si="4"/>
        <v>8510</v>
      </c>
      <c r="AL52" s="514">
        <f t="shared" si="5"/>
        <v>293773.71000000002</v>
      </c>
      <c r="AM52" s="515">
        <f t="shared" si="6"/>
        <v>-12943.710000000021</v>
      </c>
      <c r="AN52" s="299">
        <f t="shared" si="7"/>
        <v>-4.6090909090909168E-2</v>
      </c>
      <c r="AO52" s="296">
        <f t="shared" si="14"/>
        <v>293773.71000000002</v>
      </c>
      <c r="AP52" s="274">
        <f t="shared" si="16"/>
        <v>101</v>
      </c>
      <c r="AQ52" s="275">
        <f t="shared" si="17"/>
        <v>15424.668018205482</v>
      </c>
      <c r="AR52" s="275">
        <f t="shared" si="15"/>
        <v>-28368.378018205505</v>
      </c>
      <c r="AS52" s="280">
        <f t="shared" si="18"/>
        <v>-0.10101619491580495</v>
      </c>
    </row>
    <row r="53" spans="2:45" x14ac:dyDescent="0.3">
      <c r="B53" s="287">
        <f t="shared" si="11"/>
        <v>49</v>
      </c>
      <c r="C53" s="272" t="s">
        <v>131</v>
      </c>
      <c r="D53" s="288" t="str">
        <f t="shared" si="12"/>
        <v>Mar-25</v>
      </c>
      <c r="E53" s="288" t="s">
        <v>107</v>
      </c>
      <c r="F53" s="289">
        <v>45741</v>
      </c>
      <c r="G53" s="290" t="s">
        <v>749</v>
      </c>
      <c r="H53" s="291" t="s">
        <v>2595</v>
      </c>
      <c r="I53" s="290" t="s">
        <v>750</v>
      </c>
      <c r="J53" s="387" t="s">
        <v>751</v>
      </c>
      <c r="K53" s="289">
        <v>45741</v>
      </c>
      <c r="L53" s="291" t="s">
        <v>752</v>
      </c>
      <c r="M53" s="289">
        <v>45741</v>
      </c>
      <c r="N53" s="291" t="s">
        <v>255</v>
      </c>
      <c r="O53" s="290" t="s">
        <v>299</v>
      </c>
      <c r="P53" s="291" t="s">
        <v>500</v>
      </c>
      <c r="Q53" s="291" t="s">
        <v>2606</v>
      </c>
      <c r="R53" s="458">
        <v>13040</v>
      </c>
      <c r="S53" s="404">
        <v>34</v>
      </c>
      <c r="T53" s="459">
        <f t="shared" si="1"/>
        <v>443360</v>
      </c>
      <c r="U53" s="409" t="s">
        <v>107</v>
      </c>
      <c r="V53" s="288" t="s">
        <v>313</v>
      </c>
      <c r="W53" s="296" t="str">
        <f t="shared" si="13"/>
        <v>Jun-25</v>
      </c>
      <c r="X53" s="293" t="s">
        <v>502</v>
      </c>
      <c r="Y53" s="293" t="s">
        <v>428</v>
      </c>
      <c r="Z53" s="297">
        <v>45812</v>
      </c>
      <c r="AA53" s="293" t="s">
        <v>422</v>
      </c>
      <c r="AB53" s="293" t="s">
        <v>2596</v>
      </c>
      <c r="AC53" s="298" t="s">
        <v>501</v>
      </c>
      <c r="AD53" s="298" t="s">
        <v>501</v>
      </c>
      <c r="AE53" s="512">
        <v>4460</v>
      </c>
      <c r="AF53" s="513">
        <v>33</v>
      </c>
      <c r="AG53" s="514">
        <f t="shared" si="2"/>
        <v>147180</v>
      </c>
      <c r="AH53" s="514">
        <v>0</v>
      </c>
      <c r="AI53" s="514">
        <f t="shared" si="3"/>
        <v>147180</v>
      </c>
      <c r="AJ53" s="514">
        <v>0</v>
      </c>
      <c r="AK53" s="514">
        <f t="shared" si="4"/>
        <v>4460</v>
      </c>
      <c r="AL53" s="514">
        <f t="shared" si="5"/>
        <v>151640</v>
      </c>
      <c r="AM53" s="515">
        <f t="shared" si="6"/>
        <v>-4460</v>
      </c>
      <c r="AN53" s="299">
        <f t="shared" si="7"/>
        <v>-3.0303030303030304E-2</v>
      </c>
      <c r="AO53" s="296">
        <f t="shared" si="14"/>
        <v>151640</v>
      </c>
      <c r="AP53" s="274">
        <f t="shared" si="16"/>
        <v>71</v>
      </c>
      <c r="AQ53" s="275">
        <f t="shared" si="17"/>
        <v>8063.6859178082204</v>
      </c>
      <c r="AR53" s="275">
        <f t="shared" si="15"/>
        <v>-12523.68591780822</v>
      </c>
      <c r="AS53" s="280">
        <f t="shared" si="18"/>
        <v>-8.5090949298873619E-2</v>
      </c>
    </row>
    <row r="54" spans="2:45" x14ac:dyDescent="0.3">
      <c r="B54" s="287">
        <f t="shared" si="11"/>
        <v>50</v>
      </c>
      <c r="C54" s="272" t="s">
        <v>174</v>
      </c>
      <c r="D54" s="288" t="str">
        <f t="shared" si="12"/>
        <v>Apr-25</v>
      </c>
      <c r="E54" s="288" t="s">
        <v>107</v>
      </c>
      <c r="F54" s="289">
        <v>45759</v>
      </c>
      <c r="G54" s="290" t="s">
        <v>262</v>
      </c>
      <c r="H54" s="291" t="s">
        <v>2592</v>
      </c>
      <c r="I54" s="290" t="s">
        <v>254</v>
      </c>
      <c r="J54" s="387" t="s">
        <v>760</v>
      </c>
      <c r="K54" s="289">
        <v>45759</v>
      </c>
      <c r="L54" s="291" t="s">
        <v>761</v>
      </c>
      <c r="M54" s="289">
        <v>45759</v>
      </c>
      <c r="N54" s="291" t="s">
        <v>255</v>
      </c>
      <c r="O54" s="290" t="s">
        <v>300</v>
      </c>
      <c r="P54" s="291" t="s">
        <v>500</v>
      </c>
      <c r="Q54" s="291" t="s">
        <v>757</v>
      </c>
      <c r="R54" s="458">
        <v>2380</v>
      </c>
      <c r="S54" s="404">
        <v>31.120999999999999</v>
      </c>
      <c r="T54" s="459">
        <f t="shared" si="1"/>
        <v>74067.98</v>
      </c>
      <c r="U54" s="409" t="s">
        <v>107</v>
      </c>
      <c r="V54" s="288" t="s">
        <v>313</v>
      </c>
      <c r="W54" s="296" t="str">
        <f t="shared" si="13"/>
        <v>Jun-25</v>
      </c>
      <c r="X54" s="293" t="s">
        <v>502</v>
      </c>
      <c r="Y54" s="293" t="s">
        <v>429</v>
      </c>
      <c r="Z54" s="297">
        <v>45816</v>
      </c>
      <c r="AA54" s="293" t="s">
        <v>423</v>
      </c>
      <c r="AB54" s="293" t="s">
        <v>2596</v>
      </c>
      <c r="AC54" s="298" t="s">
        <v>501</v>
      </c>
      <c r="AD54" s="298" t="s">
        <v>501</v>
      </c>
      <c r="AE54" s="512">
        <v>6630</v>
      </c>
      <c r="AF54" s="513">
        <v>33</v>
      </c>
      <c r="AG54" s="514">
        <f t="shared" si="2"/>
        <v>218790</v>
      </c>
      <c r="AH54" s="514">
        <v>0</v>
      </c>
      <c r="AI54" s="514">
        <f t="shared" si="3"/>
        <v>218790</v>
      </c>
      <c r="AJ54" s="514">
        <v>0</v>
      </c>
      <c r="AK54" s="514">
        <f t="shared" si="4"/>
        <v>6630</v>
      </c>
      <c r="AL54" s="514">
        <f t="shared" si="5"/>
        <v>206332.22999999998</v>
      </c>
      <c r="AM54" s="515">
        <f t="shared" si="6"/>
        <v>12457.770000000019</v>
      </c>
      <c r="AN54" s="299">
        <f t="shared" si="7"/>
        <v>5.6939393939394026E-2</v>
      </c>
      <c r="AO54" s="296">
        <f t="shared" si="14"/>
        <v>206332.22999999998</v>
      </c>
      <c r="AP54" s="274">
        <f t="shared" si="16"/>
        <v>57</v>
      </c>
      <c r="AQ54" s="275">
        <f t="shared" si="17"/>
        <v>1081.4939709863013</v>
      </c>
      <c r="AR54" s="275">
        <f t="shared" si="15"/>
        <v>11376.276029013718</v>
      </c>
      <c r="AS54" s="280">
        <f t="shared" si="18"/>
        <v>5.1996325375993954E-2</v>
      </c>
    </row>
    <row r="55" spans="2:45" x14ac:dyDescent="0.3">
      <c r="B55" s="287">
        <f t="shared" si="11"/>
        <v>51</v>
      </c>
      <c r="C55" s="272" t="s">
        <v>174</v>
      </c>
      <c r="D55" s="288" t="str">
        <f t="shared" si="12"/>
        <v>Apr-25</v>
      </c>
      <c r="E55" s="288" t="s">
        <v>107</v>
      </c>
      <c r="F55" s="289">
        <v>45759</v>
      </c>
      <c r="G55" s="290" t="s">
        <v>261</v>
      </c>
      <c r="H55" s="291" t="s">
        <v>2592</v>
      </c>
      <c r="I55" s="290" t="s">
        <v>254</v>
      </c>
      <c r="J55" s="387" t="s">
        <v>758</v>
      </c>
      <c r="K55" s="289">
        <v>45759</v>
      </c>
      <c r="L55" s="291" t="s">
        <v>759</v>
      </c>
      <c r="M55" s="289">
        <v>45759</v>
      </c>
      <c r="N55" s="291" t="s">
        <v>255</v>
      </c>
      <c r="O55" s="290" t="s">
        <v>299</v>
      </c>
      <c r="P55" s="291" t="s">
        <v>500</v>
      </c>
      <c r="Q55" s="291" t="s">
        <v>757</v>
      </c>
      <c r="R55" s="458">
        <v>2490</v>
      </c>
      <c r="S55" s="404">
        <v>31.120999999999999</v>
      </c>
      <c r="T55" s="459">
        <f t="shared" si="1"/>
        <v>77491.289999999994</v>
      </c>
      <c r="U55" s="409" t="s">
        <v>107</v>
      </c>
      <c r="V55" s="288" t="s">
        <v>313</v>
      </c>
      <c r="W55" s="296" t="str">
        <f t="shared" si="13"/>
        <v>Jun-25</v>
      </c>
      <c r="X55" s="293" t="s">
        <v>502</v>
      </c>
      <c r="Y55" s="293" t="s">
        <v>424</v>
      </c>
      <c r="Z55" s="297">
        <v>45816</v>
      </c>
      <c r="AA55" s="293" t="s">
        <v>418</v>
      </c>
      <c r="AB55" s="293" t="s">
        <v>2596</v>
      </c>
      <c r="AC55" s="298" t="s">
        <v>501</v>
      </c>
      <c r="AD55" s="298" t="s">
        <v>501</v>
      </c>
      <c r="AE55" s="512">
        <v>7050</v>
      </c>
      <c r="AF55" s="513">
        <v>33</v>
      </c>
      <c r="AG55" s="514">
        <f t="shared" si="2"/>
        <v>232650</v>
      </c>
      <c r="AH55" s="514">
        <v>0</v>
      </c>
      <c r="AI55" s="514">
        <f t="shared" si="3"/>
        <v>232650</v>
      </c>
      <c r="AJ55" s="514">
        <v>0</v>
      </c>
      <c r="AK55" s="514">
        <f t="shared" si="4"/>
        <v>7050</v>
      </c>
      <c r="AL55" s="514">
        <f t="shared" si="5"/>
        <v>219403.05</v>
      </c>
      <c r="AM55" s="515">
        <f t="shared" si="6"/>
        <v>13246.950000000012</v>
      </c>
      <c r="AN55" s="299">
        <f t="shared" si="7"/>
        <v>5.6939393939393991E-2</v>
      </c>
      <c r="AO55" s="296">
        <f t="shared" si="14"/>
        <v>219403.05</v>
      </c>
      <c r="AP55" s="274">
        <f t="shared" si="16"/>
        <v>57</v>
      </c>
      <c r="AQ55" s="275">
        <f t="shared" si="17"/>
        <v>1131.4789864520546</v>
      </c>
      <c r="AR55" s="275">
        <f t="shared" si="15"/>
        <v>12115.471013547956</v>
      </c>
      <c r="AS55" s="280">
        <f t="shared" si="18"/>
        <v>5.2075955355890637E-2</v>
      </c>
    </row>
    <row r="56" spans="2:45" x14ac:dyDescent="0.3">
      <c r="B56" s="287">
        <f t="shared" si="11"/>
        <v>52</v>
      </c>
      <c r="C56" s="272" t="s">
        <v>174</v>
      </c>
      <c r="D56" s="288" t="str">
        <f t="shared" si="12"/>
        <v>Apr-25</v>
      </c>
      <c r="E56" s="288" t="s">
        <v>107</v>
      </c>
      <c r="F56" s="289">
        <v>45759</v>
      </c>
      <c r="G56" s="290" t="s">
        <v>260</v>
      </c>
      <c r="H56" s="291" t="s">
        <v>2592</v>
      </c>
      <c r="I56" s="290" t="s">
        <v>254</v>
      </c>
      <c r="J56" s="387" t="s">
        <v>755</v>
      </c>
      <c r="K56" s="289">
        <v>45759</v>
      </c>
      <c r="L56" s="291" t="s">
        <v>756</v>
      </c>
      <c r="M56" s="289">
        <v>45759</v>
      </c>
      <c r="N56" s="291" t="s">
        <v>255</v>
      </c>
      <c r="O56" s="290" t="s">
        <v>631</v>
      </c>
      <c r="P56" s="291" t="s">
        <v>500</v>
      </c>
      <c r="Q56" s="291" t="s">
        <v>757</v>
      </c>
      <c r="R56" s="458">
        <v>2900</v>
      </c>
      <c r="S56" s="404">
        <v>31.120999999999999</v>
      </c>
      <c r="T56" s="459">
        <f t="shared" si="1"/>
        <v>90250.9</v>
      </c>
      <c r="U56" s="409" t="s">
        <v>107</v>
      </c>
      <c r="V56" s="288" t="s">
        <v>313</v>
      </c>
      <c r="W56" s="296" t="str">
        <f t="shared" si="13"/>
        <v>Jun-25</v>
      </c>
      <c r="X56" s="293" t="s">
        <v>502</v>
      </c>
      <c r="Y56" s="293" t="s">
        <v>434</v>
      </c>
      <c r="Z56" s="297">
        <v>45817</v>
      </c>
      <c r="AA56" s="293" t="s">
        <v>436</v>
      </c>
      <c r="AB56" s="293" t="s">
        <v>373</v>
      </c>
      <c r="AC56" s="298" t="s">
        <v>500</v>
      </c>
      <c r="AD56" s="298" t="s">
        <v>2630</v>
      </c>
      <c r="AE56" s="512">
        <v>23940</v>
      </c>
      <c r="AF56" s="513">
        <v>38</v>
      </c>
      <c r="AG56" s="514">
        <f t="shared" si="2"/>
        <v>909720</v>
      </c>
      <c r="AH56" s="514">
        <v>0</v>
      </c>
      <c r="AI56" s="514">
        <f t="shared" si="3"/>
        <v>909720</v>
      </c>
      <c r="AJ56" s="514">
        <v>0</v>
      </c>
      <c r="AK56" s="514">
        <f t="shared" si="4"/>
        <v>23940</v>
      </c>
      <c r="AL56" s="514">
        <f t="shared" si="5"/>
        <v>745036.74</v>
      </c>
      <c r="AM56" s="515">
        <f t="shared" si="6"/>
        <v>164683.26</v>
      </c>
      <c r="AN56" s="299">
        <f t="shared" si="7"/>
        <v>0.1810263157894737</v>
      </c>
      <c r="AO56" s="296">
        <f t="shared" si="14"/>
        <v>745036.74</v>
      </c>
      <c r="AP56" s="274">
        <f t="shared" si="16"/>
        <v>58</v>
      </c>
      <c r="AQ56" s="275">
        <f t="shared" si="17"/>
        <v>1340.9058375342463</v>
      </c>
      <c r="AR56" s="275">
        <f t="shared" si="15"/>
        <v>163342.35416246575</v>
      </c>
      <c r="AS56" s="280">
        <f t="shared" si="18"/>
        <v>0.1795523393598753</v>
      </c>
    </row>
    <row r="57" spans="2:45" x14ac:dyDescent="0.3">
      <c r="B57" s="287">
        <f t="shared" si="11"/>
        <v>53</v>
      </c>
      <c r="C57" s="272" t="s">
        <v>174</v>
      </c>
      <c r="D57" s="288" t="str">
        <f t="shared" si="12"/>
        <v>Apr-25</v>
      </c>
      <c r="E57" s="288" t="s">
        <v>107</v>
      </c>
      <c r="F57" s="289">
        <v>45761</v>
      </c>
      <c r="G57" s="290" t="s">
        <v>264</v>
      </c>
      <c r="H57" s="291" t="s">
        <v>2592</v>
      </c>
      <c r="I57" s="290" t="s">
        <v>254</v>
      </c>
      <c r="J57" s="387" t="s">
        <v>762</v>
      </c>
      <c r="K57" s="289">
        <v>45761</v>
      </c>
      <c r="L57" s="291" t="s">
        <v>763</v>
      </c>
      <c r="M57" s="289">
        <v>45762</v>
      </c>
      <c r="N57" s="291" t="s">
        <v>255</v>
      </c>
      <c r="O57" s="290" t="s">
        <v>299</v>
      </c>
      <c r="P57" s="291" t="s">
        <v>501</v>
      </c>
      <c r="Q57" s="291" t="s">
        <v>2602</v>
      </c>
      <c r="R57" s="458">
        <v>18010</v>
      </c>
      <c r="S57" s="404">
        <v>32.220999999999997</v>
      </c>
      <c r="T57" s="459">
        <f t="shared" si="1"/>
        <v>580300.21</v>
      </c>
      <c r="U57" s="409" t="s">
        <v>107</v>
      </c>
      <c r="V57" s="288" t="s">
        <v>313</v>
      </c>
      <c r="W57" s="296" t="str">
        <f t="shared" si="13"/>
        <v>Jun-25</v>
      </c>
      <c r="X57" s="293" t="s">
        <v>569</v>
      </c>
      <c r="Y57" s="293" t="s">
        <v>435</v>
      </c>
      <c r="Z57" s="297">
        <v>45818</v>
      </c>
      <c r="AA57" s="293" t="s">
        <v>437</v>
      </c>
      <c r="AB57" s="293" t="s">
        <v>571</v>
      </c>
      <c r="AC57" s="298" t="s">
        <v>501</v>
      </c>
      <c r="AD57" s="298" t="s">
        <v>564</v>
      </c>
      <c r="AE57" s="512">
        <v>21210</v>
      </c>
      <c r="AF57" s="513">
        <v>42</v>
      </c>
      <c r="AG57" s="514">
        <f t="shared" si="2"/>
        <v>890820</v>
      </c>
      <c r="AH57" s="514">
        <v>0</v>
      </c>
      <c r="AI57" s="514">
        <f t="shared" si="3"/>
        <v>890820</v>
      </c>
      <c r="AJ57" s="514">
        <v>0</v>
      </c>
      <c r="AK57" s="514">
        <f t="shared" si="4"/>
        <v>21210</v>
      </c>
      <c r="AL57" s="514">
        <f t="shared" si="5"/>
        <v>683407.40999999992</v>
      </c>
      <c r="AM57" s="515">
        <f t="shared" si="6"/>
        <v>207412.59000000008</v>
      </c>
      <c r="AN57" s="299">
        <f t="shared" si="7"/>
        <v>0.23283333333333342</v>
      </c>
      <c r="AO57" s="296">
        <f t="shared" si="14"/>
        <v>683407.40999999992</v>
      </c>
      <c r="AP57" s="274">
        <f t="shared" si="16"/>
        <v>57</v>
      </c>
      <c r="AQ57" s="275">
        <f t="shared" si="17"/>
        <v>8473.1779977945207</v>
      </c>
      <c r="AR57" s="275">
        <f t="shared" si="15"/>
        <v>198939.41200220556</v>
      </c>
      <c r="AS57" s="280">
        <f t="shared" si="18"/>
        <v>0.22332167216969259</v>
      </c>
    </row>
    <row r="58" spans="2:45" x14ac:dyDescent="0.3">
      <c r="B58" s="287">
        <f t="shared" si="11"/>
        <v>54</v>
      </c>
      <c r="C58" s="272" t="s">
        <v>174</v>
      </c>
      <c r="D58" s="288" t="str">
        <f t="shared" si="12"/>
        <v>Apr-25</v>
      </c>
      <c r="E58" s="288" t="s">
        <v>107</v>
      </c>
      <c r="F58" s="289">
        <v>45761</v>
      </c>
      <c r="G58" s="290" t="s">
        <v>265</v>
      </c>
      <c r="H58" s="291" t="s">
        <v>2592</v>
      </c>
      <c r="I58" s="290" t="s">
        <v>254</v>
      </c>
      <c r="J58" s="387" t="s">
        <v>765</v>
      </c>
      <c r="K58" s="289">
        <v>45761</v>
      </c>
      <c r="L58" s="291" t="s">
        <v>766</v>
      </c>
      <c r="M58" s="289">
        <v>45762</v>
      </c>
      <c r="N58" s="291" t="s">
        <v>255</v>
      </c>
      <c r="O58" s="290" t="s">
        <v>314</v>
      </c>
      <c r="P58" s="291" t="s">
        <v>501</v>
      </c>
      <c r="Q58" s="291" t="s">
        <v>2602</v>
      </c>
      <c r="R58" s="458">
        <v>20960</v>
      </c>
      <c r="S58" s="404">
        <v>32.220999999999997</v>
      </c>
      <c r="T58" s="459">
        <f t="shared" si="1"/>
        <v>675352.15999999992</v>
      </c>
      <c r="U58" s="409" t="s">
        <v>107</v>
      </c>
      <c r="V58" s="288" t="s">
        <v>313</v>
      </c>
      <c r="W58" s="296" t="str">
        <f t="shared" si="13"/>
        <v>Jun-25</v>
      </c>
      <c r="X58" s="293" t="s">
        <v>502</v>
      </c>
      <c r="Y58" s="293" t="s">
        <v>453</v>
      </c>
      <c r="Z58" s="297">
        <v>45819</v>
      </c>
      <c r="AA58" s="293" t="s">
        <v>455</v>
      </c>
      <c r="AB58" s="293" t="s">
        <v>2596</v>
      </c>
      <c r="AC58" s="298" t="s">
        <v>501</v>
      </c>
      <c r="AD58" s="298" t="s">
        <v>501</v>
      </c>
      <c r="AE58" s="512">
        <v>11690</v>
      </c>
      <c r="AF58" s="513">
        <v>33</v>
      </c>
      <c r="AG58" s="514">
        <f t="shared" si="2"/>
        <v>385770</v>
      </c>
      <c r="AH58" s="514">
        <v>0</v>
      </c>
      <c r="AI58" s="514">
        <f t="shared" si="3"/>
        <v>385770</v>
      </c>
      <c r="AJ58" s="514">
        <v>0</v>
      </c>
      <c r="AK58" s="514">
        <f t="shared" si="4"/>
        <v>11690</v>
      </c>
      <c r="AL58" s="514">
        <f t="shared" si="5"/>
        <v>376663.48999999993</v>
      </c>
      <c r="AM58" s="515">
        <f t="shared" si="6"/>
        <v>9106.5100000000675</v>
      </c>
      <c r="AN58" s="299">
        <f t="shared" si="7"/>
        <v>2.360606060606078E-2</v>
      </c>
      <c r="AO58" s="296">
        <f t="shared" si="14"/>
        <v>376663.48999999993</v>
      </c>
      <c r="AP58" s="274">
        <f t="shared" si="16"/>
        <v>58</v>
      </c>
      <c r="AQ58" s="275">
        <f t="shared" si="17"/>
        <v>10034.067845698628</v>
      </c>
      <c r="AR58" s="275">
        <f t="shared" si="15"/>
        <v>-927.55784569856041</v>
      </c>
      <c r="AS58" s="280">
        <f t="shared" si="18"/>
        <v>-2.4044322930724536E-3</v>
      </c>
    </row>
    <row r="59" spans="2:45" x14ac:dyDescent="0.3">
      <c r="B59" s="287">
        <f t="shared" si="11"/>
        <v>55</v>
      </c>
      <c r="C59" s="272" t="s">
        <v>174</v>
      </c>
      <c r="D59" s="288" t="str">
        <f t="shared" si="12"/>
        <v>Apr-25</v>
      </c>
      <c r="E59" s="288" t="s">
        <v>107</v>
      </c>
      <c r="F59" s="289">
        <v>45761</v>
      </c>
      <c r="G59" s="290" t="s">
        <v>266</v>
      </c>
      <c r="H59" s="291" t="s">
        <v>2592</v>
      </c>
      <c r="I59" s="290" t="s">
        <v>254</v>
      </c>
      <c r="J59" s="387" t="s">
        <v>767</v>
      </c>
      <c r="K59" s="289">
        <v>45761</v>
      </c>
      <c r="L59" s="291" t="s">
        <v>768</v>
      </c>
      <c r="M59" s="289">
        <v>45762</v>
      </c>
      <c r="N59" s="291" t="s">
        <v>255</v>
      </c>
      <c r="O59" s="290" t="s">
        <v>402</v>
      </c>
      <c r="P59" s="291" t="s">
        <v>501</v>
      </c>
      <c r="Q59" s="291" t="s">
        <v>2602</v>
      </c>
      <c r="R59" s="458">
        <v>22880</v>
      </c>
      <c r="S59" s="404">
        <v>32.220999999999997</v>
      </c>
      <c r="T59" s="459">
        <f t="shared" si="1"/>
        <v>737216.47999999986</v>
      </c>
      <c r="U59" s="409" t="s">
        <v>107</v>
      </c>
      <c r="V59" s="288" t="s">
        <v>313</v>
      </c>
      <c r="W59" s="296" t="str">
        <f t="shared" si="13"/>
        <v>Jun-25</v>
      </c>
      <c r="X59" s="293" t="s">
        <v>569</v>
      </c>
      <c r="Y59" s="293" t="s">
        <v>454</v>
      </c>
      <c r="Z59" s="297">
        <v>45820</v>
      </c>
      <c r="AA59" s="293" t="s">
        <v>456</v>
      </c>
      <c r="AB59" s="293" t="s">
        <v>571</v>
      </c>
      <c r="AC59" s="298" t="s">
        <v>501</v>
      </c>
      <c r="AD59" s="298" t="s">
        <v>564</v>
      </c>
      <c r="AE59" s="512">
        <v>10470</v>
      </c>
      <c r="AF59" s="513">
        <v>42</v>
      </c>
      <c r="AG59" s="514">
        <f t="shared" si="2"/>
        <v>439740</v>
      </c>
      <c r="AH59" s="514">
        <v>0</v>
      </c>
      <c r="AI59" s="514">
        <f t="shared" si="3"/>
        <v>439740</v>
      </c>
      <c r="AJ59" s="514">
        <v>0</v>
      </c>
      <c r="AK59" s="514">
        <f t="shared" si="4"/>
        <v>10470</v>
      </c>
      <c r="AL59" s="514">
        <f t="shared" si="5"/>
        <v>337353.86999999994</v>
      </c>
      <c r="AM59" s="515">
        <f t="shared" si="6"/>
        <v>102386.13000000006</v>
      </c>
      <c r="AN59" s="299">
        <f t="shared" si="7"/>
        <v>0.23283333333333348</v>
      </c>
      <c r="AO59" s="296">
        <f t="shared" si="14"/>
        <v>337353.86999999994</v>
      </c>
      <c r="AP59" s="274">
        <f t="shared" si="16"/>
        <v>59</v>
      </c>
      <c r="AQ59" s="275">
        <f t="shared" si="17"/>
        <v>11142.067703890409</v>
      </c>
      <c r="AR59" s="275">
        <f t="shared" si="15"/>
        <v>91244.062296109652</v>
      </c>
      <c r="AS59" s="280">
        <f t="shared" si="18"/>
        <v>0.20749547982014294</v>
      </c>
    </row>
    <row r="60" spans="2:45" x14ac:dyDescent="0.3">
      <c r="B60" s="287">
        <f t="shared" si="11"/>
        <v>56</v>
      </c>
      <c r="C60" s="272" t="s">
        <v>174</v>
      </c>
      <c r="D60" s="288" t="str">
        <f t="shared" si="12"/>
        <v>Apr-25</v>
      </c>
      <c r="E60" s="288" t="s">
        <v>107</v>
      </c>
      <c r="F60" s="289">
        <v>45761</v>
      </c>
      <c r="G60" s="290" t="s">
        <v>267</v>
      </c>
      <c r="H60" s="291" t="s">
        <v>2592</v>
      </c>
      <c r="I60" s="290" t="s">
        <v>254</v>
      </c>
      <c r="J60" s="387" t="s">
        <v>769</v>
      </c>
      <c r="K60" s="289">
        <v>45761</v>
      </c>
      <c r="L60" s="291" t="s">
        <v>770</v>
      </c>
      <c r="M60" s="289">
        <v>45762</v>
      </c>
      <c r="N60" s="291" t="s">
        <v>255</v>
      </c>
      <c r="O60" s="290" t="s">
        <v>559</v>
      </c>
      <c r="P60" s="291" t="s">
        <v>501</v>
      </c>
      <c r="Q60" s="291" t="s">
        <v>2602</v>
      </c>
      <c r="R60" s="458">
        <v>14110</v>
      </c>
      <c r="S60" s="404">
        <v>32.220999999999997</v>
      </c>
      <c r="T60" s="459">
        <f t="shared" si="1"/>
        <v>454638.30999999994</v>
      </c>
      <c r="U60" s="409" t="s">
        <v>107</v>
      </c>
      <c r="V60" s="288" t="s">
        <v>313</v>
      </c>
      <c r="W60" s="296" t="str">
        <f t="shared" si="13"/>
        <v>Jun-25</v>
      </c>
      <c r="X60" s="293" t="s">
        <v>500</v>
      </c>
      <c r="Y60" s="293" t="s">
        <v>470</v>
      </c>
      <c r="Z60" s="297">
        <v>45825</v>
      </c>
      <c r="AA60" s="293" t="s">
        <v>469</v>
      </c>
      <c r="AB60" s="293" t="s">
        <v>373</v>
      </c>
      <c r="AC60" s="298" t="s">
        <v>500</v>
      </c>
      <c r="AD60" s="298" t="s">
        <v>2630</v>
      </c>
      <c r="AE60" s="512">
        <v>24580</v>
      </c>
      <c r="AF60" s="513">
        <v>38</v>
      </c>
      <c r="AG60" s="514">
        <f t="shared" si="2"/>
        <v>934040</v>
      </c>
      <c r="AH60" s="514">
        <v>-24580</v>
      </c>
      <c r="AI60" s="514">
        <f t="shared" si="3"/>
        <v>909460</v>
      </c>
      <c r="AJ60" s="514">
        <v>0</v>
      </c>
      <c r="AK60" s="514">
        <f t="shared" si="4"/>
        <v>24580</v>
      </c>
      <c r="AL60" s="514">
        <f t="shared" si="5"/>
        <v>791992.17999999993</v>
      </c>
      <c r="AM60" s="515">
        <f t="shared" si="6"/>
        <v>117467.82000000007</v>
      </c>
      <c r="AN60" s="299">
        <f t="shared" si="7"/>
        <v>0.12916216216216223</v>
      </c>
      <c r="AO60" s="296">
        <f t="shared" si="14"/>
        <v>791992.17999999993</v>
      </c>
      <c r="AP60" s="274">
        <f t="shared" si="16"/>
        <v>64</v>
      </c>
      <c r="AQ60" s="275">
        <f t="shared" si="17"/>
        <v>7453.5771151780818</v>
      </c>
      <c r="AR60" s="275">
        <f t="shared" si="15"/>
        <v>110014.24288482199</v>
      </c>
      <c r="AS60" s="280">
        <f t="shared" si="18"/>
        <v>0.12096655475207484</v>
      </c>
    </row>
    <row r="61" spans="2:45" x14ac:dyDescent="0.3">
      <c r="B61" s="287">
        <f t="shared" si="11"/>
        <v>57</v>
      </c>
      <c r="C61" s="272" t="s">
        <v>174</v>
      </c>
      <c r="D61" s="288" t="str">
        <f t="shared" si="12"/>
        <v>Apr-25</v>
      </c>
      <c r="E61" s="288" t="s">
        <v>107</v>
      </c>
      <c r="F61" s="289">
        <v>45763</v>
      </c>
      <c r="G61" s="290" t="s">
        <v>269</v>
      </c>
      <c r="H61" s="291" t="s">
        <v>2593</v>
      </c>
      <c r="I61" s="290" t="s">
        <v>298</v>
      </c>
      <c r="J61" s="387" t="s">
        <v>771</v>
      </c>
      <c r="K61" s="289">
        <v>45763</v>
      </c>
      <c r="L61" s="291" t="s">
        <v>772</v>
      </c>
      <c r="M61" s="289">
        <v>45763</v>
      </c>
      <c r="N61" s="291" t="s">
        <v>255</v>
      </c>
      <c r="O61" s="290" t="s">
        <v>299</v>
      </c>
      <c r="P61" s="291" t="s">
        <v>500</v>
      </c>
      <c r="Q61" s="291" t="s">
        <v>757</v>
      </c>
      <c r="R61" s="458">
        <v>5020</v>
      </c>
      <c r="S61" s="404">
        <v>30.151</v>
      </c>
      <c r="T61" s="459">
        <f t="shared" si="1"/>
        <v>151358.01999999999</v>
      </c>
      <c r="U61" s="409" t="s">
        <v>107</v>
      </c>
      <c r="V61" s="288" t="s">
        <v>313</v>
      </c>
      <c r="W61" s="296" t="str">
        <f t="shared" si="13"/>
        <v>Jun-25</v>
      </c>
      <c r="X61" s="293" t="s">
        <v>2617</v>
      </c>
      <c r="Y61" s="293" t="s">
        <v>487</v>
      </c>
      <c r="Z61" s="297">
        <v>45830</v>
      </c>
      <c r="AA61" s="293" t="s">
        <v>486</v>
      </c>
      <c r="AB61" s="293" t="s">
        <v>563</v>
      </c>
      <c r="AC61" s="298" t="s">
        <v>501</v>
      </c>
      <c r="AD61" s="298" t="s">
        <v>501</v>
      </c>
      <c r="AE61" s="512">
        <v>18950</v>
      </c>
      <c r="AF61" s="513">
        <v>36.5</v>
      </c>
      <c r="AG61" s="514">
        <f t="shared" si="2"/>
        <v>691675</v>
      </c>
      <c r="AH61" s="514">
        <v>-2555</v>
      </c>
      <c r="AI61" s="514">
        <f t="shared" si="3"/>
        <v>689120</v>
      </c>
      <c r="AJ61" s="514">
        <v>0</v>
      </c>
      <c r="AK61" s="514">
        <f t="shared" si="4"/>
        <v>18950</v>
      </c>
      <c r="AL61" s="514">
        <f t="shared" si="5"/>
        <v>571361.44999999995</v>
      </c>
      <c r="AM61" s="515">
        <f t="shared" si="6"/>
        <v>117758.55000000005</v>
      </c>
      <c r="AN61" s="299">
        <f t="shared" si="7"/>
        <v>0.1708825023218018</v>
      </c>
      <c r="AO61" s="296">
        <f t="shared" si="14"/>
        <v>571361.44999999995</v>
      </c>
      <c r="AP61" s="274">
        <f t="shared" si="16"/>
        <v>67</v>
      </c>
      <c r="AQ61" s="275">
        <f t="shared" si="17"/>
        <v>2597.7597706575339</v>
      </c>
      <c r="AR61" s="275">
        <f t="shared" si="15"/>
        <v>115160.79022934251</v>
      </c>
      <c r="AS61" s="280">
        <f t="shared" si="18"/>
        <v>0.16711282538504543</v>
      </c>
    </row>
    <row r="62" spans="2:45" x14ac:dyDescent="0.3">
      <c r="B62" s="287">
        <f t="shared" si="11"/>
        <v>58</v>
      </c>
      <c r="C62" s="272" t="s">
        <v>174</v>
      </c>
      <c r="D62" s="288" t="str">
        <f t="shared" si="12"/>
        <v>Apr-25</v>
      </c>
      <c r="E62" s="288" t="s">
        <v>107</v>
      </c>
      <c r="F62" s="289">
        <v>45763</v>
      </c>
      <c r="G62" s="290" t="s">
        <v>272</v>
      </c>
      <c r="H62" s="291" t="s">
        <v>2593</v>
      </c>
      <c r="I62" s="290" t="s">
        <v>298</v>
      </c>
      <c r="J62" s="387" t="s">
        <v>773</v>
      </c>
      <c r="K62" s="289">
        <v>45763</v>
      </c>
      <c r="L62" s="291" t="s">
        <v>774</v>
      </c>
      <c r="M62" s="289">
        <v>45763</v>
      </c>
      <c r="N62" s="291" t="s">
        <v>255</v>
      </c>
      <c r="O62" s="290" t="s">
        <v>314</v>
      </c>
      <c r="P62" s="291" t="s">
        <v>500</v>
      </c>
      <c r="Q62" s="291" t="s">
        <v>757</v>
      </c>
      <c r="R62" s="458">
        <v>5200</v>
      </c>
      <c r="S62" s="404">
        <v>30.151</v>
      </c>
      <c r="T62" s="459">
        <f t="shared" si="1"/>
        <v>156785.20000000001</v>
      </c>
      <c r="U62" s="409" t="s">
        <v>107</v>
      </c>
      <c r="V62" s="288" t="s">
        <v>313</v>
      </c>
      <c r="W62" s="296" t="str">
        <f t="shared" si="13"/>
        <v>Jun-25</v>
      </c>
      <c r="X62" s="293" t="s">
        <v>500</v>
      </c>
      <c r="Y62" s="293" t="s">
        <v>506</v>
      </c>
      <c r="Z62" s="297">
        <v>45832</v>
      </c>
      <c r="AA62" s="293" t="s">
        <v>504</v>
      </c>
      <c r="AB62" s="293" t="s">
        <v>373</v>
      </c>
      <c r="AC62" s="298" t="s">
        <v>500</v>
      </c>
      <c r="AD62" s="298" t="s">
        <v>2630</v>
      </c>
      <c r="AE62" s="512">
        <v>11940</v>
      </c>
      <c r="AF62" s="513">
        <v>35</v>
      </c>
      <c r="AG62" s="514">
        <f t="shared" si="2"/>
        <v>417900</v>
      </c>
      <c r="AH62" s="514">
        <v>0</v>
      </c>
      <c r="AI62" s="514">
        <f t="shared" si="3"/>
        <v>417900</v>
      </c>
      <c r="AJ62" s="514">
        <v>0</v>
      </c>
      <c r="AK62" s="514">
        <f t="shared" si="4"/>
        <v>11940</v>
      </c>
      <c r="AL62" s="514">
        <f t="shared" si="5"/>
        <v>360002.94</v>
      </c>
      <c r="AM62" s="515">
        <f t="shared" si="6"/>
        <v>57897.06</v>
      </c>
      <c r="AN62" s="299">
        <f t="shared" si="7"/>
        <v>0.13854285714285713</v>
      </c>
      <c r="AO62" s="296">
        <f t="shared" si="14"/>
        <v>360002.94</v>
      </c>
      <c r="AP62" s="274">
        <f t="shared" si="16"/>
        <v>69</v>
      </c>
      <c r="AQ62" s="275">
        <f t="shared" si="17"/>
        <v>2771.2321035616442</v>
      </c>
      <c r="AR62" s="275">
        <f t="shared" si="15"/>
        <v>55125.82789643835</v>
      </c>
      <c r="AS62" s="280">
        <f t="shared" si="18"/>
        <v>0.13191152882612669</v>
      </c>
    </row>
    <row r="63" spans="2:45" x14ac:dyDescent="0.3">
      <c r="B63" s="287">
        <f t="shared" si="11"/>
        <v>59</v>
      </c>
      <c r="C63" s="272" t="s">
        <v>174</v>
      </c>
      <c r="D63" s="288" t="str">
        <f t="shared" si="12"/>
        <v>Apr-25</v>
      </c>
      <c r="E63" s="288" t="s">
        <v>107</v>
      </c>
      <c r="F63" s="289">
        <v>45765</v>
      </c>
      <c r="G63" s="290" t="s">
        <v>283</v>
      </c>
      <c r="H63" s="291" t="s">
        <v>2592</v>
      </c>
      <c r="I63" s="290" t="s">
        <v>254</v>
      </c>
      <c r="J63" s="387" t="s">
        <v>778</v>
      </c>
      <c r="K63" s="289">
        <v>45765</v>
      </c>
      <c r="L63" s="291" t="s">
        <v>779</v>
      </c>
      <c r="M63" s="289">
        <v>45765</v>
      </c>
      <c r="N63" s="291" t="s">
        <v>255</v>
      </c>
      <c r="O63" s="290" t="s">
        <v>314</v>
      </c>
      <c r="P63" s="291" t="s">
        <v>501</v>
      </c>
      <c r="Q63" s="291" t="s">
        <v>2602</v>
      </c>
      <c r="R63" s="458">
        <v>10770</v>
      </c>
      <c r="S63" s="404">
        <v>32.220999999999997</v>
      </c>
      <c r="T63" s="459">
        <f t="shared" si="1"/>
        <v>347020.17</v>
      </c>
      <c r="U63" s="409" t="s">
        <v>107</v>
      </c>
      <c r="V63" s="288" t="s">
        <v>313</v>
      </c>
      <c r="W63" s="296" t="str">
        <f t="shared" si="13"/>
        <v>Jun-25</v>
      </c>
      <c r="X63" s="293" t="s">
        <v>500</v>
      </c>
      <c r="Y63" s="293" t="s">
        <v>507</v>
      </c>
      <c r="Z63" s="297">
        <v>45832</v>
      </c>
      <c r="AA63" s="293" t="s">
        <v>505</v>
      </c>
      <c r="AB63" s="293" t="s">
        <v>373</v>
      </c>
      <c r="AC63" s="298" t="s">
        <v>500</v>
      </c>
      <c r="AD63" s="298" t="s">
        <v>2630</v>
      </c>
      <c r="AE63" s="512">
        <v>11640</v>
      </c>
      <c r="AF63" s="513">
        <v>35</v>
      </c>
      <c r="AG63" s="514">
        <f t="shared" si="2"/>
        <v>407400</v>
      </c>
      <c r="AH63" s="514">
        <v>-2910</v>
      </c>
      <c r="AI63" s="514">
        <f t="shared" si="3"/>
        <v>404490</v>
      </c>
      <c r="AJ63" s="514">
        <v>0</v>
      </c>
      <c r="AK63" s="514">
        <f t="shared" si="4"/>
        <v>11640</v>
      </c>
      <c r="AL63" s="514">
        <f t="shared" si="5"/>
        <v>375052.43999999994</v>
      </c>
      <c r="AM63" s="515">
        <f t="shared" si="6"/>
        <v>29437.560000000056</v>
      </c>
      <c r="AN63" s="299">
        <f t="shared" si="7"/>
        <v>7.2776978417266325E-2</v>
      </c>
      <c r="AO63" s="296">
        <f t="shared" si="14"/>
        <v>375052.43999999994</v>
      </c>
      <c r="AP63" s="274">
        <f t="shared" si="16"/>
        <v>67</v>
      </c>
      <c r="AQ63" s="275">
        <f t="shared" si="17"/>
        <v>5955.9119314109585</v>
      </c>
      <c r="AR63" s="275">
        <f t="shared" si="15"/>
        <v>23481.648068589097</v>
      </c>
      <c r="AS63" s="280">
        <f t="shared" si="18"/>
        <v>5.8052481071445762E-2</v>
      </c>
    </row>
    <row r="64" spans="2:45" x14ac:dyDescent="0.3">
      <c r="B64" s="287">
        <f t="shared" si="11"/>
        <v>60</v>
      </c>
      <c r="C64" s="272" t="s">
        <v>174</v>
      </c>
      <c r="D64" s="288" t="str">
        <f t="shared" si="12"/>
        <v>Apr-25</v>
      </c>
      <c r="E64" s="288" t="s">
        <v>107</v>
      </c>
      <c r="F64" s="289">
        <v>45765</v>
      </c>
      <c r="G64" s="290" t="s">
        <v>282</v>
      </c>
      <c r="H64" s="291" t="s">
        <v>2592</v>
      </c>
      <c r="I64" s="290" t="s">
        <v>254</v>
      </c>
      <c r="J64" s="387" t="s">
        <v>775</v>
      </c>
      <c r="K64" s="289">
        <v>45765</v>
      </c>
      <c r="L64" s="291" t="s">
        <v>776</v>
      </c>
      <c r="M64" s="289">
        <v>45765</v>
      </c>
      <c r="N64" s="291" t="s">
        <v>255</v>
      </c>
      <c r="O64" s="290" t="s">
        <v>777</v>
      </c>
      <c r="P64" s="291" t="s">
        <v>501</v>
      </c>
      <c r="Q64" s="291" t="s">
        <v>2602</v>
      </c>
      <c r="R64" s="458">
        <v>24180</v>
      </c>
      <c r="S64" s="404">
        <v>32.220999999999997</v>
      </c>
      <c r="T64" s="459">
        <f t="shared" si="1"/>
        <v>779103.77999999991</v>
      </c>
      <c r="U64" s="409" t="s">
        <v>107</v>
      </c>
      <c r="V64" s="288" t="s">
        <v>313</v>
      </c>
      <c r="W64" s="296" t="str">
        <f t="shared" si="13"/>
        <v>Jun-25</v>
      </c>
      <c r="X64" s="293" t="s">
        <v>569</v>
      </c>
      <c r="Y64" s="293" t="s">
        <v>961</v>
      </c>
      <c r="Z64" s="297">
        <v>45833</v>
      </c>
      <c r="AA64" s="293" t="s">
        <v>964</v>
      </c>
      <c r="AB64" s="293" t="s">
        <v>2622</v>
      </c>
      <c r="AC64" s="298" t="s">
        <v>501</v>
      </c>
      <c r="AD64" s="298" t="s">
        <v>564</v>
      </c>
      <c r="AE64" s="512">
        <v>22110</v>
      </c>
      <c r="AF64" s="513">
        <v>40.5</v>
      </c>
      <c r="AG64" s="514">
        <f t="shared" si="2"/>
        <v>895455</v>
      </c>
      <c r="AH64" s="514">
        <v>0</v>
      </c>
      <c r="AI64" s="514">
        <f t="shared" si="3"/>
        <v>895455</v>
      </c>
      <c r="AJ64" s="514">
        <v>0</v>
      </c>
      <c r="AK64" s="514">
        <f t="shared" si="4"/>
        <v>22110</v>
      </c>
      <c r="AL64" s="514">
        <f t="shared" si="5"/>
        <v>712406.30999999994</v>
      </c>
      <c r="AM64" s="515">
        <f t="shared" si="6"/>
        <v>183048.69000000006</v>
      </c>
      <c r="AN64" s="299">
        <f t="shared" si="7"/>
        <v>0.20441975308641983</v>
      </c>
      <c r="AO64" s="296">
        <f t="shared" si="14"/>
        <v>712406.30999999994</v>
      </c>
      <c r="AP64" s="274">
        <f t="shared" si="16"/>
        <v>68</v>
      </c>
      <c r="AQ64" s="275">
        <f t="shared" si="17"/>
        <v>13571.347488328765</v>
      </c>
      <c r="AR64" s="275">
        <f t="shared" si="15"/>
        <v>169477.3425116713</v>
      </c>
      <c r="AS64" s="280">
        <f t="shared" si="18"/>
        <v>0.18926394124961199</v>
      </c>
    </row>
    <row r="65" spans="2:45" x14ac:dyDescent="0.3">
      <c r="B65" s="287">
        <f t="shared" si="11"/>
        <v>61</v>
      </c>
      <c r="C65" s="272" t="s">
        <v>174</v>
      </c>
      <c r="D65" s="288" t="str">
        <f t="shared" si="12"/>
        <v>Apr-25</v>
      </c>
      <c r="E65" s="288" t="s">
        <v>107</v>
      </c>
      <c r="F65" s="289">
        <v>45765</v>
      </c>
      <c r="G65" s="290" t="s">
        <v>284</v>
      </c>
      <c r="H65" s="291" t="s">
        <v>2592</v>
      </c>
      <c r="I65" s="290" t="s">
        <v>254</v>
      </c>
      <c r="J65" s="387" t="s">
        <v>780</v>
      </c>
      <c r="K65" s="289">
        <v>45765</v>
      </c>
      <c r="L65" s="291" t="s">
        <v>781</v>
      </c>
      <c r="M65" s="289">
        <v>45765</v>
      </c>
      <c r="N65" s="291" t="s">
        <v>255</v>
      </c>
      <c r="O65" s="290" t="s">
        <v>403</v>
      </c>
      <c r="P65" s="291" t="s">
        <v>501</v>
      </c>
      <c r="Q65" s="291" t="s">
        <v>2602</v>
      </c>
      <c r="R65" s="458">
        <v>25150</v>
      </c>
      <c r="S65" s="404">
        <v>32.220999999999997</v>
      </c>
      <c r="T65" s="459">
        <f t="shared" si="1"/>
        <v>810358.14999999991</v>
      </c>
      <c r="U65" s="409" t="s">
        <v>107</v>
      </c>
      <c r="V65" s="288" t="s">
        <v>313</v>
      </c>
      <c r="W65" s="296" t="str">
        <f t="shared" si="13"/>
        <v>Jun-25</v>
      </c>
      <c r="X65" s="293" t="s">
        <v>569</v>
      </c>
      <c r="Y65" s="293" t="s">
        <v>962</v>
      </c>
      <c r="Z65" s="297">
        <v>45837</v>
      </c>
      <c r="AA65" s="293" t="s">
        <v>965</v>
      </c>
      <c r="AB65" s="293" t="s">
        <v>571</v>
      </c>
      <c r="AC65" s="298" t="s">
        <v>501</v>
      </c>
      <c r="AD65" s="298" t="s">
        <v>564</v>
      </c>
      <c r="AE65" s="512">
        <v>20420</v>
      </c>
      <c r="AF65" s="513">
        <v>42</v>
      </c>
      <c r="AG65" s="514">
        <f t="shared" si="2"/>
        <v>857640</v>
      </c>
      <c r="AH65" s="514">
        <v>0</v>
      </c>
      <c r="AI65" s="514">
        <f t="shared" si="3"/>
        <v>857640</v>
      </c>
      <c r="AJ65" s="514">
        <v>0</v>
      </c>
      <c r="AK65" s="514">
        <f t="shared" si="4"/>
        <v>20420</v>
      </c>
      <c r="AL65" s="514">
        <f t="shared" si="5"/>
        <v>657952.81999999995</v>
      </c>
      <c r="AM65" s="515">
        <f t="shared" si="6"/>
        <v>199687.18000000005</v>
      </c>
      <c r="AN65" s="299">
        <f t="shared" si="7"/>
        <v>0.23283333333333339</v>
      </c>
      <c r="AO65" s="296">
        <f t="shared" si="14"/>
        <v>657952.81999999995</v>
      </c>
      <c r="AP65" s="274">
        <f t="shared" si="16"/>
        <v>72</v>
      </c>
      <c r="AQ65" s="275">
        <f t="shared" si="17"/>
        <v>14946.112509041095</v>
      </c>
      <c r="AR65" s="275">
        <f t="shared" si="15"/>
        <v>184741.06749095896</v>
      </c>
      <c r="AS65" s="280">
        <f t="shared" si="18"/>
        <v>0.21540630974646582</v>
      </c>
    </row>
    <row r="66" spans="2:45" x14ac:dyDescent="0.3">
      <c r="B66" s="287">
        <f t="shared" si="11"/>
        <v>62</v>
      </c>
      <c r="C66" s="272" t="s">
        <v>174</v>
      </c>
      <c r="D66" s="288" t="str">
        <f t="shared" si="12"/>
        <v>Apr-25</v>
      </c>
      <c r="E66" s="288" t="s">
        <v>107</v>
      </c>
      <c r="F66" s="289">
        <v>45766</v>
      </c>
      <c r="G66" s="290" t="s">
        <v>285</v>
      </c>
      <c r="H66" s="291" t="s">
        <v>2592</v>
      </c>
      <c r="I66" s="290" t="s">
        <v>254</v>
      </c>
      <c r="J66" s="387" t="s">
        <v>782</v>
      </c>
      <c r="K66" s="289">
        <v>45766</v>
      </c>
      <c r="L66" s="291" t="s">
        <v>783</v>
      </c>
      <c r="M66" s="289">
        <v>45766</v>
      </c>
      <c r="N66" s="291" t="s">
        <v>255</v>
      </c>
      <c r="O66" s="290" t="s">
        <v>402</v>
      </c>
      <c r="P66" s="291" t="s">
        <v>500</v>
      </c>
      <c r="Q66" s="291" t="s">
        <v>757</v>
      </c>
      <c r="R66" s="458">
        <v>2920</v>
      </c>
      <c r="S66" s="404">
        <v>31.120999999999999</v>
      </c>
      <c r="T66" s="459">
        <f t="shared" si="1"/>
        <v>90873.319999999992</v>
      </c>
      <c r="U66" s="409" t="s">
        <v>107</v>
      </c>
      <c r="V66" s="288" t="s">
        <v>313</v>
      </c>
      <c r="W66" s="296" t="str">
        <f t="shared" si="13"/>
        <v>Jun-25</v>
      </c>
      <c r="X66" s="293" t="s">
        <v>500</v>
      </c>
      <c r="Y66" s="293" t="s">
        <v>963</v>
      </c>
      <c r="Z66" s="297">
        <v>45837</v>
      </c>
      <c r="AA66" s="293" t="s">
        <v>966</v>
      </c>
      <c r="AB66" s="293" t="s">
        <v>373</v>
      </c>
      <c r="AC66" s="298" t="s">
        <v>500</v>
      </c>
      <c r="AD66" s="298" t="s">
        <v>2630</v>
      </c>
      <c r="AE66" s="512">
        <v>22680</v>
      </c>
      <c r="AF66" s="513">
        <v>38</v>
      </c>
      <c r="AG66" s="514">
        <f t="shared" si="2"/>
        <v>861840</v>
      </c>
      <c r="AH66" s="514">
        <v>-45360</v>
      </c>
      <c r="AI66" s="514">
        <f t="shared" si="3"/>
        <v>816480</v>
      </c>
      <c r="AJ66" s="514">
        <v>0</v>
      </c>
      <c r="AK66" s="514">
        <f t="shared" si="4"/>
        <v>22680</v>
      </c>
      <c r="AL66" s="514">
        <f t="shared" si="5"/>
        <v>705824.28</v>
      </c>
      <c r="AM66" s="515">
        <f t="shared" si="6"/>
        <v>110655.71999999997</v>
      </c>
      <c r="AN66" s="299">
        <f t="shared" si="7"/>
        <v>0.13552777777777775</v>
      </c>
      <c r="AO66" s="296">
        <f t="shared" si="14"/>
        <v>705824.28</v>
      </c>
      <c r="AP66" s="274">
        <f t="shared" si="16"/>
        <v>71</v>
      </c>
      <c r="AQ66" s="275">
        <f t="shared" si="17"/>
        <v>1652.7740679999999</v>
      </c>
      <c r="AR66" s="275">
        <f t="shared" si="15"/>
        <v>109002.94593199997</v>
      </c>
      <c r="AS66" s="280">
        <f t="shared" si="18"/>
        <v>0.13350351010679989</v>
      </c>
    </row>
    <row r="67" spans="2:45" x14ac:dyDescent="0.3">
      <c r="B67" s="287">
        <f t="shared" si="11"/>
        <v>63</v>
      </c>
      <c r="C67" s="272" t="s">
        <v>174</v>
      </c>
      <c r="D67" s="288" t="str">
        <f t="shared" si="12"/>
        <v>Apr-25</v>
      </c>
      <c r="E67" s="288" t="s">
        <v>107</v>
      </c>
      <c r="F67" s="289">
        <v>45766</v>
      </c>
      <c r="G67" s="290" t="s">
        <v>286</v>
      </c>
      <c r="H67" s="291" t="s">
        <v>2592</v>
      </c>
      <c r="I67" s="290" t="s">
        <v>254</v>
      </c>
      <c r="J67" s="387" t="s">
        <v>784</v>
      </c>
      <c r="K67" s="289">
        <v>45766</v>
      </c>
      <c r="L67" s="291" t="s">
        <v>785</v>
      </c>
      <c r="M67" s="289">
        <v>45766</v>
      </c>
      <c r="N67" s="291" t="s">
        <v>255</v>
      </c>
      <c r="O67" s="290" t="s">
        <v>786</v>
      </c>
      <c r="P67" s="291" t="s">
        <v>500</v>
      </c>
      <c r="Q67" s="291" t="s">
        <v>757</v>
      </c>
      <c r="R67" s="458">
        <v>3040</v>
      </c>
      <c r="S67" s="404">
        <v>31.120999999999999</v>
      </c>
      <c r="T67" s="459">
        <f t="shared" si="1"/>
        <v>94607.84</v>
      </c>
      <c r="U67" s="409" t="s">
        <v>107</v>
      </c>
      <c r="V67" s="288" t="s">
        <v>313</v>
      </c>
      <c r="W67" s="296" t="str">
        <f t="shared" si="13"/>
        <v>Jun-25</v>
      </c>
      <c r="X67" s="293" t="s">
        <v>569</v>
      </c>
      <c r="Y67" s="293" t="s">
        <v>1362</v>
      </c>
      <c r="Z67" s="297">
        <v>45838</v>
      </c>
      <c r="AA67" s="293" t="s">
        <v>1360</v>
      </c>
      <c r="AB67" s="293" t="s">
        <v>571</v>
      </c>
      <c r="AC67" s="298" t="s">
        <v>501</v>
      </c>
      <c r="AD67" s="298" t="s">
        <v>564</v>
      </c>
      <c r="AE67" s="512">
        <v>10980</v>
      </c>
      <c r="AF67" s="513">
        <v>42</v>
      </c>
      <c r="AG67" s="514">
        <f t="shared" si="2"/>
        <v>461160</v>
      </c>
      <c r="AH67" s="514">
        <v>0</v>
      </c>
      <c r="AI67" s="514">
        <f t="shared" si="3"/>
        <v>461160</v>
      </c>
      <c r="AJ67" s="514">
        <v>0</v>
      </c>
      <c r="AK67" s="514">
        <f t="shared" si="4"/>
        <v>10980</v>
      </c>
      <c r="AL67" s="514">
        <f t="shared" si="5"/>
        <v>341708.57999999996</v>
      </c>
      <c r="AM67" s="515">
        <f t="shared" si="6"/>
        <v>119451.42000000004</v>
      </c>
      <c r="AN67" s="299">
        <f t="shared" si="7"/>
        <v>0.2590238095238096</v>
      </c>
      <c r="AO67" s="296">
        <f t="shared" si="14"/>
        <v>341708.57999999996</v>
      </c>
      <c r="AP67" s="274">
        <f t="shared" si="16"/>
        <v>72</v>
      </c>
      <c r="AQ67" s="275">
        <f t="shared" si="17"/>
        <v>1744.9314489863013</v>
      </c>
      <c r="AR67" s="275">
        <f t="shared" si="15"/>
        <v>117706.48855101374</v>
      </c>
      <c r="AS67" s="280">
        <f t="shared" si="18"/>
        <v>0.25524002201191287</v>
      </c>
    </row>
    <row r="68" spans="2:45" x14ac:dyDescent="0.3">
      <c r="B68" s="287">
        <f t="shared" si="11"/>
        <v>64</v>
      </c>
      <c r="C68" s="272" t="s">
        <v>174</v>
      </c>
      <c r="D68" s="288" t="str">
        <f t="shared" si="12"/>
        <v>Apr-25</v>
      </c>
      <c r="E68" s="288" t="s">
        <v>107</v>
      </c>
      <c r="F68" s="289">
        <v>45768</v>
      </c>
      <c r="G68" s="290" t="s">
        <v>296</v>
      </c>
      <c r="H68" s="291" t="s">
        <v>2592</v>
      </c>
      <c r="I68" s="290" t="s">
        <v>254</v>
      </c>
      <c r="J68" s="387" t="s">
        <v>789</v>
      </c>
      <c r="K68" s="289">
        <v>45768</v>
      </c>
      <c r="L68" s="291" t="s">
        <v>790</v>
      </c>
      <c r="M68" s="289">
        <v>45768</v>
      </c>
      <c r="N68" s="291" t="s">
        <v>255</v>
      </c>
      <c r="O68" s="290" t="s">
        <v>299</v>
      </c>
      <c r="P68" s="291" t="s">
        <v>500</v>
      </c>
      <c r="Q68" s="291" t="s">
        <v>757</v>
      </c>
      <c r="R68" s="458">
        <v>3250</v>
      </c>
      <c r="S68" s="404">
        <v>31.120999999999999</v>
      </c>
      <c r="T68" s="459">
        <f t="shared" si="1"/>
        <v>101143.25</v>
      </c>
      <c r="U68" s="409" t="s">
        <v>107</v>
      </c>
      <c r="V68" s="288" t="s">
        <v>313</v>
      </c>
      <c r="W68" s="296" t="str">
        <f t="shared" si="13"/>
        <v>Jul-25</v>
      </c>
      <c r="X68" s="293" t="s">
        <v>502</v>
      </c>
      <c r="Y68" s="293" t="s">
        <v>1376</v>
      </c>
      <c r="Z68" s="297">
        <v>45839</v>
      </c>
      <c r="AA68" s="293" t="s">
        <v>1378</v>
      </c>
      <c r="AB68" s="293" t="s">
        <v>2596</v>
      </c>
      <c r="AC68" s="298" t="s">
        <v>501</v>
      </c>
      <c r="AD68" s="298" t="s">
        <v>501</v>
      </c>
      <c r="AE68" s="512">
        <v>13060</v>
      </c>
      <c r="AF68" s="513">
        <v>33</v>
      </c>
      <c r="AG68" s="514">
        <f t="shared" si="2"/>
        <v>430980</v>
      </c>
      <c r="AH68" s="514">
        <v>0</v>
      </c>
      <c r="AI68" s="514">
        <f t="shared" si="3"/>
        <v>430980</v>
      </c>
      <c r="AJ68" s="514">
        <v>0</v>
      </c>
      <c r="AK68" s="514">
        <f t="shared" si="4"/>
        <v>13060</v>
      </c>
      <c r="AL68" s="514">
        <f t="shared" si="5"/>
        <v>406440.26</v>
      </c>
      <c r="AM68" s="515">
        <f t="shared" si="6"/>
        <v>24539.739999999991</v>
      </c>
      <c r="AN68" s="299">
        <f t="shared" si="7"/>
        <v>5.6939393939393915E-2</v>
      </c>
      <c r="AO68" s="296">
        <f t="shared" si="14"/>
        <v>406440.26</v>
      </c>
      <c r="AP68" s="274">
        <f t="shared" si="16"/>
        <v>71</v>
      </c>
      <c r="AQ68" s="275">
        <f t="shared" si="17"/>
        <v>1839.5601784246576</v>
      </c>
      <c r="AR68" s="275">
        <f t="shared" si="15"/>
        <v>22700.179821575333</v>
      </c>
      <c r="AS68" s="280">
        <f t="shared" si="18"/>
        <v>5.2671074809910748E-2</v>
      </c>
    </row>
    <row r="69" spans="2:45" x14ac:dyDescent="0.3">
      <c r="B69" s="287">
        <f t="shared" si="11"/>
        <v>65</v>
      </c>
      <c r="C69" s="272" t="s">
        <v>174</v>
      </c>
      <c r="D69" s="288" t="str">
        <f t="shared" si="12"/>
        <v>Apr-25</v>
      </c>
      <c r="E69" s="288" t="s">
        <v>107</v>
      </c>
      <c r="F69" s="289">
        <v>45768</v>
      </c>
      <c r="G69" s="290" t="s">
        <v>295</v>
      </c>
      <c r="H69" s="291" t="s">
        <v>2592</v>
      </c>
      <c r="I69" s="290" t="s">
        <v>254</v>
      </c>
      <c r="J69" s="387" t="s">
        <v>787</v>
      </c>
      <c r="K69" s="289">
        <v>45768</v>
      </c>
      <c r="L69" s="291" t="s">
        <v>788</v>
      </c>
      <c r="M69" s="289">
        <v>45768</v>
      </c>
      <c r="N69" s="291" t="s">
        <v>255</v>
      </c>
      <c r="O69" s="290" t="s">
        <v>300</v>
      </c>
      <c r="P69" s="291" t="s">
        <v>500</v>
      </c>
      <c r="Q69" s="291" t="s">
        <v>757</v>
      </c>
      <c r="R69" s="458">
        <v>3260</v>
      </c>
      <c r="S69" s="404">
        <v>31.120999999999999</v>
      </c>
      <c r="T69" s="459">
        <f t="shared" ref="T69:T132" si="19">R69*S69</f>
        <v>101454.45999999999</v>
      </c>
      <c r="U69" s="409" t="s">
        <v>107</v>
      </c>
      <c r="V69" s="288" t="s">
        <v>313</v>
      </c>
      <c r="W69" s="296" t="str">
        <f t="shared" si="13"/>
        <v>Jul-25</v>
      </c>
      <c r="X69" s="293" t="s">
        <v>2617</v>
      </c>
      <c r="Y69" s="293" t="s">
        <v>1377</v>
      </c>
      <c r="Z69" s="297">
        <v>45840</v>
      </c>
      <c r="AA69" s="293" t="s">
        <v>1379</v>
      </c>
      <c r="AB69" s="293" t="s">
        <v>563</v>
      </c>
      <c r="AC69" s="298" t="s">
        <v>501</v>
      </c>
      <c r="AD69" s="298" t="s">
        <v>501</v>
      </c>
      <c r="AE69" s="512">
        <v>15540</v>
      </c>
      <c r="AF69" s="513">
        <v>36.5</v>
      </c>
      <c r="AG69" s="514">
        <f t="shared" ref="AG69:AG132" si="20">AE69*AF69</f>
        <v>567210</v>
      </c>
      <c r="AH69" s="514">
        <v>-2372.5</v>
      </c>
      <c r="AI69" s="514">
        <f t="shared" ref="AI69:AI132" si="21">AG69+AH69</f>
        <v>564837.5</v>
      </c>
      <c r="AJ69" s="514">
        <v>0</v>
      </c>
      <c r="AK69" s="514">
        <f t="shared" ref="AK69:AK132" si="22">AE69-AJ69</f>
        <v>15540</v>
      </c>
      <c r="AL69" s="514">
        <f t="shared" ref="AL69:AL132" si="23">AE69*S69</f>
        <v>483620.33999999997</v>
      </c>
      <c r="AM69" s="515">
        <f t="shared" ref="AM69:AM132" si="24">(AG69+AH69)-AL69</f>
        <v>81217.160000000033</v>
      </c>
      <c r="AN69" s="299">
        <f t="shared" ref="AN69:AN132" si="25">IFERROR(AM69/(AG69+AH69),0)</f>
        <v>0.1437885409520438</v>
      </c>
      <c r="AO69" s="296">
        <f t="shared" si="14"/>
        <v>483620.33999999997</v>
      </c>
      <c r="AP69" s="274">
        <f t="shared" si="16"/>
        <v>72</v>
      </c>
      <c r="AQ69" s="275">
        <f t="shared" si="17"/>
        <v>1871.2093827945205</v>
      </c>
      <c r="AR69" s="275">
        <f t="shared" si="15"/>
        <v>79345.950617205512</v>
      </c>
      <c r="AS69" s="280">
        <f t="shared" si="18"/>
        <v>0.14047571313378718</v>
      </c>
    </row>
    <row r="70" spans="2:45" x14ac:dyDescent="0.3">
      <c r="B70" s="287">
        <f t="shared" ref="B70:B133" si="26">B69+1</f>
        <v>66</v>
      </c>
      <c r="C70" s="272" t="s">
        <v>174</v>
      </c>
      <c r="D70" s="288" t="str">
        <f t="shared" ref="D70:D133" si="27">TEXT(F70,"mmm-yy")</f>
        <v>Apr-25</v>
      </c>
      <c r="E70" s="288" t="s">
        <v>107</v>
      </c>
      <c r="F70" s="289">
        <v>45775</v>
      </c>
      <c r="G70" s="290" t="s">
        <v>302</v>
      </c>
      <c r="H70" s="291" t="s">
        <v>2592</v>
      </c>
      <c r="I70" s="290" t="s">
        <v>254</v>
      </c>
      <c r="J70" s="387" t="s">
        <v>793</v>
      </c>
      <c r="K70" s="289">
        <v>45775</v>
      </c>
      <c r="L70" s="291" t="s">
        <v>794</v>
      </c>
      <c r="M70" s="289">
        <v>45775</v>
      </c>
      <c r="N70" s="291" t="s">
        <v>255</v>
      </c>
      <c r="O70" s="290" t="s">
        <v>300</v>
      </c>
      <c r="P70" s="291" t="s">
        <v>500</v>
      </c>
      <c r="Q70" s="291" t="s">
        <v>757</v>
      </c>
      <c r="R70" s="458">
        <v>2580</v>
      </c>
      <c r="S70" s="404">
        <v>31.120999999999999</v>
      </c>
      <c r="T70" s="459">
        <f t="shared" si="19"/>
        <v>80292.179999999993</v>
      </c>
      <c r="U70" s="409" t="s">
        <v>107</v>
      </c>
      <c r="V70" s="288" t="s">
        <v>313</v>
      </c>
      <c r="W70" s="296" t="str">
        <f t="shared" ref="W70:W133" si="28">TEXT(Z70,"mmm-yy")</f>
        <v>Jul-25</v>
      </c>
      <c r="X70" s="293" t="s">
        <v>569</v>
      </c>
      <c r="Y70" s="293" t="s">
        <v>1402</v>
      </c>
      <c r="Z70" s="297">
        <v>45844</v>
      </c>
      <c r="AA70" s="293" t="s">
        <v>1405</v>
      </c>
      <c r="AB70" s="293" t="s">
        <v>2625</v>
      </c>
      <c r="AC70" s="298" t="s">
        <v>501</v>
      </c>
      <c r="AD70" s="298" t="s">
        <v>564</v>
      </c>
      <c r="AE70" s="512">
        <v>17580</v>
      </c>
      <c r="AF70" s="513">
        <v>37.5</v>
      </c>
      <c r="AG70" s="514">
        <f t="shared" si="20"/>
        <v>659250</v>
      </c>
      <c r="AH70" s="514">
        <v>-2250</v>
      </c>
      <c r="AI70" s="514">
        <f t="shared" si="21"/>
        <v>657000</v>
      </c>
      <c r="AJ70" s="514">
        <v>0</v>
      </c>
      <c r="AK70" s="514">
        <f t="shared" si="22"/>
        <v>17580</v>
      </c>
      <c r="AL70" s="514">
        <f t="shared" si="23"/>
        <v>547107.17999999993</v>
      </c>
      <c r="AM70" s="515">
        <f t="shared" si="24"/>
        <v>109892.82000000007</v>
      </c>
      <c r="AN70" s="299">
        <f t="shared" si="25"/>
        <v>0.16726456621004576</v>
      </c>
      <c r="AO70" s="296">
        <f t="shared" ref="AO70:AO133" si="29">AE70*S70</f>
        <v>547107.17999999993</v>
      </c>
      <c r="AP70" s="274">
        <f t="shared" si="16"/>
        <v>69</v>
      </c>
      <c r="AQ70" s="275">
        <f t="shared" si="17"/>
        <v>1419.1917788219178</v>
      </c>
      <c r="AR70" s="275">
        <f t="shared" ref="AR70:AR133" si="30">AM70-AQ70</f>
        <v>108473.62822117815</v>
      </c>
      <c r="AS70" s="280">
        <f t="shared" si="18"/>
        <v>0.16510445695765319</v>
      </c>
    </row>
    <row r="71" spans="2:45" x14ac:dyDescent="0.3">
      <c r="B71" s="287">
        <f t="shared" si="26"/>
        <v>67</v>
      </c>
      <c r="C71" s="272" t="s">
        <v>174</v>
      </c>
      <c r="D71" s="288" t="str">
        <f t="shared" si="27"/>
        <v>Apr-25</v>
      </c>
      <c r="E71" s="288" t="s">
        <v>107</v>
      </c>
      <c r="F71" s="289">
        <v>45775</v>
      </c>
      <c r="G71" s="290" t="s">
        <v>301</v>
      </c>
      <c r="H71" s="291" t="s">
        <v>2592</v>
      </c>
      <c r="I71" s="290" t="s">
        <v>254</v>
      </c>
      <c r="J71" s="387" t="s">
        <v>791</v>
      </c>
      <c r="K71" s="289">
        <v>45775</v>
      </c>
      <c r="L71" s="291" t="s">
        <v>792</v>
      </c>
      <c r="M71" s="289">
        <v>45775</v>
      </c>
      <c r="N71" s="291" t="s">
        <v>255</v>
      </c>
      <c r="O71" s="290" t="s">
        <v>299</v>
      </c>
      <c r="P71" s="291" t="s">
        <v>500</v>
      </c>
      <c r="Q71" s="291" t="s">
        <v>757</v>
      </c>
      <c r="R71" s="458">
        <v>3330</v>
      </c>
      <c r="S71" s="404">
        <v>31.120999999999999</v>
      </c>
      <c r="T71" s="459">
        <f t="shared" si="19"/>
        <v>103632.93</v>
      </c>
      <c r="U71" s="409" t="s">
        <v>107</v>
      </c>
      <c r="V71" s="288" t="s">
        <v>313</v>
      </c>
      <c r="W71" s="296" t="str">
        <f t="shared" si="28"/>
        <v>Jul-25</v>
      </c>
      <c r="X71" s="293" t="s">
        <v>500</v>
      </c>
      <c r="Y71" s="293" t="s">
        <v>1403</v>
      </c>
      <c r="Z71" s="297">
        <v>45844</v>
      </c>
      <c r="AA71" s="293" t="s">
        <v>1406</v>
      </c>
      <c r="AB71" s="293" t="s">
        <v>373</v>
      </c>
      <c r="AC71" s="298" t="s">
        <v>500</v>
      </c>
      <c r="AD71" s="298" t="s">
        <v>2630</v>
      </c>
      <c r="AE71" s="512">
        <v>12950</v>
      </c>
      <c r="AF71" s="513">
        <v>35.700000000000003</v>
      </c>
      <c r="AG71" s="514">
        <f t="shared" si="20"/>
        <v>462315.00000000006</v>
      </c>
      <c r="AH71" s="514">
        <v>-2590</v>
      </c>
      <c r="AI71" s="514">
        <f t="shared" si="21"/>
        <v>459725.00000000006</v>
      </c>
      <c r="AJ71" s="514">
        <v>0</v>
      </c>
      <c r="AK71" s="514">
        <f t="shared" si="22"/>
        <v>12950</v>
      </c>
      <c r="AL71" s="514">
        <f t="shared" si="23"/>
        <v>403016.95</v>
      </c>
      <c r="AM71" s="515">
        <f t="shared" si="24"/>
        <v>56708.050000000047</v>
      </c>
      <c r="AN71" s="299">
        <f t="shared" si="25"/>
        <v>0.12335211267605642</v>
      </c>
      <c r="AO71" s="296">
        <f t="shared" si="29"/>
        <v>403016.95</v>
      </c>
      <c r="AP71" s="274">
        <f t="shared" si="16"/>
        <v>69</v>
      </c>
      <c r="AQ71" s="275">
        <f t="shared" si="17"/>
        <v>1831.7475284794521</v>
      </c>
      <c r="AR71" s="275">
        <f t="shared" si="30"/>
        <v>54876.302471520597</v>
      </c>
      <c r="AS71" s="280">
        <f t="shared" si="18"/>
        <v>0.11936767082825731</v>
      </c>
    </row>
    <row r="72" spans="2:45" x14ac:dyDescent="0.3">
      <c r="B72" s="287">
        <f t="shared" si="26"/>
        <v>68</v>
      </c>
      <c r="C72" s="272" t="s">
        <v>174</v>
      </c>
      <c r="D72" s="288" t="str">
        <f t="shared" si="27"/>
        <v>Apr-25</v>
      </c>
      <c r="E72" s="288" t="s">
        <v>107</v>
      </c>
      <c r="F72" s="289">
        <v>45776</v>
      </c>
      <c r="G72" s="290" t="s">
        <v>312</v>
      </c>
      <c r="H72" s="291" t="s">
        <v>2593</v>
      </c>
      <c r="I72" s="290" t="s">
        <v>298</v>
      </c>
      <c r="J72" s="387" t="s">
        <v>797</v>
      </c>
      <c r="K72" s="289">
        <v>45776</v>
      </c>
      <c r="L72" s="291" t="s">
        <v>798</v>
      </c>
      <c r="M72" s="289">
        <v>45777</v>
      </c>
      <c r="N72" s="291" t="s">
        <v>255</v>
      </c>
      <c r="O72" s="290" t="s">
        <v>300</v>
      </c>
      <c r="P72" s="291" t="s">
        <v>500</v>
      </c>
      <c r="Q72" s="291" t="s">
        <v>757</v>
      </c>
      <c r="R72" s="458">
        <v>4640</v>
      </c>
      <c r="S72" s="404">
        <v>30.151</v>
      </c>
      <c r="T72" s="459">
        <f t="shared" si="19"/>
        <v>139900.63999999998</v>
      </c>
      <c r="U72" s="409" t="s">
        <v>107</v>
      </c>
      <c r="V72" s="288" t="s">
        <v>313</v>
      </c>
      <c r="W72" s="296" t="str">
        <f t="shared" si="28"/>
        <v>Jul-25</v>
      </c>
      <c r="X72" s="293" t="s">
        <v>500</v>
      </c>
      <c r="Y72" s="293" t="s">
        <v>1404</v>
      </c>
      <c r="Z72" s="297">
        <v>45844</v>
      </c>
      <c r="AA72" s="293" t="s">
        <v>1407</v>
      </c>
      <c r="AB72" s="293" t="s">
        <v>373</v>
      </c>
      <c r="AC72" s="298" t="s">
        <v>500</v>
      </c>
      <c r="AD72" s="298" t="s">
        <v>2630</v>
      </c>
      <c r="AE72" s="512">
        <v>12980</v>
      </c>
      <c r="AF72" s="513">
        <v>35.700000000000003</v>
      </c>
      <c r="AG72" s="514">
        <f t="shared" si="20"/>
        <v>463386.00000000006</v>
      </c>
      <c r="AH72" s="514">
        <v>-2596</v>
      </c>
      <c r="AI72" s="514">
        <f t="shared" si="21"/>
        <v>460790.00000000006</v>
      </c>
      <c r="AJ72" s="514">
        <v>0</v>
      </c>
      <c r="AK72" s="514">
        <f t="shared" si="22"/>
        <v>12980</v>
      </c>
      <c r="AL72" s="514">
        <f t="shared" si="23"/>
        <v>391359.98</v>
      </c>
      <c r="AM72" s="515">
        <f t="shared" si="24"/>
        <v>69430.020000000077</v>
      </c>
      <c r="AN72" s="299">
        <f t="shared" si="25"/>
        <v>0.15067605633802833</v>
      </c>
      <c r="AO72" s="296">
        <f t="shared" si="29"/>
        <v>391359.98</v>
      </c>
      <c r="AP72" s="274">
        <f t="shared" si="16"/>
        <v>68</v>
      </c>
      <c r="AQ72" s="275">
        <f t="shared" si="17"/>
        <v>2436.9541619726024</v>
      </c>
      <c r="AR72" s="275">
        <f t="shared" si="30"/>
        <v>66993.065838027469</v>
      </c>
      <c r="AS72" s="280">
        <f t="shared" si="18"/>
        <v>0.14538741256977683</v>
      </c>
    </row>
    <row r="73" spans="2:45" x14ac:dyDescent="0.3">
      <c r="B73" s="287">
        <f t="shared" si="26"/>
        <v>69</v>
      </c>
      <c r="C73" s="272" t="s">
        <v>174</v>
      </c>
      <c r="D73" s="288" t="str">
        <f t="shared" si="27"/>
        <v>Apr-25</v>
      </c>
      <c r="E73" s="288" t="s">
        <v>107</v>
      </c>
      <c r="F73" s="289">
        <v>45776</v>
      </c>
      <c r="G73" s="290" t="s">
        <v>311</v>
      </c>
      <c r="H73" s="291" t="s">
        <v>2593</v>
      </c>
      <c r="I73" s="290" t="s">
        <v>298</v>
      </c>
      <c r="J73" s="387" t="s">
        <v>795</v>
      </c>
      <c r="K73" s="289">
        <v>45776</v>
      </c>
      <c r="L73" s="291" t="s">
        <v>796</v>
      </c>
      <c r="M73" s="289">
        <v>45776</v>
      </c>
      <c r="N73" s="291" t="s">
        <v>255</v>
      </c>
      <c r="O73" s="290" t="s">
        <v>299</v>
      </c>
      <c r="P73" s="291" t="s">
        <v>500</v>
      </c>
      <c r="Q73" s="291" t="s">
        <v>757</v>
      </c>
      <c r="R73" s="458">
        <v>4260</v>
      </c>
      <c r="S73" s="404">
        <v>30.151</v>
      </c>
      <c r="T73" s="459">
        <f t="shared" si="19"/>
        <v>128443.26</v>
      </c>
      <c r="U73" s="409" t="s">
        <v>107</v>
      </c>
      <c r="V73" s="288" t="s">
        <v>313</v>
      </c>
      <c r="W73" s="296" t="str">
        <f t="shared" si="28"/>
        <v>Jul-25</v>
      </c>
      <c r="X73" s="293" t="s">
        <v>569</v>
      </c>
      <c r="Y73" s="293" t="s">
        <v>1431</v>
      </c>
      <c r="Z73" s="297">
        <v>45847</v>
      </c>
      <c r="AA73" s="293" t="s">
        <v>1432</v>
      </c>
      <c r="AB73" s="293" t="s">
        <v>2625</v>
      </c>
      <c r="AC73" s="298" t="s">
        <v>501</v>
      </c>
      <c r="AD73" s="298" t="s">
        <v>564</v>
      </c>
      <c r="AE73" s="512">
        <v>17960</v>
      </c>
      <c r="AF73" s="513">
        <v>37.5</v>
      </c>
      <c r="AG73" s="514">
        <f t="shared" si="20"/>
        <v>673500</v>
      </c>
      <c r="AH73" s="514">
        <v>-1500</v>
      </c>
      <c r="AI73" s="514">
        <f t="shared" si="21"/>
        <v>672000</v>
      </c>
      <c r="AJ73" s="514">
        <v>0</v>
      </c>
      <c r="AK73" s="514">
        <f t="shared" si="22"/>
        <v>17960</v>
      </c>
      <c r="AL73" s="514">
        <f t="shared" si="23"/>
        <v>541511.96</v>
      </c>
      <c r="AM73" s="515">
        <f t="shared" si="24"/>
        <v>130488.04000000004</v>
      </c>
      <c r="AN73" s="299">
        <f t="shared" si="25"/>
        <v>0.194178630952381</v>
      </c>
      <c r="AO73" s="296">
        <f t="shared" si="29"/>
        <v>541511.96</v>
      </c>
      <c r="AP73" s="274">
        <f t="shared" si="16"/>
        <v>71</v>
      </c>
      <c r="AQ73" s="275">
        <f t="shared" si="17"/>
        <v>2336.0837849589038</v>
      </c>
      <c r="AR73" s="275">
        <f t="shared" si="30"/>
        <v>128151.95621504114</v>
      </c>
      <c r="AS73" s="280">
        <f t="shared" si="18"/>
        <v>0.19070231579619218</v>
      </c>
    </row>
    <row r="74" spans="2:45" x14ac:dyDescent="0.3">
      <c r="B74" s="287">
        <f t="shared" si="26"/>
        <v>70</v>
      </c>
      <c r="C74" s="272" t="s">
        <v>174</v>
      </c>
      <c r="D74" s="288" t="str">
        <f t="shared" si="27"/>
        <v>May-25</v>
      </c>
      <c r="E74" s="288" t="s">
        <v>107</v>
      </c>
      <c r="F74" s="289">
        <v>45779</v>
      </c>
      <c r="G74" s="290" t="s">
        <v>317</v>
      </c>
      <c r="H74" s="291" t="s">
        <v>2592</v>
      </c>
      <c r="I74" s="290" t="s">
        <v>254</v>
      </c>
      <c r="J74" s="387" t="s">
        <v>799</v>
      </c>
      <c r="K74" s="289">
        <v>45779</v>
      </c>
      <c r="L74" s="291" t="s">
        <v>800</v>
      </c>
      <c r="M74" s="289">
        <v>45779</v>
      </c>
      <c r="N74" s="291" t="s">
        <v>255</v>
      </c>
      <c r="O74" s="290" t="s">
        <v>801</v>
      </c>
      <c r="P74" s="291" t="s">
        <v>500</v>
      </c>
      <c r="Q74" s="291" t="s">
        <v>757</v>
      </c>
      <c r="R74" s="458">
        <v>2440</v>
      </c>
      <c r="S74" s="404">
        <v>31.120999999999999</v>
      </c>
      <c r="T74" s="459">
        <f t="shared" si="19"/>
        <v>75935.239999999991</v>
      </c>
      <c r="U74" s="409" t="s">
        <v>107</v>
      </c>
      <c r="V74" s="288" t="s">
        <v>313</v>
      </c>
      <c r="W74" s="296" t="str">
        <f t="shared" si="28"/>
        <v>Jul-25</v>
      </c>
      <c r="X74" s="293" t="s">
        <v>569</v>
      </c>
      <c r="Y74" s="293" t="s">
        <v>1447</v>
      </c>
      <c r="Z74" s="297">
        <v>45851</v>
      </c>
      <c r="AA74" s="293" t="s">
        <v>1437</v>
      </c>
      <c r="AB74" s="293" t="s">
        <v>2625</v>
      </c>
      <c r="AC74" s="298" t="s">
        <v>501</v>
      </c>
      <c r="AD74" s="298" t="s">
        <v>564</v>
      </c>
      <c r="AE74" s="512">
        <v>26060</v>
      </c>
      <c r="AF74" s="513">
        <v>37.5</v>
      </c>
      <c r="AG74" s="514">
        <f t="shared" si="20"/>
        <v>977250</v>
      </c>
      <c r="AH74" s="514">
        <v>-3375</v>
      </c>
      <c r="AI74" s="514">
        <f t="shared" si="21"/>
        <v>973875</v>
      </c>
      <c r="AJ74" s="514">
        <v>0</v>
      </c>
      <c r="AK74" s="514">
        <f t="shared" si="22"/>
        <v>26060</v>
      </c>
      <c r="AL74" s="514">
        <f t="shared" si="23"/>
        <v>811013.26</v>
      </c>
      <c r="AM74" s="515">
        <f t="shared" si="24"/>
        <v>162861.74</v>
      </c>
      <c r="AN74" s="299">
        <f t="shared" si="25"/>
        <v>0.16723064048260813</v>
      </c>
      <c r="AO74" s="296">
        <f t="shared" si="29"/>
        <v>811013.26</v>
      </c>
      <c r="AP74" s="274">
        <f t="shared" si="16"/>
        <v>72</v>
      </c>
      <c r="AQ74" s="275">
        <f t="shared" si="17"/>
        <v>1400.5370840547944</v>
      </c>
      <c r="AR74" s="275">
        <f t="shared" si="30"/>
        <v>161461.20291594521</v>
      </c>
      <c r="AS74" s="280">
        <f t="shared" si="18"/>
        <v>0.16579253283629336</v>
      </c>
    </row>
    <row r="75" spans="2:45" x14ac:dyDescent="0.3">
      <c r="B75" s="287">
        <f t="shared" si="26"/>
        <v>71</v>
      </c>
      <c r="C75" s="272" t="s">
        <v>174</v>
      </c>
      <c r="D75" s="288" t="str">
        <f t="shared" si="27"/>
        <v>May-25</v>
      </c>
      <c r="E75" s="288" t="s">
        <v>107</v>
      </c>
      <c r="F75" s="289">
        <v>45779</v>
      </c>
      <c r="G75" s="290" t="s">
        <v>316</v>
      </c>
      <c r="H75" s="291" t="s">
        <v>2592</v>
      </c>
      <c r="I75" s="290" t="s">
        <v>254</v>
      </c>
      <c r="J75" s="387" t="s">
        <v>802</v>
      </c>
      <c r="K75" s="289">
        <v>45779</v>
      </c>
      <c r="L75" s="291" t="s">
        <v>803</v>
      </c>
      <c r="M75" s="289">
        <v>45779</v>
      </c>
      <c r="N75" s="291" t="s">
        <v>255</v>
      </c>
      <c r="O75" s="290" t="s">
        <v>314</v>
      </c>
      <c r="P75" s="291" t="s">
        <v>500</v>
      </c>
      <c r="Q75" s="291" t="s">
        <v>757</v>
      </c>
      <c r="R75" s="458">
        <v>2690</v>
      </c>
      <c r="S75" s="404">
        <v>31.120999999999999</v>
      </c>
      <c r="T75" s="459">
        <f t="shared" si="19"/>
        <v>83715.489999999991</v>
      </c>
      <c r="U75" s="409" t="s">
        <v>107</v>
      </c>
      <c r="V75" s="288" t="s">
        <v>313</v>
      </c>
      <c r="W75" s="296" t="str">
        <f t="shared" si="28"/>
        <v>Jul-25</v>
      </c>
      <c r="X75" s="293" t="s">
        <v>569</v>
      </c>
      <c r="Y75" s="293" t="s">
        <v>1466</v>
      </c>
      <c r="Z75" s="297">
        <v>45858</v>
      </c>
      <c r="AA75" s="293" t="s">
        <v>1460</v>
      </c>
      <c r="AB75" s="293" t="s">
        <v>2625</v>
      </c>
      <c r="AC75" s="298" t="s">
        <v>501</v>
      </c>
      <c r="AD75" s="298" t="s">
        <v>564</v>
      </c>
      <c r="AE75" s="512">
        <v>25480</v>
      </c>
      <c r="AF75" s="513">
        <v>37.5</v>
      </c>
      <c r="AG75" s="514">
        <f t="shared" si="20"/>
        <v>955500</v>
      </c>
      <c r="AH75" s="514">
        <v>-750</v>
      </c>
      <c r="AI75" s="514">
        <f t="shared" si="21"/>
        <v>954750</v>
      </c>
      <c r="AJ75" s="514">
        <v>0</v>
      </c>
      <c r="AK75" s="514">
        <f t="shared" si="22"/>
        <v>25480</v>
      </c>
      <c r="AL75" s="514">
        <f t="shared" si="23"/>
        <v>792963.08</v>
      </c>
      <c r="AM75" s="515">
        <f t="shared" si="24"/>
        <v>161786.92000000004</v>
      </c>
      <c r="AN75" s="299">
        <f t="shared" si="25"/>
        <v>0.16945474731605137</v>
      </c>
      <c r="AO75" s="296">
        <f t="shared" si="29"/>
        <v>792963.08</v>
      </c>
      <c r="AP75" s="274">
        <f t="shared" ref="AP75:AP106" si="31">(Z75-K75)</f>
        <v>79</v>
      </c>
      <c r="AQ75" s="275">
        <f t="shared" ref="AQ75:AQ106" si="32">T75*9.35%*AP75/365</f>
        <v>1694.1492243424657</v>
      </c>
      <c r="AR75" s="275">
        <f t="shared" si="30"/>
        <v>160092.77077565758</v>
      </c>
      <c r="AS75" s="280">
        <f t="shared" si="18"/>
        <v>0.16768030455685529</v>
      </c>
    </row>
    <row r="76" spans="2:45" x14ac:dyDescent="0.3">
      <c r="B76" s="287">
        <f t="shared" si="26"/>
        <v>72</v>
      </c>
      <c r="C76" s="272" t="s">
        <v>174</v>
      </c>
      <c r="D76" s="288" t="str">
        <f t="shared" si="27"/>
        <v>May-25</v>
      </c>
      <c r="E76" s="288" t="s">
        <v>107</v>
      </c>
      <c r="F76" s="289">
        <v>45779</v>
      </c>
      <c r="G76" s="290" t="s">
        <v>315</v>
      </c>
      <c r="H76" s="291" t="s">
        <v>2592</v>
      </c>
      <c r="I76" s="290" t="s">
        <v>254</v>
      </c>
      <c r="J76" s="387" t="s">
        <v>804</v>
      </c>
      <c r="K76" s="289">
        <v>45779</v>
      </c>
      <c r="L76" s="291" t="s">
        <v>805</v>
      </c>
      <c r="M76" s="289">
        <v>45779</v>
      </c>
      <c r="N76" s="291" t="s">
        <v>255</v>
      </c>
      <c r="O76" s="290" t="s">
        <v>806</v>
      </c>
      <c r="P76" s="291" t="s">
        <v>500</v>
      </c>
      <c r="Q76" s="291" t="s">
        <v>757</v>
      </c>
      <c r="R76" s="458">
        <v>3120</v>
      </c>
      <c r="S76" s="404">
        <v>31.120999999999999</v>
      </c>
      <c r="T76" s="459">
        <f t="shared" si="19"/>
        <v>97097.51999999999</v>
      </c>
      <c r="U76" s="409" t="s">
        <v>107</v>
      </c>
      <c r="V76" s="288" t="s">
        <v>313</v>
      </c>
      <c r="W76" s="296" t="str">
        <f t="shared" si="28"/>
        <v>Jul-25</v>
      </c>
      <c r="X76" s="293" t="s">
        <v>569</v>
      </c>
      <c r="Y76" s="293" t="s">
        <v>1467</v>
      </c>
      <c r="Z76" s="297">
        <v>45861</v>
      </c>
      <c r="AA76" s="293" t="s">
        <v>1461</v>
      </c>
      <c r="AB76" s="293" t="s">
        <v>563</v>
      </c>
      <c r="AC76" s="298" t="s">
        <v>501</v>
      </c>
      <c r="AD76" s="298" t="s">
        <v>564</v>
      </c>
      <c r="AE76" s="512">
        <v>19390</v>
      </c>
      <c r="AF76" s="513">
        <v>37.5</v>
      </c>
      <c r="AG76" s="514">
        <f t="shared" si="20"/>
        <v>727125</v>
      </c>
      <c r="AH76" s="514">
        <v>-3000</v>
      </c>
      <c r="AI76" s="514">
        <f t="shared" si="21"/>
        <v>724125</v>
      </c>
      <c r="AJ76" s="514">
        <v>0</v>
      </c>
      <c r="AK76" s="514">
        <f t="shared" si="22"/>
        <v>19390</v>
      </c>
      <c r="AL76" s="514">
        <f t="shared" si="23"/>
        <v>603436.18999999994</v>
      </c>
      <c r="AM76" s="515">
        <f t="shared" si="24"/>
        <v>120688.81000000006</v>
      </c>
      <c r="AN76" s="299">
        <f t="shared" si="25"/>
        <v>0.1666684757465908</v>
      </c>
      <c r="AO76" s="296">
        <f t="shared" si="29"/>
        <v>603436.18999999994</v>
      </c>
      <c r="AP76" s="274">
        <f t="shared" si="31"/>
        <v>82</v>
      </c>
      <c r="AQ76" s="275">
        <f t="shared" si="32"/>
        <v>2039.5799612054793</v>
      </c>
      <c r="AR76" s="275">
        <f t="shared" si="30"/>
        <v>118649.23003879457</v>
      </c>
      <c r="AS76" s="280">
        <f t="shared" si="18"/>
        <v>0.16385186264635881</v>
      </c>
    </row>
    <row r="77" spans="2:45" x14ac:dyDescent="0.3">
      <c r="B77" s="287">
        <f t="shared" si="26"/>
        <v>73</v>
      </c>
      <c r="C77" s="272" t="s">
        <v>174</v>
      </c>
      <c r="D77" s="288" t="str">
        <f t="shared" si="27"/>
        <v>May-25</v>
      </c>
      <c r="E77" s="288" t="s">
        <v>107</v>
      </c>
      <c r="F77" s="289">
        <v>45780</v>
      </c>
      <c r="G77" s="290" t="s">
        <v>319</v>
      </c>
      <c r="H77" s="291" t="s">
        <v>2592</v>
      </c>
      <c r="I77" s="290" t="s">
        <v>254</v>
      </c>
      <c r="J77" s="387" t="s">
        <v>807</v>
      </c>
      <c r="K77" s="289">
        <v>45780</v>
      </c>
      <c r="L77" s="291" t="s">
        <v>808</v>
      </c>
      <c r="M77" s="289">
        <v>45780</v>
      </c>
      <c r="N77" s="291" t="s">
        <v>255</v>
      </c>
      <c r="O77" s="290" t="s">
        <v>402</v>
      </c>
      <c r="P77" s="291" t="s">
        <v>500</v>
      </c>
      <c r="Q77" s="291" t="s">
        <v>757</v>
      </c>
      <c r="R77" s="458">
        <v>3030</v>
      </c>
      <c r="S77" s="404">
        <v>31.120999999999999</v>
      </c>
      <c r="T77" s="459">
        <f t="shared" si="19"/>
        <v>94296.62999999999</v>
      </c>
      <c r="U77" s="409" t="s">
        <v>107</v>
      </c>
      <c r="V77" s="288" t="s">
        <v>313</v>
      </c>
      <c r="W77" s="296" t="str">
        <f t="shared" si="28"/>
        <v>Jul-25</v>
      </c>
      <c r="X77" s="293" t="s">
        <v>2617</v>
      </c>
      <c r="Y77" s="293" t="s">
        <v>1468</v>
      </c>
      <c r="Z77" s="297">
        <v>45863</v>
      </c>
      <c r="AA77" s="293" t="s">
        <v>1462</v>
      </c>
      <c r="AB77" s="293" t="s">
        <v>1465</v>
      </c>
      <c r="AC77" s="298" t="s">
        <v>501</v>
      </c>
      <c r="AD77" s="298" t="s">
        <v>501</v>
      </c>
      <c r="AE77" s="512">
        <v>32490</v>
      </c>
      <c r="AF77" s="513">
        <v>35.049999999999997</v>
      </c>
      <c r="AG77" s="514">
        <f t="shared" si="20"/>
        <v>1138774.5</v>
      </c>
      <c r="AH77" s="514">
        <v>-8412</v>
      </c>
      <c r="AI77" s="514">
        <f t="shared" si="21"/>
        <v>1130362.5</v>
      </c>
      <c r="AJ77" s="514">
        <v>0</v>
      </c>
      <c r="AK77" s="514">
        <f t="shared" si="22"/>
        <v>32490</v>
      </c>
      <c r="AL77" s="514">
        <f t="shared" si="23"/>
        <v>1011121.2899999999</v>
      </c>
      <c r="AM77" s="515">
        <f t="shared" si="24"/>
        <v>119241.21000000008</v>
      </c>
      <c r="AN77" s="299">
        <f t="shared" si="25"/>
        <v>0.10548935407889069</v>
      </c>
      <c r="AO77" s="296">
        <f t="shared" si="29"/>
        <v>1011121.2899999999</v>
      </c>
      <c r="AP77" s="274">
        <f t="shared" si="31"/>
        <v>83</v>
      </c>
      <c r="AQ77" s="275">
        <f t="shared" si="32"/>
        <v>2004.9013619589039</v>
      </c>
      <c r="AR77" s="275">
        <f t="shared" si="30"/>
        <v>117236.30863804117</v>
      </c>
      <c r="AS77" s="280">
        <f t="shared" si="18"/>
        <v>0.10371567407627302</v>
      </c>
    </row>
    <row r="78" spans="2:45" x14ac:dyDescent="0.3">
      <c r="B78" s="287">
        <f t="shared" si="26"/>
        <v>74</v>
      </c>
      <c r="C78" s="272" t="s">
        <v>174</v>
      </c>
      <c r="D78" s="288" t="str">
        <f t="shared" si="27"/>
        <v>May-25</v>
      </c>
      <c r="E78" s="288" t="s">
        <v>107</v>
      </c>
      <c r="F78" s="289">
        <v>45780</v>
      </c>
      <c r="G78" s="290" t="s">
        <v>318</v>
      </c>
      <c r="H78" s="291" t="s">
        <v>2592</v>
      </c>
      <c r="I78" s="290" t="s">
        <v>254</v>
      </c>
      <c r="J78" s="387" t="s">
        <v>809</v>
      </c>
      <c r="K78" s="289">
        <v>45780</v>
      </c>
      <c r="L78" s="291" t="s">
        <v>810</v>
      </c>
      <c r="M78" s="289">
        <v>45780</v>
      </c>
      <c r="N78" s="291" t="s">
        <v>255</v>
      </c>
      <c r="O78" s="290" t="s">
        <v>300</v>
      </c>
      <c r="P78" s="291" t="s">
        <v>500</v>
      </c>
      <c r="Q78" s="291" t="s">
        <v>757</v>
      </c>
      <c r="R78" s="458">
        <v>2970</v>
      </c>
      <c r="S78" s="404">
        <v>31.120999999999999</v>
      </c>
      <c r="T78" s="459">
        <f t="shared" si="19"/>
        <v>92429.37</v>
      </c>
      <c r="U78" s="409" t="s">
        <v>107</v>
      </c>
      <c r="V78" s="288" t="s">
        <v>313</v>
      </c>
      <c r="W78" s="296" t="str">
        <f t="shared" si="28"/>
        <v>Jul-25</v>
      </c>
      <c r="X78" s="293" t="s">
        <v>2617</v>
      </c>
      <c r="Y78" s="293" t="s">
        <v>1469</v>
      </c>
      <c r="Z78" s="297">
        <v>45864</v>
      </c>
      <c r="AA78" s="293" t="s">
        <v>1463</v>
      </c>
      <c r="AB78" s="293" t="s">
        <v>1465</v>
      </c>
      <c r="AC78" s="298" t="s">
        <v>501</v>
      </c>
      <c r="AD78" s="298" t="s">
        <v>501</v>
      </c>
      <c r="AE78" s="512">
        <v>25920</v>
      </c>
      <c r="AF78" s="513">
        <v>35.049999999999997</v>
      </c>
      <c r="AG78" s="514">
        <f t="shared" si="20"/>
        <v>908495.99999999988</v>
      </c>
      <c r="AH78" s="514">
        <v>0</v>
      </c>
      <c r="AI78" s="514">
        <f t="shared" si="21"/>
        <v>908495.99999999988</v>
      </c>
      <c r="AJ78" s="514">
        <v>0</v>
      </c>
      <c r="AK78" s="514">
        <f t="shared" si="22"/>
        <v>25920</v>
      </c>
      <c r="AL78" s="514">
        <f t="shared" si="23"/>
        <v>806656.32</v>
      </c>
      <c r="AM78" s="515">
        <f t="shared" si="24"/>
        <v>101839.67999999993</v>
      </c>
      <c r="AN78" s="299">
        <f t="shared" si="25"/>
        <v>0.11209700427960051</v>
      </c>
      <c r="AO78" s="296">
        <f t="shared" si="29"/>
        <v>806656.32</v>
      </c>
      <c r="AP78" s="274">
        <f t="shared" si="31"/>
        <v>84</v>
      </c>
      <c r="AQ78" s="275">
        <f t="shared" si="32"/>
        <v>1988.877457479452</v>
      </c>
      <c r="AR78" s="275">
        <f t="shared" si="30"/>
        <v>99850.802542520483</v>
      </c>
      <c r="AS78" s="280">
        <f t="shared" si="18"/>
        <v>0.10990780646532346</v>
      </c>
    </row>
    <row r="79" spans="2:45" x14ac:dyDescent="0.3">
      <c r="B79" s="287">
        <f t="shared" si="26"/>
        <v>75</v>
      </c>
      <c r="C79" s="272" t="s">
        <v>174</v>
      </c>
      <c r="D79" s="288" t="str">
        <f t="shared" si="27"/>
        <v>May-25</v>
      </c>
      <c r="E79" s="288" t="s">
        <v>107</v>
      </c>
      <c r="F79" s="289">
        <v>45782</v>
      </c>
      <c r="G79" s="290" t="s">
        <v>324</v>
      </c>
      <c r="H79" s="291" t="s">
        <v>325</v>
      </c>
      <c r="I79" s="290" t="s">
        <v>811</v>
      </c>
      <c r="J79" s="387">
        <v>594</v>
      </c>
      <c r="K79" s="289">
        <v>45782</v>
      </c>
      <c r="L79" s="291" t="s">
        <v>812</v>
      </c>
      <c r="M79" s="289">
        <v>45783</v>
      </c>
      <c r="N79" s="291" t="s">
        <v>255</v>
      </c>
      <c r="O79" s="290" t="s">
        <v>813</v>
      </c>
      <c r="P79" s="291" t="s">
        <v>500</v>
      </c>
      <c r="Q79" s="291" t="s">
        <v>2607</v>
      </c>
      <c r="R79" s="458">
        <v>7470</v>
      </c>
      <c r="S79" s="404">
        <v>36</v>
      </c>
      <c r="T79" s="459">
        <f t="shared" si="19"/>
        <v>268920</v>
      </c>
      <c r="U79" s="409" t="s">
        <v>107</v>
      </c>
      <c r="V79" s="288" t="s">
        <v>313</v>
      </c>
      <c r="W79" s="296" t="str">
        <f t="shared" si="28"/>
        <v>Jul-25</v>
      </c>
      <c r="X79" s="293" t="s">
        <v>2617</v>
      </c>
      <c r="Y79" s="293" t="s">
        <v>1470</v>
      </c>
      <c r="Z79" s="318">
        <v>45865</v>
      </c>
      <c r="AA79" s="293" t="s">
        <v>1464</v>
      </c>
      <c r="AB79" s="293" t="s">
        <v>1465</v>
      </c>
      <c r="AC79" s="298" t="s">
        <v>501</v>
      </c>
      <c r="AD79" s="298" t="s">
        <v>501</v>
      </c>
      <c r="AE79" s="512">
        <v>30750</v>
      </c>
      <c r="AF79" s="513">
        <v>35.049999999999997</v>
      </c>
      <c r="AG79" s="514">
        <f t="shared" si="20"/>
        <v>1077787.5</v>
      </c>
      <c r="AH79" s="514">
        <v>-3505</v>
      </c>
      <c r="AI79" s="514">
        <f t="shared" si="21"/>
        <v>1074282.5</v>
      </c>
      <c r="AJ79" s="514">
        <v>0</v>
      </c>
      <c r="AK79" s="514">
        <f t="shared" si="22"/>
        <v>30750</v>
      </c>
      <c r="AL79" s="514">
        <f t="shared" si="23"/>
        <v>1107000</v>
      </c>
      <c r="AM79" s="515">
        <f t="shared" si="24"/>
        <v>-32717.5</v>
      </c>
      <c r="AN79" s="299">
        <f t="shared" si="25"/>
        <v>-3.0455210803489771E-2</v>
      </c>
      <c r="AO79" s="296">
        <f t="shared" si="29"/>
        <v>1107000</v>
      </c>
      <c r="AP79" s="274">
        <f t="shared" si="31"/>
        <v>83</v>
      </c>
      <c r="AQ79" s="275">
        <f t="shared" si="32"/>
        <v>5717.6812602739728</v>
      </c>
      <c r="AR79" s="275">
        <f t="shared" si="30"/>
        <v>-38435.181260273974</v>
      </c>
      <c r="AS79" s="280">
        <f t="shared" si="18"/>
        <v>-3.5777536411766897E-2</v>
      </c>
    </row>
    <row r="80" spans="2:45" x14ac:dyDescent="0.3">
      <c r="B80" s="287">
        <f t="shared" si="26"/>
        <v>76</v>
      </c>
      <c r="C80" s="272" t="s">
        <v>174</v>
      </c>
      <c r="D80" s="288" t="str">
        <f t="shared" si="27"/>
        <v>May-25</v>
      </c>
      <c r="E80" s="288" t="s">
        <v>107</v>
      </c>
      <c r="F80" s="289">
        <v>45783</v>
      </c>
      <c r="G80" s="290" t="s">
        <v>320</v>
      </c>
      <c r="H80" s="291" t="s">
        <v>2592</v>
      </c>
      <c r="I80" s="290" t="s">
        <v>254</v>
      </c>
      <c r="J80" s="387" t="s">
        <v>814</v>
      </c>
      <c r="K80" s="289">
        <v>45783</v>
      </c>
      <c r="L80" s="291" t="s">
        <v>815</v>
      </c>
      <c r="M80" s="289">
        <v>45783</v>
      </c>
      <c r="N80" s="291" t="s">
        <v>255</v>
      </c>
      <c r="O80" s="290" t="s">
        <v>300</v>
      </c>
      <c r="P80" s="291" t="s">
        <v>500</v>
      </c>
      <c r="Q80" s="291" t="s">
        <v>757</v>
      </c>
      <c r="R80" s="458">
        <v>3110</v>
      </c>
      <c r="S80" s="404">
        <v>31.120999999999999</v>
      </c>
      <c r="T80" s="459">
        <f t="shared" si="19"/>
        <v>96786.31</v>
      </c>
      <c r="U80" s="409" t="s">
        <v>107</v>
      </c>
      <c r="V80" s="288" t="s">
        <v>313</v>
      </c>
      <c r="W80" s="296" t="str">
        <f t="shared" si="28"/>
        <v>Jul-25</v>
      </c>
      <c r="X80" s="293" t="s">
        <v>764</v>
      </c>
      <c r="Y80" s="293" t="s">
        <v>1491</v>
      </c>
      <c r="Z80" s="318">
        <v>45866</v>
      </c>
      <c r="AA80" s="293" t="s">
        <v>1490</v>
      </c>
      <c r="AB80" s="293" t="s">
        <v>2625</v>
      </c>
      <c r="AC80" s="298" t="s">
        <v>501</v>
      </c>
      <c r="AD80" s="298" t="s">
        <v>564</v>
      </c>
      <c r="AE80" s="512">
        <v>12750</v>
      </c>
      <c r="AF80" s="513">
        <v>37.5</v>
      </c>
      <c r="AG80" s="514">
        <f t="shared" si="20"/>
        <v>478125</v>
      </c>
      <c r="AH80" s="514">
        <v>-750</v>
      </c>
      <c r="AI80" s="514">
        <f t="shared" si="21"/>
        <v>477375</v>
      </c>
      <c r="AJ80" s="514">
        <v>0</v>
      </c>
      <c r="AK80" s="514">
        <f t="shared" si="22"/>
        <v>12750</v>
      </c>
      <c r="AL80" s="514">
        <f t="shared" si="23"/>
        <v>396792.75</v>
      </c>
      <c r="AM80" s="515">
        <f t="shared" si="24"/>
        <v>80582.25</v>
      </c>
      <c r="AN80" s="299">
        <f t="shared" si="25"/>
        <v>0.16880282796543597</v>
      </c>
      <c r="AO80" s="296">
        <f t="shared" si="29"/>
        <v>396792.75</v>
      </c>
      <c r="AP80" s="274">
        <f t="shared" si="31"/>
        <v>83</v>
      </c>
      <c r="AQ80" s="275">
        <f t="shared" si="32"/>
        <v>2057.8360513835614</v>
      </c>
      <c r="AR80" s="275">
        <f t="shared" si="30"/>
        <v>78524.413948616435</v>
      </c>
      <c r="AS80" s="280">
        <f t="shared" si="18"/>
        <v>0.16449209520527139</v>
      </c>
    </row>
    <row r="81" spans="2:45" x14ac:dyDescent="0.3">
      <c r="B81" s="287">
        <f t="shared" si="26"/>
        <v>77</v>
      </c>
      <c r="C81" s="272" t="s">
        <v>174</v>
      </c>
      <c r="D81" s="288" t="str">
        <f t="shared" si="27"/>
        <v>May-25</v>
      </c>
      <c r="E81" s="288" t="s">
        <v>107</v>
      </c>
      <c r="F81" s="289">
        <v>45783</v>
      </c>
      <c r="G81" s="290" t="s">
        <v>321</v>
      </c>
      <c r="H81" s="291" t="s">
        <v>2592</v>
      </c>
      <c r="I81" s="290" t="s">
        <v>254</v>
      </c>
      <c r="J81" s="387" t="s">
        <v>816</v>
      </c>
      <c r="K81" s="289">
        <v>45783</v>
      </c>
      <c r="L81" s="291" t="s">
        <v>817</v>
      </c>
      <c r="M81" s="289">
        <v>45783</v>
      </c>
      <c r="N81" s="291" t="s">
        <v>255</v>
      </c>
      <c r="O81" s="290" t="s">
        <v>299</v>
      </c>
      <c r="P81" s="291" t="s">
        <v>500</v>
      </c>
      <c r="Q81" s="291" t="s">
        <v>757</v>
      </c>
      <c r="R81" s="458">
        <v>4160</v>
      </c>
      <c r="S81" s="404">
        <v>31.120999999999999</v>
      </c>
      <c r="T81" s="459">
        <f t="shared" si="19"/>
        <v>129463.36</v>
      </c>
      <c r="U81" s="409" t="s">
        <v>107</v>
      </c>
      <c r="V81" s="288" t="s">
        <v>313</v>
      </c>
      <c r="W81" s="296" t="str">
        <f t="shared" si="28"/>
        <v>Jul-25</v>
      </c>
      <c r="X81" s="293" t="s">
        <v>2617</v>
      </c>
      <c r="Y81" s="293" t="s">
        <v>1495</v>
      </c>
      <c r="Z81" s="318">
        <v>45867</v>
      </c>
      <c r="AA81" s="293" t="s">
        <v>1496</v>
      </c>
      <c r="AB81" s="293" t="s">
        <v>1465</v>
      </c>
      <c r="AC81" s="298" t="s">
        <v>501</v>
      </c>
      <c r="AD81" s="298" t="s">
        <v>501</v>
      </c>
      <c r="AE81" s="512">
        <v>28890</v>
      </c>
      <c r="AF81" s="513">
        <v>35.049999999999997</v>
      </c>
      <c r="AG81" s="514">
        <f t="shared" si="20"/>
        <v>1012594.4999999999</v>
      </c>
      <c r="AH81" s="514">
        <v>0</v>
      </c>
      <c r="AI81" s="514">
        <f t="shared" si="21"/>
        <v>1012594.4999999999</v>
      </c>
      <c r="AJ81" s="514">
        <v>0</v>
      </c>
      <c r="AK81" s="514">
        <f t="shared" si="22"/>
        <v>28890</v>
      </c>
      <c r="AL81" s="514">
        <f t="shared" si="23"/>
        <v>899085.69</v>
      </c>
      <c r="AM81" s="515">
        <f t="shared" si="24"/>
        <v>113508.80999999994</v>
      </c>
      <c r="AN81" s="299">
        <f t="shared" si="25"/>
        <v>0.11209700427960052</v>
      </c>
      <c r="AO81" s="296">
        <f t="shared" si="29"/>
        <v>899085.69</v>
      </c>
      <c r="AP81" s="274">
        <f t="shared" si="31"/>
        <v>84</v>
      </c>
      <c r="AQ81" s="275">
        <f t="shared" si="32"/>
        <v>2785.7677518904111</v>
      </c>
      <c r="AR81" s="275">
        <f t="shared" si="30"/>
        <v>110723.04224810953</v>
      </c>
      <c r="AS81" s="280">
        <f t="shared" si="18"/>
        <v>0.10934588549326463</v>
      </c>
    </row>
    <row r="82" spans="2:45" x14ac:dyDescent="0.3">
      <c r="B82" s="287">
        <f t="shared" si="26"/>
        <v>78</v>
      </c>
      <c r="C82" s="272" t="s">
        <v>174</v>
      </c>
      <c r="D82" s="288" t="str">
        <f t="shared" si="27"/>
        <v>May-25</v>
      </c>
      <c r="E82" s="288" t="s">
        <v>107</v>
      </c>
      <c r="F82" s="289">
        <v>45785</v>
      </c>
      <c r="G82" s="290" t="s">
        <v>322</v>
      </c>
      <c r="H82" s="291" t="s">
        <v>2592</v>
      </c>
      <c r="I82" s="290" t="s">
        <v>254</v>
      </c>
      <c r="J82" s="387" t="s">
        <v>818</v>
      </c>
      <c r="K82" s="289">
        <v>45785</v>
      </c>
      <c r="L82" s="291" t="s">
        <v>819</v>
      </c>
      <c r="M82" s="289">
        <v>45785</v>
      </c>
      <c r="N82" s="291" t="s">
        <v>255</v>
      </c>
      <c r="O82" s="290" t="s">
        <v>299</v>
      </c>
      <c r="P82" s="291" t="s">
        <v>500</v>
      </c>
      <c r="Q82" s="291" t="s">
        <v>757</v>
      </c>
      <c r="R82" s="458">
        <v>2320</v>
      </c>
      <c r="S82" s="404">
        <v>31.120999999999999</v>
      </c>
      <c r="T82" s="459">
        <f t="shared" si="19"/>
        <v>72200.72</v>
      </c>
      <c r="U82" s="409" t="s">
        <v>107</v>
      </c>
      <c r="V82" s="288" t="s">
        <v>313</v>
      </c>
      <c r="W82" s="296" t="str">
        <f t="shared" si="28"/>
        <v>Aug-25</v>
      </c>
      <c r="X82" s="293" t="s">
        <v>500</v>
      </c>
      <c r="Y82" s="293" t="s">
        <v>1503</v>
      </c>
      <c r="Z82" s="318">
        <v>45871</v>
      </c>
      <c r="AA82" s="293" t="s">
        <v>1522</v>
      </c>
      <c r="AB82" s="293" t="s">
        <v>2626</v>
      </c>
      <c r="AC82" s="298" t="s">
        <v>500</v>
      </c>
      <c r="AD82" s="298" t="s">
        <v>2630</v>
      </c>
      <c r="AE82" s="512">
        <v>31170</v>
      </c>
      <c r="AF82" s="513">
        <v>35.9</v>
      </c>
      <c r="AG82" s="514">
        <f t="shared" si="20"/>
        <v>1119003</v>
      </c>
      <c r="AH82" s="514">
        <v>-14001</v>
      </c>
      <c r="AI82" s="514">
        <f t="shared" si="21"/>
        <v>1105002</v>
      </c>
      <c r="AJ82" s="514">
        <v>0</v>
      </c>
      <c r="AK82" s="514">
        <f t="shared" si="22"/>
        <v>31170</v>
      </c>
      <c r="AL82" s="514">
        <f t="shared" si="23"/>
        <v>970041.57</v>
      </c>
      <c r="AM82" s="515">
        <f t="shared" si="24"/>
        <v>134960.43000000005</v>
      </c>
      <c r="AN82" s="299">
        <f t="shared" si="25"/>
        <v>0.12213591468612731</v>
      </c>
      <c r="AO82" s="296">
        <f t="shared" si="29"/>
        <v>970041.57</v>
      </c>
      <c r="AP82" s="274">
        <f t="shared" si="31"/>
        <v>86</v>
      </c>
      <c r="AQ82" s="275">
        <f t="shared" si="32"/>
        <v>1590.5917521095889</v>
      </c>
      <c r="AR82" s="275">
        <f t="shared" si="30"/>
        <v>133369.83824789047</v>
      </c>
      <c r="AS82" s="280">
        <f t="shared" si="18"/>
        <v>0.12069646774204071</v>
      </c>
    </row>
    <row r="83" spans="2:45" x14ac:dyDescent="0.3">
      <c r="B83" s="287">
        <f t="shared" si="26"/>
        <v>79</v>
      </c>
      <c r="C83" s="272" t="s">
        <v>174</v>
      </c>
      <c r="D83" s="288" t="str">
        <f t="shared" si="27"/>
        <v>May-25</v>
      </c>
      <c r="E83" s="288" t="s">
        <v>107</v>
      </c>
      <c r="F83" s="289">
        <v>45786</v>
      </c>
      <c r="G83" s="290" t="s">
        <v>323</v>
      </c>
      <c r="H83" s="291" t="s">
        <v>2593</v>
      </c>
      <c r="I83" s="290" t="s">
        <v>298</v>
      </c>
      <c r="J83" s="387" t="s">
        <v>820</v>
      </c>
      <c r="K83" s="289">
        <v>45786</v>
      </c>
      <c r="L83" s="291" t="s">
        <v>821</v>
      </c>
      <c r="M83" s="289">
        <v>45786</v>
      </c>
      <c r="N83" s="291" t="s">
        <v>255</v>
      </c>
      <c r="O83" s="290" t="s">
        <v>299</v>
      </c>
      <c r="P83" s="291" t="s">
        <v>500</v>
      </c>
      <c r="Q83" s="291" t="s">
        <v>757</v>
      </c>
      <c r="R83" s="458">
        <v>4560</v>
      </c>
      <c r="S83" s="404">
        <v>30.151</v>
      </c>
      <c r="T83" s="459">
        <f t="shared" si="19"/>
        <v>137488.56</v>
      </c>
      <c r="U83" s="409" t="s">
        <v>107</v>
      </c>
      <c r="V83" s="288" t="s">
        <v>313</v>
      </c>
      <c r="W83" s="296" t="str">
        <f t="shared" si="28"/>
        <v>Aug-25</v>
      </c>
      <c r="X83" s="293" t="s">
        <v>2617</v>
      </c>
      <c r="Y83" s="293" t="s">
        <v>1521</v>
      </c>
      <c r="Z83" s="318">
        <v>45871</v>
      </c>
      <c r="AA83" s="293" t="s">
        <v>1523</v>
      </c>
      <c r="AB83" s="293" t="s">
        <v>2626</v>
      </c>
      <c r="AC83" s="298" t="s">
        <v>501</v>
      </c>
      <c r="AD83" s="298" t="s">
        <v>501</v>
      </c>
      <c r="AE83" s="512">
        <v>5420</v>
      </c>
      <c r="AF83" s="513">
        <v>35.700000000000003</v>
      </c>
      <c r="AG83" s="514">
        <f t="shared" si="20"/>
        <v>193494.00000000003</v>
      </c>
      <c r="AH83" s="514">
        <f>-2142-1631</f>
        <v>-3773</v>
      </c>
      <c r="AI83" s="514">
        <f t="shared" si="21"/>
        <v>189721.00000000003</v>
      </c>
      <c r="AJ83" s="514">
        <v>0</v>
      </c>
      <c r="AK83" s="514">
        <f t="shared" si="22"/>
        <v>5420</v>
      </c>
      <c r="AL83" s="514">
        <f t="shared" si="23"/>
        <v>163418.42000000001</v>
      </c>
      <c r="AM83" s="515">
        <f t="shared" si="24"/>
        <v>26302.580000000016</v>
      </c>
      <c r="AN83" s="299">
        <f t="shared" si="25"/>
        <v>0.13863821084645353</v>
      </c>
      <c r="AO83" s="296">
        <f t="shared" si="29"/>
        <v>163418.42000000001</v>
      </c>
      <c r="AP83" s="274">
        <f t="shared" si="31"/>
        <v>85</v>
      </c>
      <c r="AQ83" s="275">
        <f t="shared" si="32"/>
        <v>2993.6721386301369</v>
      </c>
      <c r="AR83" s="275">
        <f t="shared" si="30"/>
        <v>23308.90786136988</v>
      </c>
      <c r="AS83" s="280">
        <f t="shared" si="18"/>
        <v>0.12285887098091343</v>
      </c>
    </row>
    <row r="84" spans="2:45" x14ac:dyDescent="0.3">
      <c r="B84" s="287">
        <f t="shared" si="26"/>
        <v>80</v>
      </c>
      <c r="C84" s="272" t="s">
        <v>174</v>
      </c>
      <c r="D84" s="288" t="str">
        <f t="shared" si="27"/>
        <v>May-25</v>
      </c>
      <c r="E84" s="288" t="s">
        <v>107</v>
      </c>
      <c r="F84" s="289">
        <v>45791</v>
      </c>
      <c r="G84" s="290" t="s">
        <v>352</v>
      </c>
      <c r="H84" s="291" t="s">
        <v>2592</v>
      </c>
      <c r="I84" s="290" t="s">
        <v>254</v>
      </c>
      <c r="J84" s="387" t="s">
        <v>824</v>
      </c>
      <c r="K84" s="289">
        <v>45791</v>
      </c>
      <c r="L84" s="291" t="s">
        <v>825</v>
      </c>
      <c r="M84" s="289">
        <v>45791</v>
      </c>
      <c r="N84" s="291" t="s">
        <v>255</v>
      </c>
      <c r="O84" s="290" t="s">
        <v>256</v>
      </c>
      <c r="P84" s="291" t="s">
        <v>500</v>
      </c>
      <c r="Q84" s="291" t="s">
        <v>757</v>
      </c>
      <c r="R84" s="458">
        <v>2520</v>
      </c>
      <c r="S84" s="404">
        <v>31.120999999999999</v>
      </c>
      <c r="T84" s="459">
        <f t="shared" si="19"/>
        <v>78424.92</v>
      </c>
      <c r="U84" s="409" t="s">
        <v>107</v>
      </c>
      <c r="V84" s="288" t="s">
        <v>313</v>
      </c>
      <c r="W84" s="296" t="str">
        <f t="shared" si="28"/>
        <v>Aug-25</v>
      </c>
      <c r="X84" s="293" t="s">
        <v>2617</v>
      </c>
      <c r="Y84" s="293" t="s">
        <v>1521</v>
      </c>
      <c r="Z84" s="318">
        <v>45874</v>
      </c>
      <c r="AA84" s="293" t="s">
        <v>1525</v>
      </c>
      <c r="AB84" s="293" t="s">
        <v>2626</v>
      </c>
      <c r="AC84" s="298" t="s">
        <v>501</v>
      </c>
      <c r="AD84" s="298" t="s">
        <v>501</v>
      </c>
      <c r="AE84" s="512">
        <v>20390</v>
      </c>
      <c r="AF84" s="513">
        <v>35.700000000000003</v>
      </c>
      <c r="AG84" s="514">
        <f t="shared" si="20"/>
        <v>727923</v>
      </c>
      <c r="AH84" s="514">
        <v>0</v>
      </c>
      <c r="AI84" s="514">
        <f t="shared" si="21"/>
        <v>727923</v>
      </c>
      <c r="AJ84" s="514">
        <v>0</v>
      </c>
      <c r="AK84" s="514">
        <f t="shared" si="22"/>
        <v>20390</v>
      </c>
      <c r="AL84" s="514">
        <f t="shared" si="23"/>
        <v>634557.18999999994</v>
      </c>
      <c r="AM84" s="515">
        <f t="shared" si="24"/>
        <v>93365.810000000056</v>
      </c>
      <c r="AN84" s="299">
        <f t="shared" si="25"/>
        <v>0.12826330532212893</v>
      </c>
      <c r="AO84" s="296">
        <f t="shared" si="29"/>
        <v>634557.18999999994</v>
      </c>
      <c r="AP84" s="274">
        <f t="shared" si="31"/>
        <v>83</v>
      </c>
      <c r="AQ84" s="275">
        <f t="shared" si="32"/>
        <v>1667.4427168767124</v>
      </c>
      <c r="AR84" s="275">
        <f t="shared" si="30"/>
        <v>91698.367283123342</v>
      </c>
      <c r="AS84" s="280">
        <f t="shared" si="18"/>
        <v>0.12597261974566451</v>
      </c>
    </row>
    <row r="85" spans="2:45" x14ac:dyDescent="0.3">
      <c r="B85" s="287">
        <f t="shared" si="26"/>
        <v>81</v>
      </c>
      <c r="C85" s="272" t="s">
        <v>174</v>
      </c>
      <c r="D85" s="288" t="str">
        <f t="shared" si="27"/>
        <v>May-25</v>
      </c>
      <c r="E85" s="288" t="s">
        <v>107</v>
      </c>
      <c r="F85" s="289">
        <v>45791</v>
      </c>
      <c r="G85" s="290" t="s">
        <v>351</v>
      </c>
      <c r="H85" s="291" t="s">
        <v>2592</v>
      </c>
      <c r="I85" s="290" t="s">
        <v>254</v>
      </c>
      <c r="J85" s="387" t="s">
        <v>822</v>
      </c>
      <c r="K85" s="289">
        <v>45791</v>
      </c>
      <c r="L85" s="291" t="s">
        <v>823</v>
      </c>
      <c r="M85" s="289">
        <v>45791</v>
      </c>
      <c r="N85" s="291" t="s">
        <v>255</v>
      </c>
      <c r="O85" s="290" t="s">
        <v>300</v>
      </c>
      <c r="P85" s="291" t="s">
        <v>500</v>
      </c>
      <c r="Q85" s="291" t="s">
        <v>757</v>
      </c>
      <c r="R85" s="458">
        <v>2450</v>
      </c>
      <c r="S85" s="404">
        <v>31.120999999999999</v>
      </c>
      <c r="T85" s="459">
        <f t="shared" si="19"/>
        <v>76246.45</v>
      </c>
      <c r="U85" s="409" t="s">
        <v>107</v>
      </c>
      <c r="V85" s="288" t="s">
        <v>313</v>
      </c>
      <c r="W85" s="296" t="str">
        <f t="shared" si="28"/>
        <v>Aug-25</v>
      </c>
      <c r="X85" s="293" t="s">
        <v>500</v>
      </c>
      <c r="Y85" s="293" t="s">
        <v>1567</v>
      </c>
      <c r="Z85" s="318">
        <v>45875</v>
      </c>
      <c r="AA85" s="293" t="s">
        <v>1568</v>
      </c>
      <c r="AB85" s="293" t="s">
        <v>2626</v>
      </c>
      <c r="AC85" s="298" t="s">
        <v>500</v>
      </c>
      <c r="AD85" s="298" t="s">
        <v>2630</v>
      </c>
      <c r="AE85" s="512">
        <v>23950</v>
      </c>
      <c r="AF85" s="513">
        <v>35.9</v>
      </c>
      <c r="AG85" s="514">
        <f t="shared" si="20"/>
        <v>859805</v>
      </c>
      <c r="AH85" s="514">
        <f>-6462-1916</f>
        <v>-8378</v>
      </c>
      <c r="AI85" s="514">
        <f t="shared" si="21"/>
        <v>851427</v>
      </c>
      <c r="AJ85" s="514">
        <v>0</v>
      </c>
      <c r="AK85" s="514">
        <f t="shared" si="22"/>
        <v>23950</v>
      </c>
      <c r="AL85" s="514">
        <f t="shared" si="23"/>
        <v>745347.95</v>
      </c>
      <c r="AM85" s="515">
        <f t="shared" si="24"/>
        <v>106079.05000000005</v>
      </c>
      <c r="AN85" s="299">
        <f t="shared" si="25"/>
        <v>0.12458971820250009</v>
      </c>
      <c r="AO85" s="296">
        <f t="shared" si="29"/>
        <v>745347.95</v>
      </c>
      <c r="AP85" s="274">
        <f t="shared" si="31"/>
        <v>84</v>
      </c>
      <c r="AQ85" s="275">
        <f t="shared" si="32"/>
        <v>1640.6564884931506</v>
      </c>
      <c r="AR85" s="275">
        <f t="shared" si="30"/>
        <v>104438.39351150689</v>
      </c>
      <c r="AS85" s="280">
        <f t="shared" si="18"/>
        <v>0.12266276910587388</v>
      </c>
    </row>
    <row r="86" spans="2:45" x14ac:dyDescent="0.3">
      <c r="B86" s="287">
        <f t="shared" si="26"/>
        <v>82</v>
      </c>
      <c r="C86" s="272" t="s">
        <v>174</v>
      </c>
      <c r="D86" s="288" t="str">
        <f t="shared" si="27"/>
        <v>May-25</v>
      </c>
      <c r="E86" s="288" t="s">
        <v>107</v>
      </c>
      <c r="F86" s="289">
        <v>45793</v>
      </c>
      <c r="G86" s="290" t="s">
        <v>355</v>
      </c>
      <c r="H86" s="291" t="s">
        <v>2592</v>
      </c>
      <c r="I86" s="290" t="s">
        <v>254</v>
      </c>
      <c r="J86" s="387" t="s">
        <v>828</v>
      </c>
      <c r="K86" s="289">
        <v>45793</v>
      </c>
      <c r="L86" s="291" t="s">
        <v>829</v>
      </c>
      <c r="M86" s="289">
        <v>45793</v>
      </c>
      <c r="N86" s="291" t="s">
        <v>255</v>
      </c>
      <c r="O86" s="290" t="s">
        <v>830</v>
      </c>
      <c r="P86" s="291" t="s">
        <v>500</v>
      </c>
      <c r="Q86" s="291" t="s">
        <v>757</v>
      </c>
      <c r="R86" s="458">
        <v>3060</v>
      </c>
      <c r="S86" s="404">
        <v>31.120999999999999</v>
      </c>
      <c r="T86" s="459">
        <f t="shared" si="19"/>
        <v>95230.26</v>
      </c>
      <c r="U86" s="409" t="s">
        <v>107</v>
      </c>
      <c r="V86" s="288" t="s">
        <v>313</v>
      </c>
      <c r="W86" s="296" t="str">
        <f t="shared" si="28"/>
        <v>Aug-25</v>
      </c>
      <c r="X86" s="293" t="s">
        <v>2617</v>
      </c>
      <c r="Y86" s="293" t="s">
        <v>1569</v>
      </c>
      <c r="Z86" s="318">
        <v>45876</v>
      </c>
      <c r="AA86" s="293" t="s">
        <v>1570</v>
      </c>
      <c r="AB86" s="293" t="s">
        <v>1465</v>
      </c>
      <c r="AC86" s="298" t="s">
        <v>501</v>
      </c>
      <c r="AD86" s="298" t="s">
        <v>501</v>
      </c>
      <c r="AE86" s="512">
        <v>25465</v>
      </c>
      <c r="AF86" s="513">
        <v>35.700000000000003</v>
      </c>
      <c r="AG86" s="514">
        <f t="shared" si="20"/>
        <v>909100.50000000012</v>
      </c>
      <c r="AH86" s="514">
        <v>0</v>
      </c>
      <c r="AI86" s="514">
        <f t="shared" si="21"/>
        <v>909100.50000000012</v>
      </c>
      <c r="AJ86" s="514">
        <v>0</v>
      </c>
      <c r="AK86" s="514">
        <f t="shared" si="22"/>
        <v>25465</v>
      </c>
      <c r="AL86" s="514">
        <f t="shared" si="23"/>
        <v>792496.26500000001</v>
      </c>
      <c r="AM86" s="515">
        <f t="shared" si="24"/>
        <v>116604.2350000001</v>
      </c>
      <c r="AN86" s="299">
        <f t="shared" si="25"/>
        <v>0.12826330532212896</v>
      </c>
      <c r="AO86" s="296">
        <f t="shared" si="29"/>
        <v>792496.26500000001</v>
      </c>
      <c r="AP86" s="274">
        <f t="shared" si="31"/>
        <v>83</v>
      </c>
      <c r="AQ86" s="275">
        <f t="shared" si="32"/>
        <v>2024.7518704931506</v>
      </c>
      <c r="AR86" s="275">
        <f t="shared" si="30"/>
        <v>114579.48312950695</v>
      </c>
      <c r="AS86" s="280">
        <f t="shared" si="18"/>
        <v>0.12603610176158403</v>
      </c>
    </row>
    <row r="87" spans="2:45" x14ac:dyDescent="0.3">
      <c r="B87" s="287">
        <f t="shared" si="26"/>
        <v>83</v>
      </c>
      <c r="C87" s="272" t="s">
        <v>174</v>
      </c>
      <c r="D87" s="288" t="str">
        <f t="shared" si="27"/>
        <v>May-25</v>
      </c>
      <c r="E87" s="288" t="s">
        <v>107</v>
      </c>
      <c r="F87" s="289">
        <v>45793</v>
      </c>
      <c r="G87" s="290" t="s">
        <v>354</v>
      </c>
      <c r="H87" s="291" t="s">
        <v>2592</v>
      </c>
      <c r="I87" s="290" t="s">
        <v>254</v>
      </c>
      <c r="J87" s="387" t="s">
        <v>826</v>
      </c>
      <c r="K87" s="289">
        <v>45793</v>
      </c>
      <c r="L87" s="291" t="s">
        <v>827</v>
      </c>
      <c r="M87" s="289">
        <v>45793</v>
      </c>
      <c r="N87" s="291" t="s">
        <v>255</v>
      </c>
      <c r="O87" s="290" t="s">
        <v>300</v>
      </c>
      <c r="P87" s="291" t="s">
        <v>500</v>
      </c>
      <c r="Q87" s="291" t="s">
        <v>757</v>
      </c>
      <c r="R87" s="458">
        <v>2650</v>
      </c>
      <c r="S87" s="404">
        <v>31.120999999999999</v>
      </c>
      <c r="T87" s="459">
        <f t="shared" si="19"/>
        <v>82470.649999999994</v>
      </c>
      <c r="U87" s="409" t="s">
        <v>107</v>
      </c>
      <c r="V87" s="288" t="s">
        <v>313</v>
      </c>
      <c r="W87" s="296" t="str">
        <f t="shared" si="28"/>
        <v>Aug-25</v>
      </c>
      <c r="X87" s="293" t="s">
        <v>2617</v>
      </c>
      <c r="Y87" s="293" t="s">
        <v>1573</v>
      </c>
      <c r="Z87" s="318">
        <v>45877</v>
      </c>
      <c r="AA87" s="293" t="s">
        <v>1579</v>
      </c>
      <c r="AB87" s="293" t="s">
        <v>1465</v>
      </c>
      <c r="AC87" s="298" t="s">
        <v>501</v>
      </c>
      <c r="AD87" s="298" t="s">
        <v>501</v>
      </c>
      <c r="AE87" s="512">
        <v>26665</v>
      </c>
      <c r="AF87" s="513">
        <v>35.700000000000003</v>
      </c>
      <c r="AG87" s="514">
        <f t="shared" si="20"/>
        <v>951940.50000000012</v>
      </c>
      <c r="AH87" s="514">
        <v>0</v>
      </c>
      <c r="AI87" s="514">
        <f t="shared" si="21"/>
        <v>951940.50000000012</v>
      </c>
      <c r="AJ87" s="514">
        <v>0</v>
      </c>
      <c r="AK87" s="514">
        <f t="shared" si="22"/>
        <v>26665</v>
      </c>
      <c r="AL87" s="514">
        <f t="shared" si="23"/>
        <v>829841.46499999997</v>
      </c>
      <c r="AM87" s="515">
        <f t="shared" si="24"/>
        <v>122099.03500000015</v>
      </c>
      <c r="AN87" s="299">
        <f t="shared" si="25"/>
        <v>0.12826330532212898</v>
      </c>
      <c r="AO87" s="296">
        <f t="shared" si="29"/>
        <v>829841.46499999997</v>
      </c>
      <c r="AP87" s="274">
        <f t="shared" si="31"/>
        <v>84</v>
      </c>
      <c r="AQ87" s="275">
        <f t="shared" si="32"/>
        <v>1774.5876304109588</v>
      </c>
      <c r="AR87" s="275">
        <f t="shared" si="30"/>
        <v>120324.44736958919</v>
      </c>
      <c r="AS87" s="280">
        <f t="shared" ref="AS87:AS116" si="33">IFERROR(AR87/(AG87+AH87),0)</f>
        <v>0.12639912617394594</v>
      </c>
    </row>
    <row r="88" spans="2:45" x14ac:dyDescent="0.3">
      <c r="B88" s="287">
        <f t="shared" si="26"/>
        <v>84</v>
      </c>
      <c r="C88" s="272" t="s">
        <v>174</v>
      </c>
      <c r="D88" s="288" t="str">
        <f t="shared" si="27"/>
        <v>May-25</v>
      </c>
      <c r="E88" s="288" t="s">
        <v>107</v>
      </c>
      <c r="F88" s="289">
        <v>45794</v>
      </c>
      <c r="G88" s="290" t="s">
        <v>356</v>
      </c>
      <c r="H88" s="291" t="s">
        <v>2593</v>
      </c>
      <c r="I88" s="290" t="s">
        <v>298</v>
      </c>
      <c r="J88" s="387" t="s">
        <v>831</v>
      </c>
      <c r="K88" s="289">
        <v>45794</v>
      </c>
      <c r="L88" s="291" t="s">
        <v>832</v>
      </c>
      <c r="M88" s="289">
        <v>45794</v>
      </c>
      <c r="N88" s="291" t="s">
        <v>255</v>
      </c>
      <c r="O88" s="290" t="s">
        <v>300</v>
      </c>
      <c r="P88" s="291" t="s">
        <v>500</v>
      </c>
      <c r="Q88" s="291" t="s">
        <v>757</v>
      </c>
      <c r="R88" s="458">
        <v>5060</v>
      </c>
      <c r="S88" s="404">
        <v>30.151</v>
      </c>
      <c r="T88" s="459">
        <f t="shared" si="19"/>
        <v>152564.06</v>
      </c>
      <c r="U88" s="409" t="s">
        <v>107</v>
      </c>
      <c r="V88" s="288" t="s">
        <v>313</v>
      </c>
      <c r="W88" s="296" t="str">
        <f t="shared" si="28"/>
        <v>Aug-25</v>
      </c>
      <c r="X88" s="293" t="s">
        <v>500</v>
      </c>
      <c r="Y88" s="293" t="s">
        <v>1574</v>
      </c>
      <c r="Z88" s="318">
        <v>45878</v>
      </c>
      <c r="AA88" s="293" t="s">
        <v>1580</v>
      </c>
      <c r="AB88" s="293" t="s">
        <v>373</v>
      </c>
      <c r="AC88" s="298" t="s">
        <v>500</v>
      </c>
      <c r="AD88" s="298" t="s">
        <v>2630</v>
      </c>
      <c r="AE88" s="512">
        <v>31310</v>
      </c>
      <c r="AF88" s="513">
        <v>33</v>
      </c>
      <c r="AG88" s="514">
        <f t="shared" si="20"/>
        <v>1033230</v>
      </c>
      <c r="AH88" s="514">
        <v>-31310</v>
      </c>
      <c r="AI88" s="514">
        <f t="shared" si="21"/>
        <v>1001920</v>
      </c>
      <c r="AJ88" s="514">
        <v>0</v>
      </c>
      <c r="AK88" s="514">
        <f t="shared" si="22"/>
        <v>31310</v>
      </c>
      <c r="AL88" s="514">
        <f t="shared" si="23"/>
        <v>944027.80999999994</v>
      </c>
      <c r="AM88" s="515">
        <f t="shared" si="24"/>
        <v>57892.190000000061</v>
      </c>
      <c r="AN88" s="299">
        <f t="shared" si="25"/>
        <v>5.7781250000000062E-2</v>
      </c>
      <c r="AO88" s="296">
        <f t="shared" si="29"/>
        <v>944027.80999999994</v>
      </c>
      <c r="AP88" s="274">
        <f t="shared" si="31"/>
        <v>84</v>
      </c>
      <c r="AQ88" s="275">
        <f t="shared" si="32"/>
        <v>3282.8441842191783</v>
      </c>
      <c r="AR88" s="275">
        <f t="shared" si="30"/>
        <v>54609.345815780885</v>
      </c>
      <c r="AS88" s="280">
        <f t="shared" si="33"/>
        <v>5.450469679792886E-2</v>
      </c>
    </row>
    <row r="89" spans="2:45" x14ac:dyDescent="0.3">
      <c r="B89" s="287">
        <f t="shared" si="26"/>
        <v>85</v>
      </c>
      <c r="C89" s="272" t="s">
        <v>174</v>
      </c>
      <c r="D89" s="288" t="str">
        <f t="shared" si="27"/>
        <v>May-25</v>
      </c>
      <c r="E89" s="288" t="s">
        <v>107</v>
      </c>
      <c r="F89" s="289">
        <v>45796</v>
      </c>
      <c r="G89" s="290" t="s">
        <v>358</v>
      </c>
      <c r="H89" s="291" t="s">
        <v>2592</v>
      </c>
      <c r="I89" s="290" t="s">
        <v>254</v>
      </c>
      <c r="J89" s="387" t="s">
        <v>833</v>
      </c>
      <c r="K89" s="289">
        <v>45796</v>
      </c>
      <c r="L89" s="291" t="s">
        <v>834</v>
      </c>
      <c r="M89" s="289">
        <v>45796</v>
      </c>
      <c r="N89" s="291" t="s">
        <v>255</v>
      </c>
      <c r="O89" s="290" t="s">
        <v>300</v>
      </c>
      <c r="P89" s="291" t="s">
        <v>500</v>
      </c>
      <c r="Q89" s="291" t="s">
        <v>757</v>
      </c>
      <c r="R89" s="458">
        <v>2260</v>
      </c>
      <c r="S89" s="404">
        <v>31.120999999999999</v>
      </c>
      <c r="T89" s="459">
        <f t="shared" si="19"/>
        <v>70333.459999999992</v>
      </c>
      <c r="U89" s="409" t="s">
        <v>107</v>
      </c>
      <c r="V89" s="288" t="s">
        <v>313</v>
      </c>
      <c r="W89" s="296" t="str">
        <f t="shared" si="28"/>
        <v>Aug-25</v>
      </c>
      <c r="X89" s="293" t="s">
        <v>2617</v>
      </c>
      <c r="Y89" s="293" t="s">
        <v>1576</v>
      </c>
      <c r="Z89" s="318">
        <v>45878</v>
      </c>
      <c r="AA89" s="293" t="s">
        <v>1582</v>
      </c>
      <c r="AB89" s="293" t="s">
        <v>1465</v>
      </c>
      <c r="AC89" s="298" t="s">
        <v>501</v>
      </c>
      <c r="AD89" s="298" t="s">
        <v>501</v>
      </c>
      <c r="AE89" s="512">
        <v>29575</v>
      </c>
      <c r="AF89" s="513">
        <v>35.700000000000003</v>
      </c>
      <c r="AG89" s="514">
        <f t="shared" si="20"/>
        <v>1055827.5</v>
      </c>
      <c r="AH89" s="514">
        <v>0</v>
      </c>
      <c r="AI89" s="514">
        <f t="shared" si="21"/>
        <v>1055827.5</v>
      </c>
      <c r="AJ89" s="514">
        <v>0</v>
      </c>
      <c r="AK89" s="514">
        <f t="shared" si="22"/>
        <v>29575</v>
      </c>
      <c r="AL89" s="514">
        <f t="shared" si="23"/>
        <v>920403.57499999995</v>
      </c>
      <c r="AM89" s="515">
        <f t="shared" si="24"/>
        <v>135423.92500000005</v>
      </c>
      <c r="AN89" s="299">
        <f t="shared" si="25"/>
        <v>0.1282633053221289</v>
      </c>
      <c r="AO89" s="296">
        <f t="shared" si="29"/>
        <v>920403.57499999995</v>
      </c>
      <c r="AP89" s="274">
        <f t="shared" si="31"/>
        <v>82</v>
      </c>
      <c r="AQ89" s="275">
        <f t="shared" si="32"/>
        <v>1477.3880488219177</v>
      </c>
      <c r="AR89" s="275">
        <f t="shared" si="30"/>
        <v>133946.53695117813</v>
      </c>
      <c r="AS89" s="280">
        <f t="shared" si="33"/>
        <v>0.12686403503524785</v>
      </c>
    </row>
    <row r="90" spans="2:45" x14ac:dyDescent="0.3">
      <c r="B90" s="287">
        <f t="shared" si="26"/>
        <v>86</v>
      </c>
      <c r="C90" s="272" t="s">
        <v>174</v>
      </c>
      <c r="D90" s="288" t="str">
        <f t="shared" si="27"/>
        <v>May-25</v>
      </c>
      <c r="E90" s="288" t="s">
        <v>107</v>
      </c>
      <c r="F90" s="289">
        <v>45799</v>
      </c>
      <c r="G90" s="290" t="s">
        <v>362</v>
      </c>
      <c r="H90" s="291" t="s">
        <v>2592</v>
      </c>
      <c r="I90" s="290" t="s">
        <v>254</v>
      </c>
      <c r="J90" s="387" t="s">
        <v>835</v>
      </c>
      <c r="K90" s="289">
        <v>45799</v>
      </c>
      <c r="L90" s="291" t="s">
        <v>836</v>
      </c>
      <c r="M90" s="289">
        <v>45799</v>
      </c>
      <c r="N90" s="291" t="s">
        <v>255</v>
      </c>
      <c r="O90" s="290" t="s">
        <v>830</v>
      </c>
      <c r="P90" s="291" t="s">
        <v>500</v>
      </c>
      <c r="Q90" s="291" t="s">
        <v>757</v>
      </c>
      <c r="R90" s="458">
        <v>3610</v>
      </c>
      <c r="S90" s="404">
        <v>31.120999999999999</v>
      </c>
      <c r="T90" s="459">
        <f t="shared" si="19"/>
        <v>112346.81</v>
      </c>
      <c r="U90" s="409" t="s">
        <v>107</v>
      </c>
      <c r="V90" s="288" t="s">
        <v>313</v>
      </c>
      <c r="W90" s="296" t="str">
        <f t="shared" si="28"/>
        <v>Aug-25</v>
      </c>
      <c r="X90" s="293" t="s">
        <v>2617</v>
      </c>
      <c r="Y90" s="293" t="s">
        <v>1575</v>
      </c>
      <c r="Z90" s="318">
        <v>45878</v>
      </c>
      <c r="AA90" s="293" t="s">
        <v>1581</v>
      </c>
      <c r="AB90" s="293" t="s">
        <v>1465</v>
      </c>
      <c r="AC90" s="298" t="s">
        <v>501</v>
      </c>
      <c r="AD90" s="298" t="s">
        <v>501</v>
      </c>
      <c r="AE90" s="512">
        <v>14340</v>
      </c>
      <c r="AF90" s="513">
        <v>33.75</v>
      </c>
      <c r="AG90" s="514">
        <f t="shared" si="20"/>
        <v>483975</v>
      </c>
      <c r="AH90" s="514">
        <v>0</v>
      </c>
      <c r="AI90" s="514">
        <f t="shared" si="21"/>
        <v>483975</v>
      </c>
      <c r="AJ90" s="514">
        <v>0</v>
      </c>
      <c r="AK90" s="514">
        <f t="shared" si="22"/>
        <v>14340</v>
      </c>
      <c r="AL90" s="514">
        <f t="shared" si="23"/>
        <v>446275.13999999996</v>
      </c>
      <c r="AM90" s="515">
        <f t="shared" si="24"/>
        <v>37699.860000000044</v>
      </c>
      <c r="AN90" s="299">
        <f t="shared" si="25"/>
        <v>7.7896296296296394E-2</v>
      </c>
      <c r="AO90" s="296">
        <f t="shared" si="29"/>
        <v>446275.13999999996</v>
      </c>
      <c r="AP90" s="274">
        <f t="shared" si="31"/>
        <v>79</v>
      </c>
      <c r="AQ90" s="275">
        <f t="shared" si="32"/>
        <v>2273.5608549726026</v>
      </c>
      <c r="AR90" s="275">
        <f t="shared" si="30"/>
        <v>35426.299145027442</v>
      </c>
      <c r="AS90" s="280">
        <f t="shared" si="33"/>
        <v>7.3198613864409193E-2</v>
      </c>
    </row>
    <row r="91" spans="2:45" x14ac:dyDescent="0.3">
      <c r="B91" s="287">
        <f t="shared" si="26"/>
        <v>87</v>
      </c>
      <c r="C91" s="272" t="s">
        <v>174</v>
      </c>
      <c r="D91" s="288" t="str">
        <f t="shared" si="27"/>
        <v>May-25</v>
      </c>
      <c r="E91" s="288" t="s">
        <v>107</v>
      </c>
      <c r="F91" s="289">
        <v>45800</v>
      </c>
      <c r="G91" s="290" t="s">
        <v>363</v>
      </c>
      <c r="H91" s="291" t="s">
        <v>2592</v>
      </c>
      <c r="I91" s="290" t="s">
        <v>254</v>
      </c>
      <c r="J91" s="387" t="s">
        <v>837</v>
      </c>
      <c r="K91" s="289">
        <v>45800</v>
      </c>
      <c r="L91" s="291" t="s">
        <v>838</v>
      </c>
      <c r="M91" s="289">
        <v>45800</v>
      </c>
      <c r="N91" s="291" t="s">
        <v>255</v>
      </c>
      <c r="O91" s="290" t="s">
        <v>300</v>
      </c>
      <c r="P91" s="291" t="s">
        <v>500</v>
      </c>
      <c r="Q91" s="291" t="s">
        <v>757</v>
      </c>
      <c r="R91" s="458">
        <v>2520</v>
      </c>
      <c r="S91" s="404">
        <v>31.120999999999999</v>
      </c>
      <c r="T91" s="459">
        <f t="shared" si="19"/>
        <v>78424.92</v>
      </c>
      <c r="U91" s="409" t="s">
        <v>107</v>
      </c>
      <c r="V91" s="288" t="s">
        <v>313</v>
      </c>
      <c r="W91" s="296" t="str">
        <f t="shared" si="28"/>
        <v>Aug-25</v>
      </c>
      <c r="X91" s="293" t="s">
        <v>2617</v>
      </c>
      <c r="Y91" s="293" t="s">
        <v>1577</v>
      </c>
      <c r="Z91" s="318">
        <v>45879</v>
      </c>
      <c r="AA91" s="293" t="s">
        <v>1583</v>
      </c>
      <c r="AB91" s="293" t="s">
        <v>1465</v>
      </c>
      <c r="AC91" s="298" t="s">
        <v>501</v>
      </c>
      <c r="AD91" s="298" t="s">
        <v>501</v>
      </c>
      <c r="AE91" s="512">
        <v>18430</v>
      </c>
      <c r="AF91" s="513">
        <v>35.700000000000003</v>
      </c>
      <c r="AG91" s="514">
        <f t="shared" si="20"/>
        <v>657951</v>
      </c>
      <c r="AH91" s="514">
        <v>0</v>
      </c>
      <c r="AI91" s="514">
        <f t="shared" si="21"/>
        <v>657951</v>
      </c>
      <c r="AJ91" s="514">
        <v>0</v>
      </c>
      <c r="AK91" s="514">
        <f t="shared" si="22"/>
        <v>18430</v>
      </c>
      <c r="AL91" s="514">
        <f t="shared" si="23"/>
        <v>573560.03</v>
      </c>
      <c r="AM91" s="515">
        <f t="shared" si="24"/>
        <v>84390.969999999972</v>
      </c>
      <c r="AN91" s="299">
        <f t="shared" si="25"/>
        <v>0.12826330532212882</v>
      </c>
      <c r="AO91" s="296">
        <f t="shared" si="29"/>
        <v>573560.03</v>
      </c>
      <c r="AP91" s="274">
        <f t="shared" si="31"/>
        <v>79</v>
      </c>
      <c r="AQ91" s="275">
        <f t="shared" si="32"/>
        <v>1587.0840317260272</v>
      </c>
      <c r="AR91" s="275">
        <f t="shared" si="30"/>
        <v>82803.885968273942</v>
      </c>
      <c r="AS91" s="280">
        <f t="shared" si="33"/>
        <v>0.12585114388195159</v>
      </c>
    </row>
    <row r="92" spans="2:45" x14ac:dyDescent="0.3">
      <c r="B92" s="287">
        <f t="shared" si="26"/>
        <v>88</v>
      </c>
      <c r="C92" s="272" t="s">
        <v>174</v>
      </c>
      <c r="D92" s="288" t="str">
        <f t="shared" si="27"/>
        <v>May-25</v>
      </c>
      <c r="E92" s="288" t="s">
        <v>107</v>
      </c>
      <c r="F92" s="289">
        <v>45800</v>
      </c>
      <c r="G92" s="290" t="s">
        <v>364</v>
      </c>
      <c r="H92" s="291" t="s">
        <v>2592</v>
      </c>
      <c r="I92" s="290" t="s">
        <v>254</v>
      </c>
      <c r="J92" s="387" t="s">
        <v>839</v>
      </c>
      <c r="K92" s="289">
        <v>45800</v>
      </c>
      <c r="L92" s="291" t="s">
        <v>840</v>
      </c>
      <c r="M92" s="289">
        <v>45800</v>
      </c>
      <c r="N92" s="291" t="s">
        <v>255</v>
      </c>
      <c r="O92" s="290" t="s">
        <v>841</v>
      </c>
      <c r="P92" s="291" t="s">
        <v>500</v>
      </c>
      <c r="Q92" s="291" t="s">
        <v>757</v>
      </c>
      <c r="R92" s="458">
        <v>3410</v>
      </c>
      <c r="S92" s="404">
        <v>31.120999999999999</v>
      </c>
      <c r="T92" s="459">
        <f t="shared" si="19"/>
        <v>106122.61</v>
      </c>
      <c r="U92" s="409" t="s">
        <v>107</v>
      </c>
      <c r="V92" s="288" t="s">
        <v>313</v>
      </c>
      <c r="W92" s="296" t="str">
        <f t="shared" si="28"/>
        <v>Aug-25</v>
      </c>
      <c r="X92" s="293" t="s">
        <v>2617</v>
      </c>
      <c r="Y92" s="293" t="s">
        <v>1578</v>
      </c>
      <c r="Z92" s="318">
        <v>45879</v>
      </c>
      <c r="AA92" s="293" t="s">
        <v>1584</v>
      </c>
      <c r="AB92" s="293" t="s">
        <v>1465</v>
      </c>
      <c r="AC92" s="298" t="s">
        <v>501</v>
      </c>
      <c r="AD92" s="298" t="s">
        <v>501</v>
      </c>
      <c r="AE92" s="512">
        <v>18580</v>
      </c>
      <c r="AF92" s="513">
        <v>33.75</v>
      </c>
      <c r="AG92" s="514">
        <f t="shared" si="20"/>
        <v>627075</v>
      </c>
      <c r="AH92" s="514">
        <v>-2025</v>
      </c>
      <c r="AI92" s="514">
        <f t="shared" si="21"/>
        <v>625050</v>
      </c>
      <c r="AJ92" s="514">
        <v>0</v>
      </c>
      <c r="AK92" s="514">
        <f t="shared" si="22"/>
        <v>18580</v>
      </c>
      <c r="AL92" s="514">
        <f t="shared" si="23"/>
        <v>578228.17999999993</v>
      </c>
      <c r="AM92" s="515">
        <f t="shared" si="24"/>
        <v>46821.820000000065</v>
      </c>
      <c r="AN92" s="299">
        <f t="shared" si="25"/>
        <v>7.4908919286457182E-2</v>
      </c>
      <c r="AO92" s="296">
        <f t="shared" si="29"/>
        <v>578228.17999999993</v>
      </c>
      <c r="AP92" s="274">
        <f t="shared" si="31"/>
        <v>79</v>
      </c>
      <c r="AQ92" s="275">
        <f t="shared" si="32"/>
        <v>2147.6018048356168</v>
      </c>
      <c r="AR92" s="275">
        <f t="shared" si="30"/>
        <v>44674.218195164445</v>
      </c>
      <c r="AS92" s="280">
        <f t="shared" si="33"/>
        <v>7.1473031269761525E-2</v>
      </c>
    </row>
    <row r="93" spans="2:45" x14ac:dyDescent="0.3">
      <c r="B93" s="287">
        <f t="shared" si="26"/>
        <v>89</v>
      </c>
      <c r="C93" s="272" t="s">
        <v>174</v>
      </c>
      <c r="D93" s="288" t="str">
        <f t="shared" si="27"/>
        <v>May-25</v>
      </c>
      <c r="E93" s="288" t="s">
        <v>107</v>
      </c>
      <c r="F93" s="289">
        <v>45803</v>
      </c>
      <c r="G93" s="290" t="s">
        <v>374</v>
      </c>
      <c r="H93" s="291" t="s">
        <v>2592</v>
      </c>
      <c r="I93" s="290" t="s">
        <v>254</v>
      </c>
      <c r="J93" s="387" t="s">
        <v>842</v>
      </c>
      <c r="K93" s="289">
        <v>45803</v>
      </c>
      <c r="L93" s="291" t="s">
        <v>843</v>
      </c>
      <c r="M93" s="289">
        <v>45803</v>
      </c>
      <c r="N93" s="291" t="s">
        <v>255</v>
      </c>
      <c r="O93" s="290" t="s">
        <v>314</v>
      </c>
      <c r="P93" s="291" t="s">
        <v>500</v>
      </c>
      <c r="Q93" s="291" t="s">
        <v>757</v>
      </c>
      <c r="R93" s="458">
        <v>3290</v>
      </c>
      <c r="S93" s="404">
        <v>31.120999999999999</v>
      </c>
      <c r="T93" s="459">
        <f t="shared" si="19"/>
        <v>102388.09</v>
      </c>
      <c r="U93" s="409" t="s">
        <v>107</v>
      </c>
      <c r="V93" s="288" t="s">
        <v>313</v>
      </c>
      <c r="W93" s="296" t="str">
        <f t="shared" si="28"/>
        <v>Aug-25</v>
      </c>
      <c r="X93" s="293" t="s">
        <v>2617</v>
      </c>
      <c r="Y93" s="293" t="s">
        <v>1603</v>
      </c>
      <c r="Z93" s="318">
        <v>45880</v>
      </c>
      <c r="AA93" s="293" t="s">
        <v>1605</v>
      </c>
      <c r="AB93" s="293" t="s">
        <v>1465</v>
      </c>
      <c r="AC93" s="298" t="s">
        <v>501</v>
      </c>
      <c r="AD93" s="298" t="s">
        <v>501</v>
      </c>
      <c r="AE93" s="512">
        <v>17935</v>
      </c>
      <c r="AF93" s="513">
        <v>33.75</v>
      </c>
      <c r="AG93" s="514">
        <f t="shared" si="20"/>
        <v>605306.25</v>
      </c>
      <c r="AH93" s="514">
        <v>0</v>
      </c>
      <c r="AI93" s="514">
        <f t="shared" si="21"/>
        <v>605306.25</v>
      </c>
      <c r="AJ93" s="514">
        <v>0</v>
      </c>
      <c r="AK93" s="514">
        <f t="shared" si="22"/>
        <v>17935</v>
      </c>
      <c r="AL93" s="514">
        <f t="shared" si="23"/>
        <v>558155.13500000001</v>
      </c>
      <c r="AM93" s="515">
        <f t="shared" si="24"/>
        <v>47151.114999999991</v>
      </c>
      <c r="AN93" s="299">
        <f t="shared" si="25"/>
        <v>7.7896296296296283E-2</v>
      </c>
      <c r="AO93" s="296">
        <f t="shared" si="29"/>
        <v>558155.13500000001</v>
      </c>
      <c r="AP93" s="274">
        <f t="shared" si="31"/>
        <v>77</v>
      </c>
      <c r="AQ93" s="275">
        <f t="shared" si="32"/>
        <v>2019.5700108356164</v>
      </c>
      <c r="AR93" s="275">
        <f t="shared" si="30"/>
        <v>45131.544989164373</v>
      </c>
      <c r="AS93" s="280">
        <f t="shared" si="33"/>
        <v>7.455985294908879E-2</v>
      </c>
    </row>
    <row r="94" spans="2:45" x14ac:dyDescent="0.3">
      <c r="B94" s="287">
        <f t="shared" si="26"/>
        <v>90</v>
      </c>
      <c r="C94" s="272" t="s">
        <v>174</v>
      </c>
      <c r="D94" s="288" t="str">
        <f t="shared" si="27"/>
        <v>May-25</v>
      </c>
      <c r="E94" s="288" t="s">
        <v>107</v>
      </c>
      <c r="F94" s="289">
        <v>45806</v>
      </c>
      <c r="G94" s="290" t="s">
        <v>375</v>
      </c>
      <c r="H94" s="291" t="s">
        <v>2592</v>
      </c>
      <c r="I94" s="290" t="s">
        <v>254</v>
      </c>
      <c r="J94" s="387" t="s">
        <v>844</v>
      </c>
      <c r="K94" s="289">
        <v>45806</v>
      </c>
      <c r="L94" s="291" t="s">
        <v>845</v>
      </c>
      <c r="M94" s="289">
        <v>45806</v>
      </c>
      <c r="N94" s="291" t="s">
        <v>255</v>
      </c>
      <c r="O94" s="290" t="s">
        <v>300</v>
      </c>
      <c r="P94" s="291" t="s">
        <v>500</v>
      </c>
      <c r="Q94" s="291" t="s">
        <v>757</v>
      </c>
      <c r="R94" s="458">
        <v>2800</v>
      </c>
      <c r="S94" s="404">
        <v>31.120999999999999</v>
      </c>
      <c r="T94" s="459">
        <f t="shared" si="19"/>
        <v>87138.8</v>
      </c>
      <c r="U94" s="409" t="s">
        <v>107</v>
      </c>
      <c r="V94" s="288" t="s">
        <v>313</v>
      </c>
      <c r="W94" s="296" t="str">
        <f t="shared" si="28"/>
        <v>Aug-25</v>
      </c>
      <c r="X94" s="293" t="s">
        <v>500</v>
      </c>
      <c r="Y94" s="293" t="s">
        <v>1604</v>
      </c>
      <c r="Z94" s="318">
        <v>45881</v>
      </c>
      <c r="AA94" s="293" t="s">
        <v>1606</v>
      </c>
      <c r="AB94" s="293" t="s">
        <v>373</v>
      </c>
      <c r="AC94" s="298" t="s">
        <v>500</v>
      </c>
      <c r="AD94" s="298" t="s">
        <v>2630</v>
      </c>
      <c r="AE94" s="512">
        <v>25320</v>
      </c>
      <c r="AF94" s="513">
        <v>33</v>
      </c>
      <c r="AG94" s="514">
        <f t="shared" si="20"/>
        <v>835560</v>
      </c>
      <c r="AH94" s="514">
        <v>-25320</v>
      </c>
      <c r="AI94" s="514">
        <f t="shared" si="21"/>
        <v>810240</v>
      </c>
      <c r="AJ94" s="514">
        <v>0</v>
      </c>
      <c r="AK94" s="514">
        <f t="shared" si="22"/>
        <v>25320</v>
      </c>
      <c r="AL94" s="514">
        <f t="shared" si="23"/>
        <v>787983.72</v>
      </c>
      <c r="AM94" s="515">
        <f t="shared" si="24"/>
        <v>22256.280000000028</v>
      </c>
      <c r="AN94" s="299">
        <f t="shared" si="25"/>
        <v>2.7468750000000035E-2</v>
      </c>
      <c r="AO94" s="296">
        <f t="shared" si="29"/>
        <v>787983.72</v>
      </c>
      <c r="AP94" s="274">
        <f t="shared" si="31"/>
        <v>75</v>
      </c>
      <c r="AQ94" s="275">
        <f t="shared" si="32"/>
        <v>1674.139273972603</v>
      </c>
      <c r="AR94" s="275">
        <f t="shared" si="30"/>
        <v>20582.140726027425</v>
      </c>
      <c r="AS94" s="280">
        <f t="shared" si="33"/>
        <v>2.5402523605385349E-2</v>
      </c>
    </row>
    <row r="95" spans="2:45" x14ac:dyDescent="0.3">
      <c r="B95" s="287">
        <f t="shared" si="26"/>
        <v>91</v>
      </c>
      <c r="C95" s="272" t="s">
        <v>174</v>
      </c>
      <c r="D95" s="288" t="str">
        <f t="shared" si="27"/>
        <v>May-25</v>
      </c>
      <c r="E95" s="288" t="s">
        <v>107</v>
      </c>
      <c r="F95" s="289">
        <v>45806</v>
      </c>
      <c r="G95" s="290" t="s">
        <v>376</v>
      </c>
      <c r="H95" s="291" t="s">
        <v>2592</v>
      </c>
      <c r="I95" s="290" t="s">
        <v>254</v>
      </c>
      <c r="J95" s="387" t="s">
        <v>846</v>
      </c>
      <c r="K95" s="289">
        <v>45806</v>
      </c>
      <c r="L95" s="291" t="s">
        <v>847</v>
      </c>
      <c r="M95" s="289">
        <v>45806</v>
      </c>
      <c r="N95" s="291" t="s">
        <v>255</v>
      </c>
      <c r="O95" s="290" t="s">
        <v>848</v>
      </c>
      <c r="P95" s="291" t="s">
        <v>500</v>
      </c>
      <c r="Q95" s="291" t="s">
        <v>757</v>
      </c>
      <c r="R95" s="458">
        <v>2600</v>
      </c>
      <c r="S95" s="404">
        <v>31.120999999999999</v>
      </c>
      <c r="T95" s="459">
        <f t="shared" si="19"/>
        <v>80914.599999999991</v>
      </c>
      <c r="U95" s="409" t="s">
        <v>107</v>
      </c>
      <c r="V95" s="288" t="s">
        <v>313</v>
      </c>
      <c r="W95" s="296" t="str">
        <f t="shared" si="28"/>
        <v>Aug-25</v>
      </c>
      <c r="X95" s="293" t="s">
        <v>2617</v>
      </c>
      <c r="Y95" s="293" t="s">
        <v>1607</v>
      </c>
      <c r="Z95" s="318">
        <v>45882</v>
      </c>
      <c r="AA95" s="293" t="s">
        <v>1608</v>
      </c>
      <c r="AB95" s="293" t="s">
        <v>2627</v>
      </c>
      <c r="AC95" s="298" t="s">
        <v>501</v>
      </c>
      <c r="AD95" s="298" t="s">
        <v>501</v>
      </c>
      <c r="AE95" s="512">
        <v>25480</v>
      </c>
      <c r="AF95" s="513">
        <v>35.700000000000003</v>
      </c>
      <c r="AG95" s="514">
        <f t="shared" si="20"/>
        <v>909636.00000000012</v>
      </c>
      <c r="AH95" s="514">
        <v>-3927</v>
      </c>
      <c r="AI95" s="514">
        <f t="shared" si="21"/>
        <v>905709.00000000012</v>
      </c>
      <c r="AJ95" s="514">
        <v>0</v>
      </c>
      <c r="AK95" s="514">
        <f t="shared" si="22"/>
        <v>25480</v>
      </c>
      <c r="AL95" s="514">
        <f t="shared" si="23"/>
        <v>792963.08</v>
      </c>
      <c r="AM95" s="515">
        <f t="shared" si="24"/>
        <v>112745.92000000016</v>
      </c>
      <c r="AN95" s="299">
        <f t="shared" si="25"/>
        <v>0.12448360345320643</v>
      </c>
      <c r="AO95" s="296">
        <f t="shared" si="29"/>
        <v>792963.08</v>
      </c>
      <c r="AP95" s="274">
        <f t="shared" si="31"/>
        <v>76</v>
      </c>
      <c r="AQ95" s="275">
        <f t="shared" si="32"/>
        <v>1575.285335890411</v>
      </c>
      <c r="AR95" s="275">
        <f t="shared" si="30"/>
        <v>111170.63466410975</v>
      </c>
      <c r="AS95" s="280">
        <f t="shared" si="33"/>
        <v>0.12274431927264688</v>
      </c>
    </row>
    <row r="96" spans="2:45" x14ac:dyDescent="0.3">
      <c r="B96" s="287">
        <f t="shared" si="26"/>
        <v>92</v>
      </c>
      <c r="C96" s="272" t="s">
        <v>174</v>
      </c>
      <c r="D96" s="288" t="str">
        <f t="shared" si="27"/>
        <v>May-25</v>
      </c>
      <c r="E96" s="288" t="s">
        <v>107</v>
      </c>
      <c r="F96" s="289">
        <v>45807</v>
      </c>
      <c r="G96" s="290" t="s">
        <v>378</v>
      </c>
      <c r="H96" s="291" t="s">
        <v>2593</v>
      </c>
      <c r="I96" s="290" t="s">
        <v>298</v>
      </c>
      <c r="J96" s="387" t="s">
        <v>851</v>
      </c>
      <c r="K96" s="289">
        <v>45807</v>
      </c>
      <c r="L96" s="291" t="s">
        <v>852</v>
      </c>
      <c r="M96" s="289">
        <v>45807</v>
      </c>
      <c r="N96" s="291" t="s">
        <v>255</v>
      </c>
      <c r="O96" s="290" t="s">
        <v>300</v>
      </c>
      <c r="P96" s="291" t="s">
        <v>500</v>
      </c>
      <c r="Q96" s="291" t="s">
        <v>757</v>
      </c>
      <c r="R96" s="458">
        <v>3320</v>
      </c>
      <c r="S96" s="404">
        <v>30.151</v>
      </c>
      <c r="T96" s="459">
        <f t="shared" si="19"/>
        <v>100101.31999999999</v>
      </c>
      <c r="U96" s="409" t="s">
        <v>107</v>
      </c>
      <c r="V96" s="288" t="s">
        <v>313</v>
      </c>
      <c r="W96" s="296" t="str">
        <f t="shared" si="28"/>
        <v>Aug-25</v>
      </c>
      <c r="X96" s="293" t="s">
        <v>2617</v>
      </c>
      <c r="Y96" s="293" t="s">
        <v>1623</v>
      </c>
      <c r="Z96" s="318">
        <v>45888</v>
      </c>
      <c r="AA96" s="293" t="s">
        <v>1628</v>
      </c>
      <c r="AB96" s="293" t="s">
        <v>2627</v>
      </c>
      <c r="AC96" s="298" t="s">
        <v>501</v>
      </c>
      <c r="AD96" s="298" t="s">
        <v>501</v>
      </c>
      <c r="AE96" s="512">
        <v>25670</v>
      </c>
      <c r="AF96" s="513">
        <v>35.700000000000003</v>
      </c>
      <c r="AG96" s="514">
        <f t="shared" si="20"/>
        <v>916419.00000000012</v>
      </c>
      <c r="AH96" s="514">
        <v>-4641</v>
      </c>
      <c r="AI96" s="514">
        <f t="shared" si="21"/>
        <v>911778.00000000012</v>
      </c>
      <c r="AJ96" s="514">
        <v>0</v>
      </c>
      <c r="AK96" s="514">
        <f t="shared" si="22"/>
        <v>25670</v>
      </c>
      <c r="AL96" s="514">
        <f t="shared" si="23"/>
        <v>773976.17</v>
      </c>
      <c r="AM96" s="515">
        <f t="shared" si="24"/>
        <v>137801.83000000007</v>
      </c>
      <c r="AN96" s="299">
        <f t="shared" si="25"/>
        <v>0.15113528731774628</v>
      </c>
      <c r="AO96" s="296">
        <f t="shared" si="29"/>
        <v>773976.17</v>
      </c>
      <c r="AP96" s="274">
        <f t="shared" si="31"/>
        <v>81</v>
      </c>
      <c r="AQ96" s="275">
        <f t="shared" si="32"/>
        <v>2077.0338274520545</v>
      </c>
      <c r="AR96" s="275">
        <f t="shared" si="30"/>
        <v>135724.79617254803</v>
      </c>
      <c r="AS96" s="280">
        <f t="shared" si="33"/>
        <v>0.14885728343143617</v>
      </c>
    </row>
    <row r="97" spans="2:45" x14ac:dyDescent="0.3">
      <c r="B97" s="287">
        <f t="shared" si="26"/>
        <v>93</v>
      </c>
      <c r="C97" s="272" t="s">
        <v>174</v>
      </c>
      <c r="D97" s="288" t="str">
        <f t="shared" si="27"/>
        <v>May-25</v>
      </c>
      <c r="E97" s="288" t="s">
        <v>107</v>
      </c>
      <c r="F97" s="289">
        <v>45807</v>
      </c>
      <c r="G97" s="290" t="s">
        <v>377</v>
      </c>
      <c r="H97" s="291" t="s">
        <v>2593</v>
      </c>
      <c r="I97" s="290" t="s">
        <v>298</v>
      </c>
      <c r="J97" s="387" t="s">
        <v>849</v>
      </c>
      <c r="K97" s="289">
        <v>45807</v>
      </c>
      <c r="L97" s="291" t="s">
        <v>850</v>
      </c>
      <c r="M97" s="289">
        <v>45807</v>
      </c>
      <c r="N97" s="291" t="s">
        <v>255</v>
      </c>
      <c r="O97" s="290" t="s">
        <v>848</v>
      </c>
      <c r="P97" s="291" t="s">
        <v>500</v>
      </c>
      <c r="Q97" s="291" t="s">
        <v>757</v>
      </c>
      <c r="R97" s="458">
        <v>4240</v>
      </c>
      <c r="S97" s="404">
        <v>30.151</v>
      </c>
      <c r="T97" s="459">
        <f t="shared" si="19"/>
        <v>127840.24</v>
      </c>
      <c r="U97" s="409" t="s">
        <v>107</v>
      </c>
      <c r="V97" s="288" t="s">
        <v>313</v>
      </c>
      <c r="W97" s="296" t="str">
        <f t="shared" si="28"/>
        <v>Aug-25</v>
      </c>
      <c r="X97" s="293" t="s">
        <v>502</v>
      </c>
      <c r="Y97" s="293" t="s">
        <v>1627</v>
      </c>
      <c r="Z97" s="318">
        <v>45890</v>
      </c>
      <c r="AA97" s="293" t="s">
        <v>1632</v>
      </c>
      <c r="AB97" s="293" t="s">
        <v>2596</v>
      </c>
      <c r="AC97" s="298" t="s">
        <v>501</v>
      </c>
      <c r="AD97" s="298" t="s">
        <v>501</v>
      </c>
      <c r="AE97" s="512">
        <v>6070</v>
      </c>
      <c r="AF97" s="513">
        <v>28</v>
      </c>
      <c r="AG97" s="514">
        <f t="shared" si="20"/>
        <v>169960</v>
      </c>
      <c r="AH97" s="514">
        <v>0</v>
      </c>
      <c r="AI97" s="514">
        <f t="shared" si="21"/>
        <v>169960</v>
      </c>
      <c r="AJ97" s="514">
        <v>0</v>
      </c>
      <c r="AK97" s="514">
        <f t="shared" si="22"/>
        <v>6070</v>
      </c>
      <c r="AL97" s="514">
        <f t="shared" si="23"/>
        <v>183016.57</v>
      </c>
      <c r="AM97" s="515">
        <f t="shared" si="24"/>
        <v>-13056.570000000007</v>
      </c>
      <c r="AN97" s="299">
        <f t="shared" si="25"/>
        <v>-7.682142857142861E-2</v>
      </c>
      <c r="AO97" s="296">
        <f t="shared" si="29"/>
        <v>183016.57</v>
      </c>
      <c r="AP97" s="274">
        <f t="shared" si="31"/>
        <v>83</v>
      </c>
      <c r="AQ97" s="275">
        <f t="shared" si="32"/>
        <v>2718.0936507397259</v>
      </c>
      <c r="AR97" s="275">
        <f t="shared" si="30"/>
        <v>-15774.663650739732</v>
      </c>
      <c r="AS97" s="280">
        <f t="shared" si="33"/>
        <v>-9.2813977704987838E-2</v>
      </c>
    </row>
    <row r="98" spans="2:45" x14ac:dyDescent="0.3">
      <c r="B98" s="287">
        <f t="shared" si="26"/>
        <v>94</v>
      </c>
      <c r="C98" s="272" t="s">
        <v>174</v>
      </c>
      <c r="D98" s="288" t="str">
        <f t="shared" si="27"/>
        <v>Jun-25</v>
      </c>
      <c r="E98" s="288" t="s">
        <v>107</v>
      </c>
      <c r="F98" s="289">
        <v>45811</v>
      </c>
      <c r="G98" s="290" t="s">
        <v>408</v>
      </c>
      <c r="H98" s="291" t="s">
        <v>2597</v>
      </c>
      <c r="I98" s="290" t="s">
        <v>853</v>
      </c>
      <c r="J98" s="387">
        <v>6122503531</v>
      </c>
      <c r="K98" s="289">
        <v>45811</v>
      </c>
      <c r="L98" s="291" t="s">
        <v>856</v>
      </c>
      <c r="M98" s="289">
        <v>45812</v>
      </c>
      <c r="N98" s="291" t="s">
        <v>255</v>
      </c>
      <c r="O98" s="290" t="s">
        <v>300</v>
      </c>
      <c r="P98" s="291" t="s">
        <v>500</v>
      </c>
      <c r="Q98" s="291" t="s">
        <v>2607</v>
      </c>
      <c r="R98" s="458">
        <v>8540</v>
      </c>
      <c r="S98" s="404">
        <v>34.200000000000003</v>
      </c>
      <c r="T98" s="459">
        <f t="shared" si="19"/>
        <v>292068</v>
      </c>
      <c r="U98" s="409" t="s">
        <v>107</v>
      </c>
      <c r="V98" s="288" t="s">
        <v>313</v>
      </c>
      <c r="W98" s="296" t="str">
        <f t="shared" si="28"/>
        <v>Aug-25</v>
      </c>
      <c r="X98" s="293" t="s">
        <v>502</v>
      </c>
      <c r="Y98" s="293" t="s">
        <v>1624</v>
      </c>
      <c r="Z98" s="318">
        <v>45890</v>
      </c>
      <c r="AA98" s="293" t="s">
        <v>1629</v>
      </c>
      <c r="AB98" s="293" t="s">
        <v>2596</v>
      </c>
      <c r="AC98" s="298" t="s">
        <v>501</v>
      </c>
      <c r="AD98" s="298" t="s">
        <v>501</v>
      </c>
      <c r="AE98" s="512">
        <v>4210</v>
      </c>
      <c r="AF98" s="513">
        <v>28</v>
      </c>
      <c r="AG98" s="514">
        <f t="shared" si="20"/>
        <v>117880</v>
      </c>
      <c r="AH98" s="514">
        <v>0</v>
      </c>
      <c r="AI98" s="514">
        <f t="shared" si="21"/>
        <v>117880</v>
      </c>
      <c r="AJ98" s="514">
        <v>0</v>
      </c>
      <c r="AK98" s="514">
        <f t="shared" si="22"/>
        <v>4210</v>
      </c>
      <c r="AL98" s="514">
        <f t="shared" si="23"/>
        <v>143982</v>
      </c>
      <c r="AM98" s="515">
        <f t="shared" si="24"/>
        <v>-26102</v>
      </c>
      <c r="AN98" s="299">
        <f t="shared" si="25"/>
        <v>-0.22142857142857142</v>
      </c>
      <c r="AO98" s="296">
        <f t="shared" si="29"/>
        <v>143982</v>
      </c>
      <c r="AP98" s="274">
        <f t="shared" si="31"/>
        <v>79</v>
      </c>
      <c r="AQ98" s="275">
        <f t="shared" si="32"/>
        <v>5910.5761150684939</v>
      </c>
      <c r="AR98" s="275">
        <f t="shared" si="30"/>
        <v>-32012.576115068492</v>
      </c>
      <c r="AS98" s="280">
        <f t="shared" si="33"/>
        <v>-0.27156918998191798</v>
      </c>
    </row>
    <row r="99" spans="2:45" x14ac:dyDescent="0.3">
      <c r="B99" s="287">
        <f t="shared" si="26"/>
        <v>95</v>
      </c>
      <c r="C99" s="272" t="s">
        <v>174</v>
      </c>
      <c r="D99" s="288" t="str">
        <f t="shared" si="27"/>
        <v>Jun-25</v>
      </c>
      <c r="E99" s="288" t="s">
        <v>107</v>
      </c>
      <c r="F99" s="289">
        <v>45811</v>
      </c>
      <c r="G99" s="290" t="s">
        <v>405</v>
      </c>
      <c r="H99" s="291" t="s">
        <v>2597</v>
      </c>
      <c r="I99" s="290" t="s">
        <v>853</v>
      </c>
      <c r="J99" s="387">
        <v>6122503525</v>
      </c>
      <c r="K99" s="289">
        <v>45811</v>
      </c>
      <c r="L99" s="291" t="s">
        <v>854</v>
      </c>
      <c r="M99" s="289">
        <v>45812</v>
      </c>
      <c r="N99" s="291" t="s">
        <v>255</v>
      </c>
      <c r="O99" s="290" t="s">
        <v>299</v>
      </c>
      <c r="P99" s="291" t="s">
        <v>500</v>
      </c>
      <c r="Q99" s="291" t="s">
        <v>2607</v>
      </c>
      <c r="R99" s="458">
        <v>7535</v>
      </c>
      <c r="S99" s="404">
        <v>34.200000000000003</v>
      </c>
      <c r="T99" s="459">
        <f t="shared" si="19"/>
        <v>257697.00000000003</v>
      </c>
      <c r="U99" s="409" t="s">
        <v>107</v>
      </c>
      <c r="V99" s="288" t="s">
        <v>313</v>
      </c>
      <c r="W99" s="296" t="str">
        <f t="shared" si="28"/>
        <v>Aug-25</v>
      </c>
      <c r="X99" s="293" t="s">
        <v>502</v>
      </c>
      <c r="Y99" s="293" t="s">
        <v>1625</v>
      </c>
      <c r="Z99" s="318">
        <v>45890</v>
      </c>
      <c r="AA99" s="293" t="s">
        <v>1630</v>
      </c>
      <c r="AB99" s="293" t="s">
        <v>2596</v>
      </c>
      <c r="AC99" s="298" t="s">
        <v>501</v>
      </c>
      <c r="AD99" s="298" t="s">
        <v>501</v>
      </c>
      <c r="AE99" s="512">
        <v>4300</v>
      </c>
      <c r="AF99" s="513">
        <v>28</v>
      </c>
      <c r="AG99" s="514">
        <f t="shared" si="20"/>
        <v>120400</v>
      </c>
      <c r="AH99" s="514">
        <v>0</v>
      </c>
      <c r="AI99" s="514">
        <f t="shared" si="21"/>
        <v>120400</v>
      </c>
      <c r="AJ99" s="514">
        <v>0</v>
      </c>
      <c r="AK99" s="514">
        <f t="shared" si="22"/>
        <v>4300</v>
      </c>
      <c r="AL99" s="514">
        <f t="shared" si="23"/>
        <v>147060</v>
      </c>
      <c r="AM99" s="515">
        <f t="shared" si="24"/>
        <v>-26660</v>
      </c>
      <c r="AN99" s="299">
        <f t="shared" si="25"/>
        <v>-0.22142857142857142</v>
      </c>
      <c r="AO99" s="296">
        <f t="shared" si="29"/>
        <v>147060</v>
      </c>
      <c r="AP99" s="274">
        <f t="shared" si="31"/>
        <v>79</v>
      </c>
      <c r="AQ99" s="275">
        <f t="shared" si="32"/>
        <v>5215.0106589041097</v>
      </c>
      <c r="AR99" s="275">
        <f t="shared" si="30"/>
        <v>-31875.01065890411</v>
      </c>
      <c r="AS99" s="280">
        <f t="shared" si="33"/>
        <v>-0.26474261344604744</v>
      </c>
    </row>
    <row r="100" spans="2:45" x14ac:dyDescent="0.3">
      <c r="B100" s="287">
        <f t="shared" si="26"/>
        <v>96</v>
      </c>
      <c r="C100" s="272" t="s">
        <v>174</v>
      </c>
      <c r="D100" s="288" t="str">
        <f t="shared" si="27"/>
        <v>Jun-25</v>
      </c>
      <c r="E100" s="288" t="s">
        <v>107</v>
      </c>
      <c r="F100" s="289">
        <v>45811</v>
      </c>
      <c r="G100" s="290" t="s">
        <v>407</v>
      </c>
      <c r="H100" s="291" t="s">
        <v>2597</v>
      </c>
      <c r="I100" s="290" t="s">
        <v>853</v>
      </c>
      <c r="J100" s="387">
        <v>6122503528</v>
      </c>
      <c r="K100" s="289">
        <v>45811</v>
      </c>
      <c r="L100" s="291" t="s">
        <v>855</v>
      </c>
      <c r="M100" s="289">
        <v>45812</v>
      </c>
      <c r="N100" s="291" t="s">
        <v>255</v>
      </c>
      <c r="O100" s="290" t="s">
        <v>848</v>
      </c>
      <c r="P100" s="291" t="s">
        <v>500</v>
      </c>
      <c r="Q100" s="291" t="s">
        <v>2607</v>
      </c>
      <c r="R100" s="458">
        <v>7810</v>
      </c>
      <c r="S100" s="404">
        <v>34.200000000000003</v>
      </c>
      <c r="T100" s="459">
        <f t="shared" si="19"/>
        <v>267102</v>
      </c>
      <c r="U100" s="409" t="s">
        <v>107</v>
      </c>
      <c r="V100" s="288" t="s">
        <v>313</v>
      </c>
      <c r="W100" s="296" t="str">
        <f t="shared" si="28"/>
        <v>Aug-25</v>
      </c>
      <c r="X100" s="293" t="s">
        <v>502</v>
      </c>
      <c r="Y100" s="293" t="s">
        <v>1626</v>
      </c>
      <c r="Z100" s="318">
        <v>45890</v>
      </c>
      <c r="AA100" s="293" t="s">
        <v>1631</v>
      </c>
      <c r="AB100" s="293" t="s">
        <v>2596</v>
      </c>
      <c r="AC100" s="298" t="s">
        <v>501</v>
      </c>
      <c r="AD100" s="298" t="s">
        <v>501</v>
      </c>
      <c r="AE100" s="512">
        <v>4030</v>
      </c>
      <c r="AF100" s="513">
        <v>28</v>
      </c>
      <c r="AG100" s="514">
        <f t="shared" si="20"/>
        <v>112840</v>
      </c>
      <c r="AH100" s="514">
        <v>0</v>
      </c>
      <c r="AI100" s="514">
        <f t="shared" si="21"/>
        <v>112840</v>
      </c>
      <c r="AJ100" s="514">
        <v>0</v>
      </c>
      <c r="AK100" s="514">
        <f t="shared" si="22"/>
        <v>4030</v>
      </c>
      <c r="AL100" s="514">
        <f t="shared" si="23"/>
        <v>137826</v>
      </c>
      <c r="AM100" s="515">
        <f t="shared" si="24"/>
        <v>-24986</v>
      </c>
      <c r="AN100" s="299">
        <f t="shared" si="25"/>
        <v>-0.22142857142857142</v>
      </c>
      <c r="AO100" s="296">
        <f t="shared" si="29"/>
        <v>137826</v>
      </c>
      <c r="AP100" s="274">
        <f t="shared" si="31"/>
        <v>79</v>
      </c>
      <c r="AQ100" s="275">
        <f t="shared" si="32"/>
        <v>5405.3395150684928</v>
      </c>
      <c r="AR100" s="275">
        <f t="shared" si="30"/>
        <v>-30391.339515068492</v>
      </c>
      <c r="AS100" s="280">
        <f t="shared" si="33"/>
        <v>-0.26933126121117063</v>
      </c>
    </row>
    <row r="101" spans="2:45" x14ac:dyDescent="0.3">
      <c r="B101" s="287">
        <f t="shared" si="26"/>
        <v>97</v>
      </c>
      <c r="C101" s="272" t="s">
        <v>174</v>
      </c>
      <c r="D101" s="288" t="str">
        <f t="shared" si="27"/>
        <v>Jun-25</v>
      </c>
      <c r="E101" s="288" t="s">
        <v>107</v>
      </c>
      <c r="F101" s="289">
        <v>45812</v>
      </c>
      <c r="G101" s="290" t="s">
        <v>409</v>
      </c>
      <c r="H101" s="291" t="s">
        <v>2597</v>
      </c>
      <c r="I101" s="290" t="s">
        <v>853</v>
      </c>
      <c r="J101" s="387">
        <v>6122503572</v>
      </c>
      <c r="K101" s="289">
        <v>45812</v>
      </c>
      <c r="L101" s="291" t="s">
        <v>857</v>
      </c>
      <c r="M101" s="289">
        <v>45812</v>
      </c>
      <c r="N101" s="291" t="s">
        <v>255</v>
      </c>
      <c r="O101" s="290" t="s">
        <v>813</v>
      </c>
      <c r="P101" s="291" t="s">
        <v>500</v>
      </c>
      <c r="Q101" s="291" t="s">
        <v>2607</v>
      </c>
      <c r="R101" s="458">
        <v>10970</v>
      </c>
      <c r="S101" s="404">
        <v>34.200000000000003</v>
      </c>
      <c r="T101" s="459">
        <f t="shared" si="19"/>
        <v>375174.00000000006</v>
      </c>
      <c r="U101" s="409" t="s">
        <v>107</v>
      </c>
      <c r="V101" s="288" t="s">
        <v>313</v>
      </c>
      <c r="W101" s="296" t="str">
        <f t="shared" si="28"/>
        <v>Aug-25</v>
      </c>
      <c r="X101" s="293" t="s">
        <v>2617</v>
      </c>
      <c r="Y101" s="293" t="s">
        <v>1647</v>
      </c>
      <c r="Z101" s="318">
        <v>45892</v>
      </c>
      <c r="AA101" s="293" t="s">
        <v>1651</v>
      </c>
      <c r="AB101" s="293" t="s">
        <v>2627</v>
      </c>
      <c r="AC101" s="298" t="s">
        <v>501</v>
      </c>
      <c r="AD101" s="298" t="s">
        <v>501</v>
      </c>
      <c r="AE101" s="512">
        <v>24295</v>
      </c>
      <c r="AF101" s="513">
        <v>35.700000000000003</v>
      </c>
      <c r="AG101" s="514">
        <f t="shared" si="20"/>
        <v>867331.50000000012</v>
      </c>
      <c r="AH101" s="514">
        <v>0</v>
      </c>
      <c r="AI101" s="514">
        <f t="shared" si="21"/>
        <v>867331.50000000012</v>
      </c>
      <c r="AJ101" s="514">
        <v>0</v>
      </c>
      <c r="AK101" s="514">
        <f t="shared" si="22"/>
        <v>24295</v>
      </c>
      <c r="AL101" s="514">
        <f t="shared" si="23"/>
        <v>830889.00000000012</v>
      </c>
      <c r="AM101" s="515">
        <f t="shared" si="24"/>
        <v>36442.5</v>
      </c>
      <c r="AN101" s="299">
        <f t="shared" si="25"/>
        <v>4.2016806722689072E-2</v>
      </c>
      <c r="AO101" s="296">
        <f t="shared" si="29"/>
        <v>830889.00000000012</v>
      </c>
      <c r="AP101" s="274">
        <f t="shared" si="31"/>
        <v>80</v>
      </c>
      <c r="AQ101" s="275">
        <f t="shared" si="32"/>
        <v>7688.4973150684946</v>
      </c>
      <c r="AR101" s="275">
        <f t="shared" si="30"/>
        <v>28754.002684931504</v>
      </c>
      <c r="AS101" s="280">
        <f t="shared" si="33"/>
        <v>3.3152263794098913E-2</v>
      </c>
    </row>
    <row r="102" spans="2:45" x14ac:dyDescent="0.3">
      <c r="B102" s="287">
        <f t="shared" si="26"/>
        <v>98</v>
      </c>
      <c r="C102" s="272" t="s">
        <v>174</v>
      </c>
      <c r="D102" s="288" t="str">
        <f t="shared" si="27"/>
        <v>Jun-25</v>
      </c>
      <c r="E102" s="288" t="s">
        <v>107</v>
      </c>
      <c r="F102" s="289">
        <v>45812</v>
      </c>
      <c r="G102" s="290" t="s">
        <v>410</v>
      </c>
      <c r="H102" s="291" t="s">
        <v>2597</v>
      </c>
      <c r="I102" s="290" t="s">
        <v>853</v>
      </c>
      <c r="J102" s="387">
        <v>6122503579</v>
      </c>
      <c r="K102" s="289">
        <v>45812</v>
      </c>
      <c r="L102" s="291" t="s">
        <v>858</v>
      </c>
      <c r="M102" s="289">
        <v>45812</v>
      </c>
      <c r="N102" s="291" t="s">
        <v>255</v>
      </c>
      <c r="O102" s="290" t="s">
        <v>402</v>
      </c>
      <c r="P102" s="291" t="s">
        <v>500</v>
      </c>
      <c r="Q102" s="291" t="s">
        <v>2607</v>
      </c>
      <c r="R102" s="458">
        <v>7995</v>
      </c>
      <c r="S102" s="404">
        <v>34.200000000000003</v>
      </c>
      <c r="T102" s="459">
        <f t="shared" si="19"/>
        <v>273429</v>
      </c>
      <c r="U102" s="409" t="s">
        <v>107</v>
      </c>
      <c r="V102" s="288" t="s">
        <v>313</v>
      </c>
      <c r="W102" s="296" t="str">
        <f t="shared" si="28"/>
        <v>Aug-25</v>
      </c>
      <c r="X102" s="293" t="s">
        <v>502</v>
      </c>
      <c r="Y102" s="293" t="s">
        <v>1645</v>
      </c>
      <c r="Z102" s="318">
        <v>45892</v>
      </c>
      <c r="AA102" s="293" t="s">
        <v>1649</v>
      </c>
      <c r="AB102" s="293" t="s">
        <v>2596</v>
      </c>
      <c r="AC102" s="298" t="s">
        <v>501</v>
      </c>
      <c r="AD102" s="298" t="s">
        <v>501</v>
      </c>
      <c r="AE102" s="512">
        <v>3290</v>
      </c>
      <c r="AF102" s="513">
        <v>28</v>
      </c>
      <c r="AG102" s="514">
        <f t="shared" si="20"/>
        <v>92120</v>
      </c>
      <c r="AH102" s="514">
        <v>0</v>
      </c>
      <c r="AI102" s="514">
        <f t="shared" si="21"/>
        <v>92120</v>
      </c>
      <c r="AJ102" s="514">
        <v>0</v>
      </c>
      <c r="AK102" s="514">
        <f t="shared" si="22"/>
        <v>3290</v>
      </c>
      <c r="AL102" s="514">
        <f t="shared" si="23"/>
        <v>112518.00000000001</v>
      </c>
      <c r="AM102" s="515">
        <f t="shared" si="24"/>
        <v>-20398.000000000015</v>
      </c>
      <c r="AN102" s="299">
        <f t="shared" si="25"/>
        <v>-0.22142857142857159</v>
      </c>
      <c r="AO102" s="296">
        <f t="shared" si="29"/>
        <v>112518.00000000001</v>
      </c>
      <c r="AP102" s="274">
        <f t="shared" si="31"/>
        <v>80</v>
      </c>
      <c r="AQ102" s="275">
        <f t="shared" si="32"/>
        <v>5603.4216986301371</v>
      </c>
      <c r="AR102" s="275">
        <f t="shared" si="30"/>
        <v>-26001.421698630151</v>
      </c>
      <c r="AS102" s="280">
        <f t="shared" si="33"/>
        <v>-0.28225598891261561</v>
      </c>
    </row>
    <row r="103" spans="2:45" x14ac:dyDescent="0.3">
      <c r="B103" s="287">
        <f t="shared" si="26"/>
        <v>99</v>
      </c>
      <c r="C103" s="272" t="s">
        <v>174</v>
      </c>
      <c r="D103" s="288" t="str">
        <f t="shared" si="27"/>
        <v>Jun-25</v>
      </c>
      <c r="E103" s="288" t="s">
        <v>107</v>
      </c>
      <c r="F103" s="289">
        <v>45812</v>
      </c>
      <c r="G103" s="290" t="s">
        <v>411</v>
      </c>
      <c r="H103" s="291" t="s">
        <v>2597</v>
      </c>
      <c r="I103" s="290" t="s">
        <v>853</v>
      </c>
      <c r="J103" s="387">
        <v>6122503583</v>
      </c>
      <c r="K103" s="289">
        <v>45812</v>
      </c>
      <c r="L103" s="291" t="s">
        <v>859</v>
      </c>
      <c r="M103" s="289">
        <v>45813</v>
      </c>
      <c r="N103" s="291" t="s">
        <v>255</v>
      </c>
      <c r="O103" s="290" t="s">
        <v>300</v>
      </c>
      <c r="P103" s="291" t="s">
        <v>500</v>
      </c>
      <c r="Q103" s="291" t="s">
        <v>2607</v>
      </c>
      <c r="R103" s="458">
        <v>5990</v>
      </c>
      <c r="S103" s="404">
        <v>34.200000000000003</v>
      </c>
      <c r="T103" s="459">
        <f t="shared" si="19"/>
        <v>204858.00000000003</v>
      </c>
      <c r="U103" s="409" t="s">
        <v>107</v>
      </c>
      <c r="V103" s="288" t="s">
        <v>313</v>
      </c>
      <c r="W103" s="296" t="str">
        <f t="shared" si="28"/>
        <v>Aug-25</v>
      </c>
      <c r="X103" s="293" t="s">
        <v>502</v>
      </c>
      <c r="Y103" s="293" t="s">
        <v>1646</v>
      </c>
      <c r="Z103" s="318">
        <v>45892</v>
      </c>
      <c r="AA103" s="293" t="s">
        <v>1650</v>
      </c>
      <c r="AB103" s="293" t="s">
        <v>2596</v>
      </c>
      <c r="AC103" s="298" t="s">
        <v>501</v>
      </c>
      <c r="AD103" s="298" t="s">
        <v>501</v>
      </c>
      <c r="AE103" s="512">
        <v>3280</v>
      </c>
      <c r="AF103" s="513">
        <v>28</v>
      </c>
      <c r="AG103" s="514">
        <f t="shared" si="20"/>
        <v>91840</v>
      </c>
      <c r="AH103" s="514">
        <v>0</v>
      </c>
      <c r="AI103" s="514">
        <f t="shared" si="21"/>
        <v>91840</v>
      </c>
      <c r="AJ103" s="514">
        <v>0</v>
      </c>
      <c r="AK103" s="514">
        <f t="shared" si="22"/>
        <v>3280</v>
      </c>
      <c r="AL103" s="514">
        <f t="shared" si="23"/>
        <v>112176.00000000001</v>
      </c>
      <c r="AM103" s="515">
        <f t="shared" si="24"/>
        <v>-20336.000000000015</v>
      </c>
      <c r="AN103" s="299">
        <f t="shared" si="25"/>
        <v>-0.22142857142857159</v>
      </c>
      <c r="AO103" s="296">
        <f t="shared" si="29"/>
        <v>112176.00000000001</v>
      </c>
      <c r="AP103" s="274">
        <f t="shared" si="31"/>
        <v>80</v>
      </c>
      <c r="AQ103" s="275">
        <f t="shared" si="32"/>
        <v>4198.1858630136985</v>
      </c>
      <c r="AR103" s="275">
        <f t="shared" si="30"/>
        <v>-24534.185863013714</v>
      </c>
      <c r="AS103" s="280">
        <f t="shared" si="33"/>
        <v>-0.26714052551190892</v>
      </c>
    </row>
    <row r="104" spans="2:45" x14ac:dyDescent="0.3">
      <c r="B104" s="287">
        <f t="shared" si="26"/>
        <v>100</v>
      </c>
      <c r="C104" s="272" t="s">
        <v>174</v>
      </c>
      <c r="D104" s="288" t="str">
        <f t="shared" si="27"/>
        <v>Jun-25</v>
      </c>
      <c r="E104" s="288" t="s">
        <v>107</v>
      </c>
      <c r="F104" s="289">
        <v>45813</v>
      </c>
      <c r="G104" s="290" t="s">
        <v>412</v>
      </c>
      <c r="H104" s="291" t="s">
        <v>2597</v>
      </c>
      <c r="I104" s="290" t="s">
        <v>853</v>
      </c>
      <c r="J104" s="387">
        <v>6122503641</v>
      </c>
      <c r="K104" s="289">
        <v>45813</v>
      </c>
      <c r="L104" s="291" t="s">
        <v>860</v>
      </c>
      <c r="M104" s="289">
        <v>45814</v>
      </c>
      <c r="N104" s="291" t="s">
        <v>255</v>
      </c>
      <c r="O104" s="290" t="s">
        <v>299</v>
      </c>
      <c r="P104" s="291" t="s">
        <v>500</v>
      </c>
      <c r="Q104" s="291" t="s">
        <v>2607</v>
      </c>
      <c r="R104" s="458">
        <v>9180</v>
      </c>
      <c r="S104" s="404">
        <v>34.200000000000003</v>
      </c>
      <c r="T104" s="459">
        <f t="shared" si="19"/>
        <v>313956</v>
      </c>
      <c r="U104" s="409" t="s">
        <v>107</v>
      </c>
      <c r="V104" s="288" t="s">
        <v>313</v>
      </c>
      <c r="W104" s="296" t="str">
        <f t="shared" si="28"/>
        <v>Aug-25</v>
      </c>
      <c r="X104" s="293" t="s">
        <v>502</v>
      </c>
      <c r="Y104" s="293" t="s">
        <v>1648</v>
      </c>
      <c r="Z104" s="318">
        <v>45892</v>
      </c>
      <c r="AA104" s="293" t="s">
        <v>1652</v>
      </c>
      <c r="AB104" s="293" t="s">
        <v>2596</v>
      </c>
      <c r="AC104" s="298" t="s">
        <v>501</v>
      </c>
      <c r="AD104" s="298" t="s">
        <v>501</v>
      </c>
      <c r="AE104" s="512">
        <v>2890</v>
      </c>
      <c r="AF104" s="513">
        <v>28</v>
      </c>
      <c r="AG104" s="514">
        <f t="shared" si="20"/>
        <v>80920</v>
      </c>
      <c r="AH104" s="514">
        <v>0</v>
      </c>
      <c r="AI104" s="514">
        <f t="shared" si="21"/>
        <v>80920</v>
      </c>
      <c r="AJ104" s="514">
        <v>0</v>
      </c>
      <c r="AK104" s="514">
        <f t="shared" si="22"/>
        <v>2890</v>
      </c>
      <c r="AL104" s="514">
        <f t="shared" si="23"/>
        <v>98838.000000000015</v>
      </c>
      <c r="AM104" s="515">
        <f t="shared" si="24"/>
        <v>-17918.000000000015</v>
      </c>
      <c r="AN104" s="299">
        <f t="shared" si="25"/>
        <v>-0.22142857142857161</v>
      </c>
      <c r="AO104" s="296">
        <f t="shared" si="29"/>
        <v>98838.000000000015</v>
      </c>
      <c r="AP104" s="274">
        <f t="shared" si="31"/>
        <v>79</v>
      </c>
      <c r="AQ104" s="275">
        <f t="shared" si="32"/>
        <v>6353.5232712328761</v>
      </c>
      <c r="AR104" s="275">
        <f t="shared" si="30"/>
        <v>-24271.523271232891</v>
      </c>
      <c r="AS104" s="280">
        <f t="shared" si="33"/>
        <v>-0.29994467710371836</v>
      </c>
    </row>
    <row r="105" spans="2:45" x14ac:dyDescent="0.3">
      <c r="B105" s="287">
        <f t="shared" si="26"/>
        <v>101</v>
      </c>
      <c r="C105" s="272" t="s">
        <v>174</v>
      </c>
      <c r="D105" s="288" t="str">
        <f t="shared" si="27"/>
        <v>Jun-25</v>
      </c>
      <c r="E105" s="288" t="s">
        <v>107</v>
      </c>
      <c r="F105" s="289">
        <v>45813</v>
      </c>
      <c r="G105" s="290" t="s">
        <v>413</v>
      </c>
      <c r="H105" s="291" t="s">
        <v>2597</v>
      </c>
      <c r="I105" s="290" t="s">
        <v>853</v>
      </c>
      <c r="J105" s="387">
        <v>6122503640</v>
      </c>
      <c r="K105" s="289">
        <v>45813</v>
      </c>
      <c r="L105" s="291" t="s">
        <v>861</v>
      </c>
      <c r="M105" s="289">
        <v>45814</v>
      </c>
      <c r="N105" s="291" t="s">
        <v>255</v>
      </c>
      <c r="O105" s="290" t="s">
        <v>300</v>
      </c>
      <c r="P105" s="291" t="s">
        <v>500</v>
      </c>
      <c r="Q105" s="291" t="s">
        <v>2607</v>
      </c>
      <c r="R105" s="458">
        <v>6930</v>
      </c>
      <c r="S105" s="404">
        <v>34.200000000000003</v>
      </c>
      <c r="T105" s="459">
        <f t="shared" si="19"/>
        <v>237006.00000000003</v>
      </c>
      <c r="U105" s="409" t="s">
        <v>107</v>
      </c>
      <c r="V105" s="288" t="s">
        <v>313</v>
      </c>
      <c r="W105" s="296" t="str">
        <f t="shared" si="28"/>
        <v>Aug-25</v>
      </c>
      <c r="X105" s="293" t="s">
        <v>2618</v>
      </c>
      <c r="Y105" s="293" t="s">
        <v>1657</v>
      </c>
      <c r="Z105" s="318">
        <v>45895</v>
      </c>
      <c r="AA105" s="293" t="s">
        <v>1654</v>
      </c>
      <c r="AB105" s="293" t="s">
        <v>1465</v>
      </c>
      <c r="AC105" s="298" t="s">
        <v>501</v>
      </c>
      <c r="AD105" s="298" t="s">
        <v>501</v>
      </c>
      <c r="AE105" s="512">
        <v>23490</v>
      </c>
      <c r="AF105" s="513">
        <v>33.75</v>
      </c>
      <c r="AG105" s="514">
        <f t="shared" si="20"/>
        <v>792787.5</v>
      </c>
      <c r="AH105" s="514">
        <v>0</v>
      </c>
      <c r="AI105" s="514">
        <f t="shared" si="21"/>
        <v>792787.5</v>
      </c>
      <c r="AJ105" s="514">
        <v>0</v>
      </c>
      <c r="AK105" s="514">
        <f t="shared" si="22"/>
        <v>23490</v>
      </c>
      <c r="AL105" s="514">
        <f t="shared" si="23"/>
        <v>803358.00000000012</v>
      </c>
      <c r="AM105" s="515">
        <f t="shared" si="24"/>
        <v>-10570.500000000116</v>
      </c>
      <c r="AN105" s="299">
        <f t="shared" si="25"/>
        <v>-1.333333333333348E-2</v>
      </c>
      <c r="AO105" s="296">
        <f t="shared" si="29"/>
        <v>803358.00000000012</v>
      </c>
      <c r="AP105" s="274">
        <f t="shared" si="31"/>
        <v>82</v>
      </c>
      <c r="AQ105" s="275">
        <f t="shared" si="32"/>
        <v>4978.4246630136986</v>
      </c>
      <c r="AR105" s="275">
        <f t="shared" si="30"/>
        <v>-15548.924663013815</v>
      </c>
      <c r="AS105" s="280">
        <f t="shared" si="33"/>
        <v>-1.9612979093406261E-2</v>
      </c>
    </row>
    <row r="106" spans="2:45" x14ac:dyDescent="0.3">
      <c r="B106" s="287">
        <f t="shared" si="26"/>
        <v>102</v>
      </c>
      <c r="C106" s="272" t="s">
        <v>174</v>
      </c>
      <c r="D106" s="288" t="str">
        <f t="shared" si="27"/>
        <v>Jun-25</v>
      </c>
      <c r="E106" s="288" t="s">
        <v>107</v>
      </c>
      <c r="F106" s="289">
        <v>45814</v>
      </c>
      <c r="G106" s="290" t="s">
        <v>414</v>
      </c>
      <c r="H106" s="291" t="s">
        <v>2597</v>
      </c>
      <c r="I106" s="290" t="s">
        <v>853</v>
      </c>
      <c r="J106" s="387">
        <v>6122503688</v>
      </c>
      <c r="K106" s="289">
        <v>45814</v>
      </c>
      <c r="L106" s="291" t="s">
        <v>862</v>
      </c>
      <c r="M106" s="289">
        <v>45815</v>
      </c>
      <c r="N106" s="291" t="s">
        <v>255</v>
      </c>
      <c r="O106" s="290" t="s">
        <v>314</v>
      </c>
      <c r="P106" s="291" t="s">
        <v>500</v>
      </c>
      <c r="Q106" s="291" t="s">
        <v>2607</v>
      </c>
      <c r="R106" s="458">
        <v>7545</v>
      </c>
      <c r="S106" s="404">
        <v>34.200000000000003</v>
      </c>
      <c r="T106" s="459">
        <f t="shared" si="19"/>
        <v>258039.00000000003</v>
      </c>
      <c r="U106" s="409" t="s">
        <v>107</v>
      </c>
      <c r="V106" s="288" t="s">
        <v>313</v>
      </c>
      <c r="W106" s="296" t="str">
        <f t="shared" si="28"/>
        <v>Aug-25</v>
      </c>
      <c r="X106" s="293" t="s">
        <v>717</v>
      </c>
      <c r="Y106" s="293" t="s">
        <v>1658</v>
      </c>
      <c r="Z106" s="318">
        <v>45895</v>
      </c>
      <c r="AA106" s="293" t="s">
        <v>1655</v>
      </c>
      <c r="AB106" s="293" t="s">
        <v>2596</v>
      </c>
      <c r="AC106" s="298" t="s">
        <v>500</v>
      </c>
      <c r="AD106" s="298" t="s">
        <v>2633</v>
      </c>
      <c r="AE106" s="512">
        <v>2870</v>
      </c>
      <c r="AF106" s="513">
        <v>90</v>
      </c>
      <c r="AG106" s="514">
        <f t="shared" si="20"/>
        <v>258300</v>
      </c>
      <c r="AH106" s="514">
        <v>0</v>
      </c>
      <c r="AI106" s="514">
        <f t="shared" si="21"/>
        <v>258300</v>
      </c>
      <c r="AJ106" s="514">
        <v>0</v>
      </c>
      <c r="AK106" s="514">
        <f t="shared" si="22"/>
        <v>2870</v>
      </c>
      <c r="AL106" s="514">
        <f t="shared" si="23"/>
        <v>98154.000000000015</v>
      </c>
      <c r="AM106" s="515">
        <f t="shared" si="24"/>
        <v>160146</v>
      </c>
      <c r="AN106" s="299">
        <f t="shared" si="25"/>
        <v>0.62</v>
      </c>
      <c r="AO106" s="296">
        <f t="shared" si="29"/>
        <v>98154.000000000015</v>
      </c>
      <c r="AP106" s="274">
        <f t="shared" si="31"/>
        <v>81</v>
      </c>
      <c r="AQ106" s="275">
        <f t="shared" si="32"/>
        <v>5354.1325109589052</v>
      </c>
      <c r="AR106" s="275">
        <f t="shared" si="30"/>
        <v>154791.86748904109</v>
      </c>
      <c r="AS106" s="280">
        <f t="shared" si="33"/>
        <v>0.59927165113837044</v>
      </c>
    </row>
    <row r="107" spans="2:45" x14ac:dyDescent="0.3">
      <c r="B107" s="287">
        <f t="shared" si="26"/>
        <v>103</v>
      </c>
      <c r="C107" s="272" t="s">
        <v>174</v>
      </c>
      <c r="D107" s="288" t="str">
        <f t="shared" si="27"/>
        <v>Jun-25</v>
      </c>
      <c r="E107" s="288" t="s">
        <v>107</v>
      </c>
      <c r="F107" s="289">
        <v>45814</v>
      </c>
      <c r="G107" s="290" t="s">
        <v>415</v>
      </c>
      <c r="H107" s="291" t="s">
        <v>2597</v>
      </c>
      <c r="I107" s="290" t="s">
        <v>853</v>
      </c>
      <c r="J107" s="387">
        <v>6122503689</v>
      </c>
      <c r="K107" s="289">
        <v>45814</v>
      </c>
      <c r="L107" s="291" t="s">
        <v>863</v>
      </c>
      <c r="M107" s="289">
        <v>45815</v>
      </c>
      <c r="N107" s="291" t="s">
        <v>255</v>
      </c>
      <c r="O107" s="290" t="s">
        <v>402</v>
      </c>
      <c r="P107" s="291" t="s">
        <v>500</v>
      </c>
      <c r="Q107" s="291" t="s">
        <v>2607</v>
      </c>
      <c r="R107" s="458">
        <v>7750</v>
      </c>
      <c r="S107" s="404">
        <v>34.200000000000003</v>
      </c>
      <c r="T107" s="459">
        <f t="shared" si="19"/>
        <v>265050</v>
      </c>
      <c r="U107" s="409" t="s">
        <v>107</v>
      </c>
      <c r="V107" s="288" t="s">
        <v>313</v>
      </c>
      <c r="W107" s="296" t="str">
        <f t="shared" si="28"/>
        <v>Aug-25</v>
      </c>
      <c r="X107" s="293" t="s">
        <v>2617</v>
      </c>
      <c r="Y107" s="293" t="s">
        <v>1659</v>
      </c>
      <c r="Z107" s="318">
        <v>45896</v>
      </c>
      <c r="AA107" s="293" t="s">
        <v>1656</v>
      </c>
      <c r="AB107" s="293" t="s">
        <v>1465</v>
      </c>
      <c r="AC107" s="298" t="s">
        <v>501</v>
      </c>
      <c r="AD107" s="298" t="s">
        <v>501</v>
      </c>
      <c r="AE107" s="512">
        <v>21510</v>
      </c>
      <c r="AF107" s="513">
        <v>33.75</v>
      </c>
      <c r="AG107" s="514">
        <f t="shared" si="20"/>
        <v>725962.5</v>
      </c>
      <c r="AH107" s="514">
        <v>0</v>
      </c>
      <c r="AI107" s="514">
        <f t="shared" si="21"/>
        <v>725962.5</v>
      </c>
      <c r="AJ107" s="514">
        <v>0</v>
      </c>
      <c r="AK107" s="514">
        <f t="shared" si="22"/>
        <v>21510</v>
      </c>
      <c r="AL107" s="514">
        <f t="shared" si="23"/>
        <v>735642.00000000012</v>
      </c>
      <c r="AM107" s="515">
        <f t="shared" si="24"/>
        <v>-9679.5000000001164</v>
      </c>
      <c r="AN107" s="299">
        <f t="shared" si="25"/>
        <v>-1.3333333333333494E-2</v>
      </c>
      <c r="AO107" s="296">
        <f t="shared" si="29"/>
        <v>735642.00000000012</v>
      </c>
      <c r="AP107" s="274">
        <f t="shared" ref="AP107:AP138" si="34">(Z107-K107)</f>
        <v>82</v>
      </c>
      <c r="AQ107" s="275">
        <f t="shared" ref="AQ107:AQ138" si="35">T107*9.35%*AP107/365</f>
        <v>5567.5023287671229</v>
      </c>
      <c r="AR107" s="275">
        <f t="shared" si="30"/>
        <v>-15247.002328767239</v>
      </c>
      <c r="AS107" s="280">
        <f t="shared" si="33"/>
        <v>-2.1002465456228442E-2</v>
      </c>
    </row>
    <row r="108" spans="2:45" x14ac:dyDescent="0.3">
      <c r="B108" s="287">
        <f t="shared" si="26"/>
        <v>104</v>
      </c>
      <c r="C108" s="272" t="s">
        <v>174</v>
      </c>
      <c r="D108" s="288" t="str">
        <f t="shared" si="27"/>
        <v>Jun-25</v>
      </c>
      <c r="E108" s="288" t="s">
        <v>107</v>
      </c>
      <c r="F108" s="289">
        <v>45815</v>
      </c>
      <c r="G108" s="290" t="s">
        <v>417</v>
      </c>
      <c r="H108" s="291" t="s">
        <v>2597</v>
      </c>
      <c r="I108" s="290" t="s">
        <v>853</v>
      </c>
      <c r="J108" s="387">
        <v>6122503738</v>
      </c>
      <c r="K108" s="289">
        <v>45815</v>
      </c>
      <c r="L108" s="291" t="s">
        <v>865</v>
      </c>
      <c r="M108" s="289">
        <v>45816</v>
      </c>
      <c r="N108" s="291" t="s">
        <v>255</v>
      </c>
      <c r="O108" s="290" t="s">
        <v>314</v>
      </c>
      <c r="P108" s="291" t="s">
        <v>500</v>
      </c>
      <c r="Q108" s="291" t="s">
        <v>2607</v>
      </c>
      <c r="R108" s="458">
        <v>6285</v>
      </c>
      <c r="S108" s="404">
        <v>34.200000000000003</v>
      </c>
      <c r="T108" s="459">
        <f t="shared" si="19"/>
        <v>214947.00000000003</v>
      </c>
      <c r="U108" s="409" t="s">
        <v>107</v>
      </c>
      <c r="V108" s="288" t="s">
        <v>313</v>
      </c>
      <c r="W108" s="296" t="str">
        <f t="shared" si="28"/>
        <v>Sep-25</v>
      </c>
      <c r="X108" s="293" t="s">
        <v>500</v>
      </c>
      <c r="Y108" s="293" t="s">
        <v>1682</v>
      </c>
      <c r="Z108" s="318">
        <v>45906</v>
      </c>
      <c r="AA108" s="293" t="s">
        <v>1685</v>
      </c>
      <c r="AB108" s="293" t="s">
        <v>2626</v>
      </c>
      <c r="AC108" s="298" t="s">
        <v>500</v>
      </c>
      <c r="AD108" s="298" t="s">
        <v>2630</v>
      </c>
      <c r="AE108" s="512">
        <v>30730</v>
      </c>
      <c r="AF108" s="513">
        <v>35.9</v>
      </c>
      <c r="AG108" s="514">
        <f t="shared" si="20"/>
        <v>1103207</v>
      </c>
      <c r="AH108" s="514">
        <v>-2458</v>
      </c>
      <c r="AI108" s="514">
        <f t="shared" si="21"/>
        <v>1100749</v>
      </c>
      <c r="AJ108" s="514">
        <v>0</v>
      </c>
      <c r="AK108" s="514">
        <f t="shared" si="22"/>
        <v>30730</v>
      </c>
      <c r="AL108" s="514">
        <f t="shared" si="23"/>
        <v>1050966</v>
      </c>
      <c r="AM108" s="515">
        <f t="shared" si="24"/>
        <v>49783</v>
      </c>
      <c r="AN108" s="299">
        <f t="shared" si="25"/>
        <v>4.5226477607519973E-2</v>
      </c>
      <c r="AO108" s="296">
        <f t="shared" si="29"/>
        <v>1050966</v>
      </c>
      <c r="AP108" s="274">
        <f t="shared" si="34"/>
        <v>91</v>
      </c>
      <c r="AQ108" s="275">
        <f t="shared" si="35"/>
        <v>5010.6206835616449</v>
      </c>
      <c r="AR108" s="275">
        <f t="shared" si="30"/>
        <v>44772.379316438353</v>
      </c>
      <c r="AS108" s="280">
        <f t="shared" si="33"/>
        <v>4.067446740032319E-2</v>
      </c>
    </row>
    <row r="109" spans="2:45" x14ac:dyDescent="0.3">
      <c r="B109" s="287">
        <f t="shared" si="26"/>
        <v>105</v>
      </c>
      <c r="C109" s="272" t="s">
        <v>174</v>
      </c>
      <c r="D109" s="288" t="str">
        <f t="shared" si="27"/>
        <v>Jun-25</v>
      </c>
      <c r="E109" s="288" t="s">
        <v>107</v>
      </c>
      <c r="F109" s="289">
        <v>45815</v>
      </c>
      <c r="G109" s="290" t="s">
        <v>416</v>
      </c>
      <c r="H109" s="291" t="s">
        <v>2597</v>
      </c>
      <c r="I109" s="290" t="s">
        <v>853</v>
      </c>
      <c r="J109" s="387">
        <v>6122503743</v>
      </c>
      <c r="K109" s="289">
        <v>45815</v>
      </c>
      <c r="L109" s="291" t="s">
        <v>864</v>
      </c>
      <c r="M109" s="289">
        <v>45816</v>
      </c>
      <c r="N109" s="291" t="s">
        <v>255</v>
      </c>
      <c r="O109" s="290" t="s">
        <v>402</v>
      </c>
      <c r="P109" s="291" t="s">
        <v>500</v>
      </c>
      <c r="Q109" s="291" t="s">
        <v>2607</v>
      </c>
      <c r="R109" s="458">
        <v>9635</v>
      </c>
      <c r="S109" s="404">
        <v>34.200000000000003</v>
      </c>
      <c r="T109" s="459">
        <f t="shared" si="19"/>
        <v>329517</v>
      </c>
      <c r="U109" s="409" t="s">
        <v>107</v>
      </c>
      <c r="V109" s="288" t="s">
        <v>313</v>
      </c>
      <c r="W109" s="296" t="str">
        <f t="shared" si="28"/>
        <v>Sep-25</v>
      </c>
      <c r="X109" s="293" t="s">
        <v>2617</v>
      </c>
      <c r="Y109" s="293" t="s">
        <v>1684</v>
      </c>
      <c r="Z109" s="318">
        <v>45907</v>
      </c>
      <c r="AA109" s="293" t="s">
        <v>1687</v>
      </c>
      <c r="AB109" s="293" t="s">
        <v>2627</v>
      </c>
      <c r="AC109" s="298" t="s">
        <v>501</v>
      </c>
      <c r="AD109" s="298" t="s">
        <v>501</v>
      </c>
      <c r="AE109" s="512">
        <v>30870</v>
      </c>
      <c r="AF109" s="513">
        <v>35.700000000000003</v>
      </c>
      <c r="AG109" s="514">
        <f t="shared" si="20"/>
        <v>1102059</v>
      </c>
      <c r="AH109" s="514">
        <v>-3570</v>
      </c>
      <c r="AI109" s="514">
        <f t="shared" si="21"/>
        <v>1098489</v>
      </c>
      <c r="AJ109" s="514">
        <v>0</v>
      </c>
      <c r="AK109" s="514">
        <f t="shared" si="22"/>
        <v>30870</v>
      </c>
      <c r="AL109" s="514">
        <f t="shared" si="23"/>
        <v>1055754</v>
      </c>
      <c r="AM109" s="515">
        <f t="shared" si="24"/>
        <v>42735</v>
      </c>
      <c r="AN109" s="299">
        <f t="shared" si="25"/>
        <v>3.8903439178726414E-2</v>
      </c>
      <c r="AO109" s="296">
        <f t="shared" si="29"/>
        <v>1055754</v>
      </c>
      <c r="AP109" s="274">
        <f t="shared" si="34"/>
        <v>92</v>
      </c>
      <c r="AQ109" s="275">
        <f t="shared" si="35"/>
        <v>7765.7677643835605</v>
      </c>
      <c r="AR109" s="275">
        <f t="shared" si="30"/>
        <v>34969.232235616437</v>
      </c>
      <c r="AS109" s="280">
        <f t="shared" si="33"/>
        <v>3.1833939380017856E-2</v>
      </c>
    </row>
    <row r="110" spans="2:45" x14ac:dyDescent="0.3">
      <c r="B110" s="287">
        <f t="shared" si="26"/>
        <v>106</v>
      </c>
      <c r="C110" s="272" t="s">
        <v>174</v>
      </c>
      <c r="D110" s="288" t="str">
        <f t="shared" si="27"/>
        <v>Jun-25</v>
      </c>
      <c r="E110" s="288" t="s">
        <v>107</v>
      </c>
      <c r="F110" s="289">
        <v>45817</v>
      </c>
      <c r="G110" s="290" t="s">
        <v>1375</v>
      </c>
      <c r="H110" s="291" t="s">
        <v>2597</v>
      </c>
      <c r="I110" s="290" t="s">
        <v>853</v>
      </c>
      <c r="J110" s="387">
        <v>6122503823</v>
      </c>
      <c r="K110" s="289">
        <v>45817</v>
      </c>
      <c r="L110" s="291" t="s">
        <v>1397</v>
      </c>
      <c r="M110" s="289">
        <v>45840</v>
      </c>
      <c r="N110" s="291" t="s">
        <v>255</v>
      </c>
      <c r="O110" s="290" t="s">
        <v>256</v>
      </c>
      <c r="P110" s="291" t="s">
        <v>500</v>
      </c>
      <c r="Q110" s="291" t="s">
        <v>2607</v>
      </c>
      <c r="R110" s="458">
        <v>6640</v>
      </c>
      <c r="S110" s="404">
        <v>34.200000000000003</v>
      </c>
      <c r="T110" s="459">
        <f t="shared" si="19"/>
        <v>227088.00000000003</v>
      </c>
      <c r="U110" s="409" t="s">
        <v>107</v>
      </c>
      <c r="V110" s="288" t="s">
        <v>313</v>
      </c>
      <c r="W110" s="296" t="str">
        <f t="shared" si="28"/>
        <v>Sep-25</v>
      </c>
      <c r="X110" s="293" t="s">
        <v>500</v>
      </c>
      <c r="Y110" s="293" t="s">
        <v>1683</v>
      </c>
      <c r="Z110" s="318">
        <v>45907</v>
      </c>
      <c r="AA110" s="293" t="s">
        <v>1686</v>
      </c>
      <c r="AB110" s="293" t="s">
        <v>2626</v>
      </c>
      <c r="AC110" s="298" t="s">
        <v>500</v>
      </c>
      <c r="AD110" s="298" t="s">
        <v>2630</v>
      </c>
      <c r="AE110" s="512">
        <v>25060</v>
      </c>
      <c r="AF110" s="513">
        <v>35.9</v>
      </c>
      <c r="AG110" s="514">
        <f t="shared" si="20"/>
        <v>899654</v>
      </c>
      <c r="AH110" s="514">
        <f>-1753-359</f>
        <v>-2112</v>
      </c>
      <c r="AI110" s="514">
        <f t="shared" si="21"/>
        <v>897542</v>
      </c>
      <c r="AJ110" s="514">
        <v>0</v>
      </c>
      <c r="AK110" s="514">
        <f t="shared" si="22"/>
        <v>25060</v>
      </c>
      <c r="AL110" s="514">
        <f t="shared" si="23"/>
        <v>857052.00000000012</v>
      </c>
      <c r="AM110" s="515">
        <f t="shared" si="24"/>
        <v>40489.999999999884</v>
      </c>
      <c r="AN110" s="299">
        <f t="shared" si="25"/>
        <v>4.5112095032878552E-2</v>
      </c>
      <c r="AO110" s="296">
        <f t="shared" si="29"/>
        <v>857052.00000000012</v>
      </c>
      <c r="AP110" s="274">
        <f t="shared" si="34"/>
        <v>90</v>
      </c>
      <c r="AQ110" s="275">
        <f t="shared" si="35"/>
        <v>5235.4671780821927</v>
      </c>
      <c r="AR110" s="275">
        <f t="shared" si="30"/>
        <v>35254.532821917688</v>
      </c>
      <c r="AS110" s="280">
        <f t="shared" si="33"/>
        <v>3.9278978389777515E-2</v>
      </c>
    </row>
    <row r="111" spans="2:45" x14ac:dyDescent="0.3">
      <c r="B111" s="287">
        <f t="shared" si="26"/>
        <v>107</v>
      </c>
      <c r="C111" s="272" t="s">
        <v>174</v>
      </c>
      <c r="D111" s="288" t="str">
        <f t="shared" si="27"/>
        <v>Jun-25</v>
      </c>
      <c r="E111" s="288" t="s">
        <v>107</v>
      </c>
      <c r="F111" s="289">
        <v>45818</v>
      </c>
      <c r="G111" s="290" t="s">
        <v>433</v>
      </c>
      <c r="H111" s="291" t="s">
        <v>2597</v>
      </c>
      <c r="I111" s="290" t="s">
        <v>853</v>
      </c>
      <c r="J111" s="387">
        <v>6122503882</v>
      </c>
      <c r="K111" s="289">
        <v>45818</v>
      </c>
      <c r="L111" s="291" t="s">
        <v>866</v>
      </c>
      <c r="M111" s="289">
        <v>45818</v>
      </c>
      <c r="N111" s="291" t="s">
        <v>255</v>
      </c>
      <c r="O111" s="290" t="s">
        <v>300</v>
      </c>
      <c r="P111" s="291" t="s">
        <v>500</v>
      </c>
      <c r="Q111" s="291" t="s">
        <v>2607</v>
      </c>
      <c r="R111" s="458">
        <v>6115</v>
      </c>
      <c r="S111" s="404">
        <v>34.200000000000003</v>
      </c>
      <c r="T111" s="459">
        <f t="shared" si="19"/>
        <v>209133.00000000003</v>
      </c>
      <c r="U111" s="409" t="s">
        <v>107</v>
      </c>
      <c r="V111" s="288" t="s">
        <v>313</v>
      </c>
      <c r="W111" s="296" t="str">
        <f t="shared" si="28"/>
        <v>Sep-25</v>
      </c>
      <c r="X111" s="293" t="s">
        <v>500</v>
      </c>
      <c r="Y111" s="293" t="s">
        <v>1822</v>
      </c>
      <c r="Z111" s="318">
        <v>45907</v>
      </c>
      <c r="AA111" s="293" t="s">
        <v>1829</v>
      </c>
      <c r="AB111" s="293" t="s">
        <v>2626</v>
      </c>
      <c r="AC111" s="298" t="s">
        <v>500</v>
      </c>
      <c r="AD111" s="298" t="s">
        <v>2630</v>
      </c>
      <c r="AE111" s="512">
        <v>25415</v>
      </c>
      <c r="AF111" s="513">
        <v>35.9</v>
      </c>
      <c r="AG111" s="514">
        <f t="shared" si="20"/>
        <v>912398.5</v>
      </c>
      <c r="AH111" s="514">
        <v>-2692.5</v>
      </c>
      <c r="AI111" s="514">
        <f t="shared" si="21"/>
        <v>909706</v>
      </c>
      <c r="AJ111" s="514">
        <v>0</v>
      </c>
      <c r="AK111" s="514">
        <f t="shared" si="22"/>
        <v>25415</v>
      </c>
      <c r="AL111" s="514">
        <f t="shared" si="23"/>
        <v>869193.00000000012</v>
      </c>
      <c r="AM111" s="515">
        <f t="shared" si="24"/>
        <v>40512.999999999884</v>
      </c>
      <c r="AN111" s="299">
        <f t="shared" si="25"/>
        <v>4.4534168181808061E-2</v>
      </c>
      <c r="AO111" s="296">
        <f t="shared" si="29"/>
        <v>869193.00000000012</v>
      </c>
      <c r="AP111" s="274">
        <f t="shared" si="34"/>
        <v>89</v>
      </c>
      <c r="AQ111" s="275">
        <f t="shared" si="35"/>
        <v>4767.945916438357</v>
      </c>
      <c r="AR111" s="275">
        <f t="shared" si="30"/>
        <v>35745.054083561525</v>
      </c>
      <c r="AS111" s="280">
        <f t="shared" si="33"/>
        <v>3.9292973865800079E-2</v>
      </c>
    </row>
    <row r="112" spans="2:45" x14ac:dyDescent="0.3">
      <c r="B112" s="287">
        <f t="shared" si="26"/>
        <v>108</v>
      </c>
      <c r="C112" s="272" t="s">
        <v>174</v>
      </c>
      <c r="D112" s="288" t="str">
        <f t="shared" si="27"/>
        <v>Jun-25</v>
      </c>
      <c r="E112" s="288" t="s">
        <v>107</v>
      </c>
      <c r="F112" s="289">
        <v>45819</v>
      </c>
      <c r="G112" s="290" t="s">
        <v>451</v>
      </c>
      <c r="H112" s="291" t="s">
        <v>2593</v>
      </c>
      <c r="I112" s="290" t="s">
        <v>298</v>
      </c>
      <c r="J112" s="387" t="s">
        <v>867</v>
      </c>
      <c r="K112" s="289">
        <v>45819</v>
      </c>
      <c r="L112" s="291" t="s">
        <v>868</v>
      </c>
      <c r="M112" s="289">
        <v>45819</v>
      </c>
      <c r="N112" s="291" t="s">
        <v>255</v>
      </c>
      <c r="O112" s="290" t="s">
        <v>300</v>
      </c>
      <c r="P112" s="291" t="s">
        <v>500</v>
      </c>
      <c r="Q112" s="291" t="s">
        <v>757</v>
      </c>
      <c r="R112" s="458">
        <v>3140</v>
      </c>
      <c r="S112" s="404">
        <v>30.151</v>
      </c>
      <c r="T112" s="459">
        <f t="shared" si="19"/>
        <v>94674.14</v>
      </c>
      <c r="U112" s="409" t="s">
        <v>107</v>
      </c>
      <c r="V112" s="288" t="s">
        <v>313</v>
      </c>
      <c r="W112" s="296" t="str">
        <f t="shared" si="28"/>
        <v>Sep-25</v>
      </c>
      <c r="X112" s="293" t="s">
        <v>2617</v>
      </c>
      <c r="Y112" s="293" t="s">
        <v>1698</v>
      </c>
      <c r="Z112" s="318">
        <v>45909</v>
      </c>
      <c r="AA112" s="293" t="s">
        <v>1700</v>
      </c>
      <c r="AB112" s="293" t="s">
        <v>2627</v>
      </c>
      <c r="AC112" s="298" t="s">
        <v>501</v>
      </c>
      <c r="AD112" s="298" t="s">
        <v>501</v>
      </c>
      <c r="AE112" s="512">
        <v>30260</v>
      </c>
      <c r="AF112" s="513">
        <v>35.5</v>
      </c>
      <c r="AG112" s="514">
        <f t="shared" si="20"/>
        <v>1074230</v>
      </c>
      <c r="AH112" s="514">
        <v>0</v>
      </c>
      <c r="AI112" s="514">
        <f t="shared" si="21"/>
        <v>1074230</v>
      </c>
      <c r="AJ112" s="514">
        <v>0</v>
      </c>
      <c r="AK112" s="514">
        <f t="shared" si="22"/>
        <v>30260</v>
      </c>
      <c r="AL112" s="514">
        <f t="shared" si="23"/>
        <v>912369.26</v>
      </c>
      <c r="AM112" s="515">
        <f t="shared" si="24"/>
        <v>161860.74</v>
      </c>
      <c r="AN112" s="299">
        <f t="shared" si="25"/>
        <v>0.15067605633802816</v>
      </c>
      <c r="AO112" s="296">
        <f t="shared" si="29"/>
        <v>912369.26</v>
      </c>
      <c r="AP112" s="274">
        <f t="shared" si="34"/>
        <v>90</v>
      </c>
      <c r="AQ112" s="275">
        <f t="shared" si="35"/>
        <v>2182.6928441095893</v>
      </c>
      <c r="AR112" s="275">
        <f t="shared" si="30"/>
        <v>159678.04715589041</v>
      </c>
      <c r="AS112" s="280">
        <f t="shared" si="33"/>
        <v>0.14864418900597676</v>
      </c>
    </row>
    <row r="113" spans="2:45" x14ac:dyDescent="0.3">
      <c r="B113" s="287">
        <f t="shared" si="26"/>
        <v>109</v>
      </c>
      <c r="C113" s="272" t="s">
        <v>174</v>
      </c>
      <c r="D113" s="288" t="str">
        <f t="shared" si="27"/>
        <v>Jun-25</v>
      </c>
      <c r="E113" s="288" t="s">
        <v>107</v>
      </c>
      <c r="F113" s="289">
        <v>45819</v>
      </c>
      <c r="G113" s="290" t="s">
        <v>440</v>
      </c>
      <c r="H113" s="291" t="s">
        <v>2597</v>
      </c>
      <c r="I113" s="290" t="s">
        <v>853</v>
      </c>
      <c r="J113" s="387">
        <v>6122503943</v>
      </c>
      <c r="K113" s="289">
        <v>45819</v>
      </c>
      <c r="L113" s="291" t="s">
        <v>869</v>
      </c>
      <c r="M113" s="289">
        <v>45819</v>
      </c>
      <c r="N113" s="291" t="s">
        <v>255</v>
      </c>
      <c r="O113" s="290" t="s">
        <v>299</v>
      </c>
      <c r="P113" s="291" t="s">
        <v>500</v>
      </c>
      <c r="Q113" s="291" t="s">
        <v>2607</v>
      </c>
      <c r="R113" s="458">
        <v>11350</v>
      </c>
      <c r="S113" s="404">
        <v>34.200000000000003</v>
      </c>
      <c r="T113" s="459">
        <f t="shared" si="19"/>
        <v>388170.00000000006</v>
      </c>
      <c r="U113" s="409" t="s">
        <v>107</v>
      </c>
      <c r="V113" s="288" t="s">
        <v>313</v>
      </c>
      <c r="W113" s="296" t="str">
        <f t="shared" si="28"/>
        <v>Sep-25</v>
      </c>
      <c r="X113" s="293" t="s">
        <v>2617</v>
      </c>
      <c r="Y113" s="293" t="s">
        <v>1821</v>
      </c>
      <c r="Z113" s="318">
        <v>45909</v>
      </c>
      <c r="AA113" s="293" t="s">
        <v>1828</v>
      </c>
      <c r="AB113" s="293" t="s">
        <v>2627</v>
      </c>
      <c r="AC113" s="298" t="s">
        <v>501</v>
      </c>
      <c r="AD113" s="298" t="s">
        <v>501</v>
      </c>
      <c r="AE113" s="512">
        <v>23885</v>
      </c>
      <c r="AF113" s="513">
        <v>35.5</v>
      </c>
      <c r="AG113" s="514">
        <f t="shared" si="20"/>
        <v>847917.5</v>
      </c>
      <c r="AH113" s="514">
        <v>-3727.5</v>
      </c>
      <c r="AI113" s="514">
        <f t="shared" si="21"/>
        <v>844190</v>
      </c>
      <c r="AJ113" s="514">
        <v>0</v>
      </c>
      <c r="AK113" s="514">
        <f t="shared" si="22"/>
        <v>23885</v>
      </c>
      <c r="AL113" s="514">
        <f t="shared" si="23"/>
        <v>816867.00000000012</v>
      </c>
      <c r="AM113" s="515">
        <f t="shared" si="24"/>
        <v>27322.999999999884</v>
      </c>
      <c r="AN113" s="299">
        <f t="shared" si="25"/>
        <v>3.2365936578258314E-2</v>
      </c>
      <c r="AO113" s="296">
        <f t="shared" si="29"/>
        <v>816867.00000000012</v>
      </c>
      <c r="AP113" s="274">
        <f t="shared" si="34"/>
        <v>90</v>
      </c>
      <c r="AQ113" s="275">
        <f t="shared" si="35"/>
        <v>8949.1795890410958</v>
      </c>
      <c r="AR113" s="275">
        <f t="shared" si="30"/>
        <v>18373.82041095879</v>
      </c>
      <c r="AS113" s="280">
        <f t="shared" si="33"/>
        <v>2.1765029686396178E-2</v>
      </c>
    </row>
    <row r="114" spans="2:45" x14ac:dyDescent="0.3">
      <c r="B114" s="287">
        <f t="shared" si="26"/>
        <v>110</v>
      </c>
      <c r="C114" s="272" t="s">
        <v>174</v>
      </c>
      <c r="D114" s="288" t="str">
        <f t="shared" si="27"/>
        <v>Jun-25</v>
      </c>
      <c r="E114" s="288" t="s">
        <v>107</v>
      </c>
      <c r="F114" s="289">
        <v>45819</v>
      </c>
      <c r="G114" s="290" t="s">
        <v>439</v>
      </c>
      <c r="H114" s="291" t="s">
        <v>2597</v>
      </c>
      <c r="I114" s="290" t="s">
        <v>853</v>
      </c>
      <c r="J114" s="387">
        <v>6122503949</v>
      </c>
      <c r="K114" s="289">
        <v>45819</v>
      </c>
      <c r="L114" s="291" t="s">
        <v>870</v>
      </c>
      <c r="M114" s="289">
        <v>45819</v>
      </c>
      <c r="N114" s="291" t="s">
        <v>255</v>
      </c>
      <c r="O114" s="290" t="s">
        <v>256</v>
      </c>
      <c r="P114" s="291" t="s">
        <v>500</v>
      </c>
      <c r="Q114" s="291" t="s">
        <v>2607</v>
      </c>
      <c r="R114" s="458">
        <v>6615</v>
      </c>
      <c r="S114" s="404">
        <v>34.200000000000003</v>
      </c>
      <c r="T114" s="459">
        <f t="shared" si="19"/>
        <v>226233.00000000003</v>
      </c>
      <c r="U114" s="409" t="s">
        <v>107</v>
      </c>
      <c r="V114" s="288" t="s">
        <v>313</v>
      </c>
      <c r="W114" s="296" t="str">
        <f t="shared" si="28"/>
        <v>Sep-25</v>
      </c>
      <c r="X114" s="293" t="s">
        <v>764</v>
      </c>
      <c r="Y114" s="293" t="s">
        <v>1699</v>
      </c>
      <c r="Z114" s="318">
        <v>45910</v>
      </c>
      <c r="AA114" s="293" t="s">
        <v>1701</v>
      </c>
      <c r="AB114" s="293" t="s">
        <v>2596</v>
      </c>
      <c r="AC114" s="298" t="s">
        <v>501</v>
      </c>
      <c r="AD114" s="298" t="s">
        <v>501</v>
      </c>
      <c r="AE114" s="512">
        <v>31340</v>
      </c>
      <c r="AF114" s="513">
        <v>28</v>
      </c>
      <c r="AG114" s="514">
        <f t="shared" si="20"/>
        <v>877520</v>
      </c>
      <c r="AH114" s="514">
        <v>0</v>
      </c>
      <c r="AI114" s="514">
        <f t="shared" si="21"/>
        <v>877520</v>
      </c>
      <c r="AJ114" s="514">
        <v>0</v>
      </c>
      <c r="AK114" s="514">
        <f t="shared" si="22"/>
        <v>31340</v>
      </c>
      <c r="AL114" s="514">
        <f t="shared" si="23"/>
        <v>1071828</v>
      </c>
      <c r="AM114" s="515">
        <f t="shared" si="24"/>
        <v>-194308</v>
      </c>
      <c r="AN114" s="299">
        <f t="shared" si="25"/>
        <v>-0.22142857142857142</v>
      </c>
      <c r="AO114" s="296">
        <f t="shared" si="29"/>
        <v>1071828</v>
      </c>
      <c r="AP114" s="274">
        <f t="shared" si="34"/>
        <v>91</v>
      </c>
      <c r="AQ114" s="275">
        <f t="shared" si="35"/>
        <v>5273.7081657534245</v>
      </c>
      <c r="AR114" s="275">
        <f t="shared" si="30"/>
        <v>-199581.70816575343</v>
      </c>
      <c r="AS114" s="280">
        <f t="shared" si="33"/>
        <v>-0.22743835828898878</v>
      </c>
    </row>
    <row r="115" spans="2:45" x14ac:dyDescent="0.3">
      <c r="B115" s="287">
        <f t="shared" si="26"/>
        <v>111</v>
      </c>
      <c r="C115" s="272" t="s">
        <v>174</v>
      </c>
      <c r="D115" s="288" t="str">
        <f t="shared" si="27"/>
        <v>Jun-25</v>
      </c>
      <c r="E115" s="288" t="s">
        <v>107</v>
      </c>
      <c r="F115" s="289">
        <v>45819</v>
      </c>
      <c r="G115" s="290" t="s">
        <v>441</v>
      </c>
      <c r="H115" s="291" t="s">
        <v>2597</v>
      </c>
      <c r="I115" s="290" t="s">
        <v>853</v>
      </c>
      <c r="J115" s="387">
        <v>6122503965</v>
      </c>
      <c r="K115" s="289">
        <v>45819</v>
      </c>
      <c r="L115" s="291" t="s">
        <v>871</v>
      </c>
      <c r="M115" s="289">
        <v>45819</v>
      </c>
      <c r="N115" s="291" t="s">
        <v>255</v>
      </c>
      <c r="O115" s="290" t="s">
        <v>402</v>
      </c>
      <c r="P115" s="291" t="s">
        <v>500</v>
      </c>
      <c r="Q115" s="291" t="s">
        <v>2607</v>
      </c>
      <c r="R115" s="458">
        <v>9765</v>
      </c>
      <c r="S115" s="404">
        <v>34.200000000000003</v>
      </c>
      <c r="T115" s="459">
        <f t="shared" si="19"/>
        <v>333963</v>
      </c>
      <c r="U115" s="409" t="s">
        <v>107</v>
      </c>
      <c r="V115" s="288" t="s">
        <v>313</v>
      </c>
      <c r="W115" s="296" t="str">
        <f t="shared" si="28"/>
        <v>Sep-25</v>
      </c>
      <c r="X115" s="293" t="s">
        <v>2617</v>
      </c>
      <c r="Y115" s="293" t="s">
        <v>1723</v>
      </c>
      <c r="Z115" s="318">
        <v>45912</v>
      </c>
      <c r="AA115" s="293" t="s">
        <v>1727</v>
      </c>
      <c r="AB115" s="293" t="s">
        <v>1465</v>
      </c>
      <c r="AC115" s="298" t="s">
        <v>501</v>
      </c>
      <c r="AD115" s="298" t="s">
        <v>501</v>
      </c>
      <c r="AE115" s="512">
        <v>28075</v>
      </c>
      <c r="AF115" s="513">
        <v>35.450000000000003</v>
      </c>
      <c r="AG115" s="514">
        <f t="shared" si="20"/>
        <v>995258.75000000012</v>
      </c>
      <c r="AH115" s="514">
        <v>0</v>
      </c>
      <c r="AI115" s="514">
        <f t="shared" si="21"/>
        <v>995258.75000000012</v>
      </c>
      <c r="AJ115" s="514">
        <v>0</v>
      </c>
      <c r="AK115" s="514">
        <f t="shared" si="22"/>
        <v>28075</v>
      </c>
      <c r="AL115" s="514">
        <f t="shared" si="23"/>
        <v>960165.00000000012</v>
      </c>
      <c r="AM115" s="515">
        <f t="shared" si="24"/>
        <v>35093.75</v>
      </c>
      <c r="AN115" s="299">
        <f t="shared" si="25"/>
        <v>3.5260930888575452E-2</v>
      </c>
      <c r="AO115" s="296">
        <f t="shared" si="29"/>
        <v>960165.00000000012</v>
      </c>
      <c r="AP115" s="274">
        <f t="shared" si="34"/>
        <v>93</v>
      </c>
      <c r="AQ115" s="275">
        <f t="shared" si="35"/>
        <v>7956.0966205479453</v>
      </c>
      <c r="AR115" s="275">
        <f t="shared" si="30"/>
        <v>27137.653379452055</v>
      </c>
      <c r="AS115" s="280">
        <f t="shared" si="33"/>
        <v>2.7266932724230811E-2</v>
      </c>
    </row>
    <row r="116" spans="2:45" x14ac:dyDescent="0.3">
      <c r="B116" s="287">
        <f t="shared" si="26"/>
        <v>112</v>
      </c>
      <c r="C116" s="272" t="s">
        <v>174</v>
      </c>
      <c r="D116" s="288" t="str">
        <f t="shared" si="27"/>
        <v>Jun-25</v>
      </c>
      <c r="E116" s="288" t="s">
        <v>107</v>
      </c>
      <c r="F116" s="289">
        <v>45820</v>
      </c>
      <c r="G116" s="290" t="s">
        <v>449</v>
      </c>
      <c r="H116" s="291" t="s">
        <v>2592</v>
      </c>
      <c r="I116" s="290" t="s">
        <v>254</v>
      </c>
      <c r="J116" s="387" t="s">
        <v>890</v>
      </c>
      <c r="K116" s="289">
        <v>45820</v>
      </c>
      <c r="L116" s="291" t="s">
        <v>891</v>
      </c>
      <c r="M116" s="289">
        <v>45820</v>
      </c>
      <c r="N116" s="291" t="s">
        <v>255</v>
      </c>
      <c r="O116" s="290" t="s">
        <v>892</v>
      </c>
      <c r="P116" s="291" t="s">
        <v>500</v>
      </c>
      <c r="Q116" s="291" t="s">
        <v>757</v>
      </c>
      <c r="R116" s="458">
        <v>2870</v>
      </c>
      <c r="S116" s="404">
        <v>31.120999999999999</v>
      </c>
      <c r="T116" s="459">
        <f t="shared" si="19"/>
        <v>89317.26999999999</v>
      </c>
      <c r="U116" s="409" t="s">
        <v>107</v>
      </c>
      <c r="V116" s="288" t="s">
        <v>313</v>
      </c>
      <c r="W116" s="296" t="str">
        <f t="shared" si="28"/>
        <v>Sep-25</v>
      </c>
      <c r="X116" s="293" t="s">
        <v>2617</v>
      </c>
      <c r="Y116" s="293" t="s">
        <v>1722</v>
      </c>
      <c r="Z116" s="318">
        <v>45912</v>
      </c>
      <c r="AA116" s="293" t="s">
        <v>1726</v>
      </c>
      <c r="AB116" s="293" t="s">
        <v>1465</v>
      </c>
      <c r="AC116" s="298" t="s">
        <v>501</v>
      </c>
      <c r="AD116" s="298" t="s">
        <v>501</v>
      </c>
      <c r="AE116" s="512">
        <v>24670</v>
      </c>
      <c r="AF116" s="513">
        <v>35.450000000000003</v>
      </c>
      <c r="AG116" s="514">
        <f t="shared" si="20"/>
        <v>874551.50000000012</v>
      </c>
      <c r="AH116" s="514">
        <v>-2836</v>
      </c>
      <c r="AI116" s="514">
        <f t="shared" si="21"/>
        <v>871715.50000000012</v>
      </c>
      <c r="AJ116" s="514">
        <v>0</v>
      </c>
      <c r="AK116" s="514">
        <f t="shared" si="22"/>
        <v>24670</v>
      </c>
      <c r="AL116" s="514">
        <f t="shared" si="23"/>
        <v>767755.07</v>
      </c>
      <c r="AM116" s="515">
        <f t="shared" si="24"/>
        <v>103960.43000000017</v>
      </c>
      <c r="AN116" s="299">
        <f t="shared" si="25"/>
        <v>0.11925958641322788</v>
      </c>
      <c r="AO116" s="296">
        <f t="shared" si="29"/>
        <v>767755.07</v>
      </c>
      <c r="AP116" s="274">
        <f t="shared" si="34"/>
        <v>92</v>
      </c>
      <c r="AQ116" s="275">
        <f t="shared" si="35"/>
        <v>2104.9511138082189</v>
      </c>
      <c r="AR116" s="275">
        <f t="shared" si="30"/>
        <v>101855.47888619195</v>
      </c>
      <c r="AS116" s="280">
        <f t="shared" si="33"/>
        <v>0.11684486381874813</v>
      </c>
    </row>
    <row r="117" spans="2:45" x14ac:dyDescent="0.3">
      <c r="B117" s="287">
        <f t="shared" si="26"/>
        <v>113</v>
      </c>
      <c r="C117" s="272" t="s">
        <v>174</v>
      </c>
      <c r="D117" s="288" t="str">
        <f t="shared" si="27"/>
        <v>Jun-25</v>
      </c>
      <c r="E117" s="288" t="s">
        <v>107</v>
      </c>
      <c r="F117" s="289">
        <v>45820</v>
      </c>
      <c r="G117" s="290" t="s">
        <v>445</v>
      </c>
      <c r="H117" s="291" t="s">
        <v>2596</v>
      </c>
      <c r="I117" s="290" t="s">
        <v>2616</v>
      </c>
      <c r="J117" s="387" t="s">
        <v>875</v>
      </c>
      <c r="K117" s="289">
        <v>45785</v>
      </c>
      <c r="L117" s="291" t="s">
        <v>876</v>
      </c>
      <c r="M117" s="289">
        <v>45820</v>
      </c>
      <c r="N117" s="291" t="s">
        <v>255</v>
      </c>
      <c r="O117" s="290" t="s">
        <v>874</v>
      </c>
      <c r="P117" s="291" t="s">
        <v>500</v>
      </c>
      <c r="Q117" s="291" t="s">
        <v>2607</v>
      </c>
      <c r="R117" s="458">
        <v>4710</v>
      </c>
      <c r="S117" s="404">
        <v>36.5</v>
      </c>
      <c r="T117" s="459">
        <f t="shared" si="19"/>
        <v>171915</v>
      </c>
      <c r="U117" s="409" t="s">
        <v>107</v>
      </c>
      <c r="V117" s="288" t="s">
        <v>313</v>
      </c>
      <c r="W117" s="296" t="str">
        <f t="shared" si="28"/>
        <v>Sep-25</v>
      </c>
      <c r="X117" s="293" t="s">
        <v>2617</v>
      </c>
      <c r="Y117" s="293" t="s">
        <v>1724</v>
      </c>
      <c r="Z117" s="318">
        <v>45912</v>
      </c>
      <c r="AA117" s="293" t="s">
        <v>1728</v>
      </c>
      <c r="AB117" s="293" t="s">
        <v>1465</v>
      </c>
      <c r="AC117" s="298" t="s">
        <v>501</v>
      </c>
      <c r="AD117" s="298" t="s">
        <v>501</v>
      </c>
      <c r="AE117" s="512">
        <v>28125</v>
      </c>
      <c r="AF117" s="513">
        <v>35.450000000000003</v>
      </c>
      <c r="AG117" s="514">
        <f t="shared" si="20"/>
        <v>997031.25000000012</v>
      </c>
      <c r="AH117" s="514">
        <v>0</v>
      </c>
      <c r="AI117" s="514">
        <f t="shared" si="21"/>
        <v>997031.25000000012</v>
      </c>
      <c r="AJ117" s="514">
        <v>0</v>
      </c>
      <c r="AK117" s="514">
        <f t="shared" si="22"/>
        <v>28125</v>
      </c>
      <c r="AL117" s="514">
        <f t="shared" si="23"/>
        <v>1026562.5</v>
      </c>
      <c r="AM117" s="515">
        <f t="shared" si="24"/>
        <v>-29531.249999999884</v>
      </c>
      <c r="AN117" s="299">
        <f t="shared" si="25"/>
        <v>-2.9619181946403266E-2</v>
      </c>
      <c r="AO117" s="296">
        <f t="shared" si="29"/>
        <v>1026562.5</v>
      </c>
      <c r="AP117" s="274">
        <f t="shared" si="34"/>
        <v>127</v>
      </c>
      <c r="AQ117" s="275">
        <f t="shared" si="35"/>
        <v>5592.8895000000002</v>
      </c>
      <c r="AR117" s="275">
        <f t="shared" si="30"/>
        <v>-35124.139499999881</v>
      </c>
      <c r="AS117" s="280">
        <f t="shared" ref="AS117:AS123" si="36">AR117/(AG117+AH117)</f>
        <v>-3.5228724776680646E-2</v>
      </c>
    </row>
    <row r="118" spans="2:45" x14ac:dyDescent="0.3">
      <c r="B118" s="287">
        <f t="shared" si="26"/>
        <v>114</v>
      </c>
      <c r="C118" s="272" t="s">
        <v>174</v>
      </c>
      <c r="D118" s="288" t="str">
        <f t="shared" si="27"/>
        <v>Jun-25</v>
      </c>
      <c r="E118" s="288" t="s">
        <v>107</v>
      </c>
      <c r="F118" s="289">
        <v>45820</v>
      </c>
      <c r="G118" s="290" t="s">
        <v>446</v>
      </c>
      <c r="H118" s="291" t="s">
        <v>2596</v>
      </c>
      <c r="I118" s="290" t="s">
        <v>2616</v>
      </c>
      <c r="J118" s="387" t="s">
        <v>877</v>
      </c>
      <c r="K118" s="289">
        <v>45787</v>
      </c>
      <c r="L118" s="291" t="s">
        <v>878</v>
      </c>
      <c r="M118" s="289">
        <v>45820</v>
      </c>
      <c r="N118" s="291" t="s">
        <v>255</v>
      </c>
      <c r="O118" s="290" t="s">
        <v>874</v>
      </c>
      <c r="P118" s="291" t="s">
        <v>500</v>
      </c>
      <c r="Q118" s="291" t="s">
        <v>2607</v>
      </c>
      <c r="R118" s="458">
        <v>3960</v>
      </c>
      <c r="S118" s="404">
        <v>36.5</v>
      </c>
      <c r="T118" s="459">
        <f t="shared" si="19"/>
        <v>144540</v>
      </c>
      <c r="U118" s="409" t="s">
        <v>107</v>
      </c>
      <c r="V118" s="288" t="s">
        <v>313</v>
      </c>
      <c r="W118" s="296" t="str">
        <f t="shared" si="28"/>
        <v>Sep-25</v>
      </c>
      <c r="X118" s="293" t="s">
        <v>2617</v>
      </c>
      <c r="Y118" s="293" t="s">
        <v>1725</v>
      </c>
      <c r="Z118" s="318">
        <v>45912</v>
      </c>
      <c r="AA118" s="293" t="s">
        <v>1729</v>
      </c>
      <c r="AB118" s="293" t="s">
        <v>2628</v>
      </c>
      <c r="AC118" s="298" t="s">
        <v>501</v>
      </c>
      <c r="AD118" s="298" t="s">
        <v>501</v>
      </c>
      <c r="AE118" s="512">
        <v>24460</v>
      </c>
      <c r="AF118" s="513">
        <v>35.5</v>
      </c>
      <c r="AG118" s="514">
        <f t="shared" si="20"/>
        <v>868330</v>
      </c>
      <c r="AH118" s="514">
        <v>0</v>
      </c>
      <c r="AI118" s="514">
        <f t="shared" si="21"/>
        <v>868330</v>
      </c>
      <c r="AJ118" s="514">
        <v>0</v>
      </c>
      <c r="AK118" s="514">
        <f t="shared" si="22"/>
        <v>24460</v>
      </c>
      <c r="AL118" s="514">
        <f t="shared" si="23"/>
        <v>892790</v>
      </c>
      <c r="AM118" s="515">
        <f t="shared" si="24"/>
        <v>-24460</v>
      </c>
      <c r="AN118" s="299">
        <f t="shared" si="25"/>
        <v>-2.8169014084507043E-2</v>
      </c>
      <c r="AO118" s="296">
        <f t="shared" si="29"/>
        <v>892790</v>
      </c>
      <c r="AP118" s="274">
        <f t="shared" si="34"/>
        <v>125</v>
      </c>
      <c r="AQ118" s="275">
        <f t="shared" si="35"/>
        <v>4628.25</v>
      </c>
      <c r="AR118" s="275">
        <f t="shared" si="30"/>
        <v>-29088.25</v>
      </c>
      <c r="AS118" s="280">
        <f t="shared" si="36"/>
        <v>-3.3499072933101469E-2</v>
      </c>
    </row>
    <row r="119" spans="2:45" x14ac:dyDescent="0.3">
      <c r="B119" s="287">
        <f t="shared" si="26"/>
        <v>115</v>
      </c>
      <c r="C119" s="272" t="s">
        <v>174</v>
      </c>
      <c r="D119" s="288" t="str">
        <f t="shared" si="27"/>
        <v>Jun-25</v>
      </c>
      <c r="E119" s="288" t="s">
        <v>107</v>
      </c>
      <c r="F119" s="289">
        <v>45820</v>
      </c>
      <c r="G119" s="290" t="s">
        <v>447</v>
      </c>
      <c r="H119" s="291" t="s">
        <v>2596</v>
      </c>
      <c r="I119" s="290" t="s">
        <v>2616</v>
      </c>
      <c r="J119" s="387" t="s">
        <v>879</v>
      </c>
      <c r="K119" s="289">
        <v>45787</v>
      </c>
      <c r="L119" s="291" t="s">
        <v>880</v>
      </c>
      <c r="M119" s="289">
        <v>45820</v>
      </c>
      <c r="N119" s="291" t="s">
        <v>255</v>
      </c>
      <c r="O119" s="290" t="s">
        <v>881</v>
      </c>
      <c r="P119" s="291" t="s">
        <v>500</v>
      </c>
      <c r="Q119" s="291" t="s">
        <v>2607</v>
      </c>
      <c r="R119" s="458">
        <v>3900</v>
      </c>
      <c r="S119" s="404">
        <v>36.5</v>
      </c>
      <c r="T119" s="459">
        <f t="shared" si="19"/>
        <v>142350</v>
      </c>
      <c r="U119" s="409" t="s">
        <v>107</v>
      </c>
      <c r="V119" s="288" t="s">
        <v>313</v>
      </c>
      <c r="W119" s="296" t="str">
        <f t="shared" si="28"/>
        <v>Sep-25</v>
      </c>
      <c r="X119" s="293" t="s">
        <v>2617</v>
      </c>
      <c r="Y119" s="293" t="s">
        <v>1824</v>
      </c>
      <c r="Z119" s="318">
        <v>45912</v>
      </c>
      <c r="AA119" s="293" t="s">
        <v>1831</v>
      </c>
      <c r="AB119" s="293" t="s">
        <v>1465</v>
      </c>
      <c r="AC119" s="298" t="s">
        <v>501</v>
      </c>
      <c r="AD119" s="298" t="s">
        <v>501</v>
      </c>
      <c r="AE119" s="512">
        <v>25485</v>
      </c>
      <c r="AF119" s="513">
        <v>35.450000000000003</v>
      </c>
      <c r="AG119" s="514">
        <f t="shared" si="20"/>
        <v>903443.25000000012</v>
      </c>
      <c r="AH119" s="514">
        <v>0</v>
      </c>
      <c r="AI119" s="514">
        <f t="shared" si="21"/>
        <v>903443.25000000012</v>
      </c>
      <c r="AJ119" s="514">
        <v>0</v>
      </c>
      <c r="AK119" s="514">
        <f t="shared" si="22"/>
        <v>25485</v>
      </c>
      <c r="AL119" s="514">
        <f t="shared" si="23"/>
        <v>930202.5</v>
      </c>
      <c r="AM119" s="515">
        <f t="shared" si="24"/>
        <v>-26759.249999999884</v>
      </c>
      <c r="AN119" s="299">
        <f t="shared" si="25"/>
        <v>-2.9619181946403252E-2</v>
      </c>
      <c r="AO119" s="296">
        <f t="shared" si="29"/>
        <v>930202.5</v>
      </c>
      <c r="AP119" s="274">
        <f t="shared" si="34"/>
        <v>125</v>
      </c>
      <c r="AQ119" s="275">
        <f t="shared" si="35"/>
        <v>4558.125</v>
      </c>
      <c r="AR119" s="275">
        <f t="shared" si="30"/>
        <v>-31317.374999999884</v>
      </c>
      <c r="AS119" s="280">
        <f t="shared" si="36"/>
        <v>-3.4664462875780941E-2</v>
      </c>
    </row>
    <row r="120" spans="2:45" x14ac:dyDescent="0.3">
      <c r="B120" s="287">
        <f t="shared" si="26"/>
        <v>116</v>
      </c>
      <c r="C120" s="272" t="s">
        <v>174</v>
      </c>
      <c r="D120" s="288" t="str">
        <f t="shared" si="27"/>
        <v>Jun-25</v>
      </c>
      <c r="E120" s="288" t="s">
        <v>107</v>
      </c>
      <c r="F120" s="289">
        <v>45820</v>
      </c>
      <c r="G120" s="290" t="s">
        <v>443</v>
      </c>
      <c r="H120" s="291" t="s">
        <v>2596</v>
      </c>
      <c r="I120" s="290" t="s">
        <v>2616</v>
      </c>
      <c r="J120" s="387" t="s">
        <v>885</v>
      </c>
      <c r="K120" s="289">
        <v>45789</v>
      </c>
      <c r="L120" s="291" t="s">
        <v>886</v>
      </c>
      <c r="M120" s="289">
        <v>45820</v>
      </c>
      <c r="N120" s="291" t="s">
        <v>255</v>
      </c>
      <c r="O120" s="290" t="s">
        <v>884</v>
      </c>
      <c r="P120" s="291" t="s">
        <v>500</v>
      </c>
      <c r="Q120" s="291" t="s">
        <v>2607</v>
      </c>
      <c r="R120" s="458">
        <v>6360</v>
      </c>
      <c r="S120" s="404">
        <v>36.5</v>
      </c>
      <c r="T120" s="459">
        <f t="shared" si="19"/>
        <v>232140</v>
      </c>
      <c r="U120" s="409" t="s">
        <v>107</v>
      </c>
      <c r="V120" s="288" t="s">
        <v>313</v>
      </c>
      <c r="W120" s="296" t="str">
        <f t="shared" si="28"/>
        <v>Sep-25</v>
      </c>
      <c r="X120" s="293" t="s">
        <v>2617</v>
      </c>
      <c r="Y120" s="293" t="s">
        <v>1823</v>
      </c>
      <c r="Z120" s="318">
        <v>45912</v>
      </c>
      <c r="AA120" s="293" t="s">
        <v>1830</v>
      </c>
      <c r="AB120" s="293" t="s">
        <v>1465</v>
      </c>
      <c r="AC120" s="298" t="s">
        <v>501</v>
      </c>
      <c r="AD120" s="298" t="s">
        <v>501</v>
      </c>
      <c r="AE120" s="512">
        <v>24425</v>
      </c>
      <c r="AF120" s="513">
        <v>35.450000000000003</v>
      </c>
      <c r="AG120" s="514">
        <f t="shared" si="20"/>
        <v>865866.25000000012</v>
      </c>
      <c r="AH120" s="514">
        <v>-3367.75</v>
      </c>
      <c r="AI120" s="514">
        <f t="shared" si="21"/>
        <v>862498.50000000012</v>
      </c>
      <c r="AJ120" s="514">
        <v>0</v>
      </c>
      <c r="AK120" s="514">
        <f t="shared" si="22"/>
        <v>24425</v>
      </c>
      <c r="AL120" s="514">
        <f t="shared" si="23"/>
        <v>891512.5</v>
      </c>
      <c r="AM120" s="515">
        <f t="shared" si="24"/>
        <v>-29013.999999999884</v>
      </c>
      <c r="AN120" s="299">
        <f t="shared" si="25"/>
        <v>-3.3639478793296311E-2</v>
      </c>
      <c r="AO120" s="296">
        <f t="shared" si="29"/>
        <v>891512.5</v>
      </c>
      <c r="AP120" s="274">
        <f t="shared" si="34"/>
        <v>123</v>
      </c>
      <c r="AQ120" s="275">
        <f t="shared" si="35"/>
        <v>7314.3179999999993</v>
      </c>
      <c r="AR120" s="275">
        <f t="shared" si="30"/>
        <v>-36328.317999999883</v>
      </c>
      <c r="AS120" s="280">
        <f t="shared" si="36"/>
        <v>-4.2119862237441429E-2</v>
      </c>
    </row>
    <row r="121" spans="2:45" x14ac:dyDescent="0.3">
      <c r="B121" s="287">
        <f t="shared" si="26"/>
        <v>117</v>
      </c>
      <c r="C121" s="272" t="s">
        <v>174</v>
      </c>
      <c r="D121" s="288" t="str">
        <f t="shared" si="27"/>
        <v>Jun-25</v>
      </c>
      <c r="E121" s="288" t="s">
        <v>107</v>
      </c>
      <c r="F121" s="289">
        <v>45820</v>
      </c>
      <c r="G121" s="290" t="s">
        <v>442</v>
      </c>
      <c r="H121" s="291" t="s">
        <v>2596</v>
      </c>
      <c r="I121" s="290" t="s">
        <v>2616</v>
      </c>
      <c r="J121" s="387" t="s">
        <v>872</v>
      </c>
      <c r="K121" s="289">
        <v>45789</v>
      </c>
      <c r="L121" s="291" t="s">
        <v>873</v>
      </c>
      <c r="M121" s="289">
        <v>45820</v>
      </c>
      <c r="N121" s="291" t="s">
        <v>255</v>
      </c>
      <c r="O121" s="290" t="s">
        <v>874</v>
      </c>
      <c r="P121" s="291" t="s">
        <v>500</v>
      </c>
      <c r="Q121" s="291" t="s">
        <v>2607</v>
      </c>
      <c r="R121" s="458">
        <v>3960</v>
      </c>
      <c r="S121" s="404">
        <v>36.5</v>
      </c>
      <c r="T121" s="459">
        <f t="shared" si="19"/>
        <v>144540</v>
      </c>
      <c r="U121" s="409" t="s">
        <v>107</v>
      </c>
      <c r="V121" s="288" t="s">
        <v>313</v>
      </c>
      <c r="W121" s="296" t="str">
        <f t="shared" si="28"/>
        <v>Sep-25</v>
      </c>
      <c r="X121" s="293" t="s">
        <v>2617</v>
      </c>
      <c r="Y121" s="293" t="s">
        <v>1820</v>
      </c>
      <c r="Z121" s="318">
        <v>45915</v>
      </c>
      <c r="AA121" s="293" t="s">
        <v>1827</v>
      </c>
      <c r="AB121" s="293" t="s">
        <v>1465</v>
      </c>
      <c r="AC121" s="298" t="s">
        <v>501</v>
      </c>
      <c r="AD121" s="298" t="s">
        <v>501</v>
      </c>
      <c r="AE121" s="512">
        <v>31510</v>
      </c>
      <c r="AF121" s="513">
        <v>35.450000000000003</v>
      </c>
      <c r="AG121" s="514">
        <f t="shared" si="20"/>
        <v>1117029.5</v>
      </c>
      <c r="AH121" s="514">
        <v>-4254</v>
      </c>
      <c r="AI121" s="514">
        <f t="shared" si="21"/>
        <v>1112775.5</v>
      </c>
      <c r="AJ121" s="514">
        <v>0</v>
      </c>
      <c r="AK121" s="514">
        <f t="shared" si="22"/>
        <v>31510</v>
      </c>
      <c r="AL121" s="514">
        <f t="shared" si="23"/>
        <v>1150115</v>
      </c>
      <c r="AM121" s="515">
        <f t="shared" si="24"/>
        <v>-37339.5</v>
      </c>
      <c r="AN121" s="299">
        <f t="shared" si="25"/>
        <v>-3.3555285859546695E-2</v>
      </c>
      <c r="AO121" s="296">
        <f t="shared" si="29"/>
        <v>1150115</v>
      </c>
      <c r="AP121" s="274">
        <f t="shared" si="34"/>
        <v>126</v>
      </c>
      <c r="AQ121" s="275">
        <f t="shared" si="35"/>
        <v>4665.2759999999998</v>
      </c>
      <c r="AR121" s="275">
        <f t="shared" si="30"/>
        <v>-42004.775999999998</v>
      </c>
      <c r="AS121" s="280">
        <f t="shared" si="36"/>
        <v>-3.7747754151668506E-2</v>
      </c>
    </row>
    <row r="122" spans="2:45" x14ac:dyDescent="0.3">
      <c r="B122" s="287">
        <f t="shared" si="26"/>
        <v>118</v>
      </c>
      <c r="C122" s="272" t="s">
        <v>174</v>
      </c>
      <c r="D122" s="288" t="str">
        <f t="shared" si="27"/>
        <v>Jun-25</v>
      </c>
      <c r="E122" s="288" t="s">
        <v>107</v>
      </c>
      <c r="F122" s="289">
        <v>45820</v>
      </c>
      <c r="G122" s="290" t="s">
        <v>444</v>
      </c>
      <c r="H122" s="291" t="s">
        <v>2596</v>
      </c>
      <c r="I122" s="290" t="s">
        <v>2616</v>
      </c>
      <c r="J122" s="387" t="s">
        <v>887</v>
      </c>
      <c r="K122" s="289">
        <v>45789</v>
      </c>
      <c r="L122" s="291" t="s">
        <v>888</v>
      </c>
      <c r="M122" s="289">
        <v>45820</v>
      </c>
      <c r="N122" s="291" t="s">
        <v>255</v>
      </c>
      <c r="O122" s="290" t="s">
        <v>889</v>
      </c>
      <c r="P122" s="291" t="s">
        <v>500</v>
      </c>
      <c r="Q122" s="291" t="s">
        <v>2607</v>
      </c>
      <c r="R122" s="458">
        <v>8960</v>
      </c>
      <c r="S122" s="404">
        <v>36.5</v>
      </c>
      <c r="T122" s="459">
        <f t="shared" si="19"/>
        <v>327040</v>
      </c>
      <c r="U122" s="409" t="s">
        <v>107</v>
      </c>
      <c r="V122" s="288" t="s">
        <v>313</v>
      </c>
      <c r="W122" s="296" t="str">
        <f t="shared" si="28"/>
        <v>Sep-25</v>
      </c>
      <c r="X122" s="293" t="s">
        <v>2617</v>
      </c>
      <c r="Y122" s="293" t="s">
        <v>1825</v>
      </c>
      <c r="Z122" s="318">
        <v>45919</v>
      </c>
      <c r="AA122" s="293" t="s">
        <v>1832</v>
      </c>
      <c r="AB122" s="293" t="s">
        <v>1465</v>
      </c>
      <c r="AC122" s="298" t="s">
        <v>501</v>
      </c>
      <c r="AD122" s="298" t="s">
        <v>501</v>
      </c>
      <c r="AE122" s="512">
        <v>37280</v>
      </c>
      <c r="AF122" s="513">
        <v>33.6</v>
      </c>
      <c r="AG122" s="514">
        <f t="shared" si="20"/>
        <v>1252608</v>
      </c>
      <c r="AH122" s="514">
        <v>0</v>
      </c>
      <c r="AI122" s="514">
        <f t="shared" si="21"/>
        <v>1252608</v>
      </c>
      <c r="AJ122" s="514">
        <v>0</v>
      </c>
      <c r="AK122" s="514">
        <f t="shared" si="22"/>
        <v>37280</v>
      </c>
      <c r="AL122" s="514">
        <f t="shared" si="23"/>
        <v>1360720</v>
      </c>
      <c r="AM122" s="515">
        <f t="shared" si="24"/>
        <v>-108112</v>
      </c>
      <c r="AN122" s="299">
        <f t="shared" si="25"/>
        <v>-8.6309523809523808E-2</v>
      </c>
      <c r="AO122" s="296">
        <f t="shared" si="29"/>
        <v>1360720</v>
      </c>
      <c r="AP122" s="274">
        <f t="shared" si="34"/>
        <v>130</v>
      </c>
      <c r="AQ122" s="275">
        <f t="shared" si="35"/>
        <v>10890.880000000001</v>
      </c>
      <c r="AR122" s="275">
        <f t="shared" si="30"/>
        <v>-119002.88</v>
      </c>
      <c r="AS122" s="280">
        <f t="shared" si="36"/>
        <v>-9.5004087471898632E-2</v>
      </c>
    </row>
    <row r="123" spans="2:45" x14ac:dyDescent="0.3">
      <c r="B123" s="287">
        <f t="shared" si="26"/>
        <v>119</v>
      </c>
      <c r="C123" s="272" t="s">
        <v>174</v>
      </c>
      <c r="D123" s="288" t="str">
        <f t="shared" si="27"/>
        <v>Jun-25</v>
      </c>
      <c r="E123" s="288" t="s">
        <v>107</v>
      </c>
      <c r="F123" s="289">
        <v>45820</v>
      </c>
      <c r="G123" s="290" t="s">
        <v>448</v>
      </c>
      <c r="H123" s="291" t="s">
        <v>2596</v>
      </c>
      <c r="I123" s="290" t="s">
        <v>2616</v>
      </c>
      <c r="J123" s="387" t="s">
        <v>882</v>
      </c>
      <c r="K123" s="289">
        <v>45789</v>
      </c>
      <c r="L123" s="291" t="s">
        <v>883</v>
      </c>
      <c r="M123" s="289">
        <v>45820</v>
      </c>
      <c r="N123" s="291" t="s">
        <v>255</v>
      </c>
      <c r="O123" s="290" t="s">
        <v>884</v>
      </c>
      <c r="P123" s="291" t="s">
        <v>500</v>
      </c>
      <c r="Q123" s="291" t="s">
        <v>2607</v>
      </c>
      <c r="R123" s="458">
        <v>7590</v>
      </c>
      <c r="S123" s="404">
        <v>36.5</v>
      </c>
      <c r="T123" s="459">
        <f t="shared" si="19"/>
        <v>277035</v>
      </c>
      <c r="U123" s="409" t="s">
        <v>107</v>
      </c>
      <c r="V123" s="288" t="s">
        <v>313</v>
      </c>
      <c r="W123" s="296" t="str">
        <f t="shared" si="28"/>
        <v>Sep-25</v>
      </c>
      <c r="X123" s="293" t="s">
        <v>2617</v>
      </c>
      <c r="Y123" s="293" t="s">
        <v>1826</v>
      </c>
      <c r="Z123" s="318">
        <v>45919</v>
      </c>
      <c r="AA123" s="293" t="s">
        <v>1833</v>
      </c>
      <c r="AB123" s="293" t="s">
        <v>2628</v>
      </c>
      <c r="AC123" s="298" t="s">
        <v>501</v>
      </c>
      <c r="AD123" s="298" t="s">
        <v>501</v>
      </c>
      <c r="AE123" s="512">
        <v>24815</v>
      </c>
      <c r="AF123" s="513">
        <v>35.5</v>
      </c>
      <c r="AG123" s="514">
        <f t="shared" si="20"/>
        <v>880932.5</v>
      </c>
      <c r="AH123" s="514">
        <v>0</v>
      </c>
      <c r="AI123" s="514">
        <f t="shared" si="21"/>
        <v>880932.5</v>
      </c>
      <c r="AJ123" s="514">
        <v>0</v>
      </c>
      <c r="AK123" s="514">
        <f t="shared" si="22"/>
        <v>24815</v>
      </c>
      <c r="AL123" s="514">
        <f t="shared" si="23"/>
        <v>905747.5</v>
      </c>
      <c r="AM123" s="515">
        <f t="shared" si="24"/>
        <v>-24815</v>
      </c>
      <c r="AN123" s="299">
        <f t="shared" si="25"/>
        <v>-2.8169014084507043E-2</v>
      </c>
      <c r="AO123" s="296">
        <f t="shared" si="29"/>
        <v>905747.5</v>
      </c>
      <c r="AP123" s="274">
        <f t="shared" si="34"/>
        <v>130</v>
      </c>
      <c r="AQ123" s="275">
        <f t="shared" si="35"/>
        <v>9225.6449999999986</v>
      </c>
      <c r="AR123" s="275">
        <f t="shared" si="30"/>
        <v>-34040.644999999997</v>
      </c>
      <c r="AS123" s="280">
        <f t="shared" si="36"/>
        <v>-3.8641604209176068E-2</v>
      </c>
    </row>
    <row r="124" spans="2:45" x14ac:dyDescent="0.3">
      <c r="B124" s="287">
        <f t="shared" si="26"/>
        <v>120</v>
      </c>
      <c r="C124" s="272" t="s">
        <v>174</v>
      </c>
      <c r="D124" s="288" t="str">
        <f t="shared" si="27"/>
        <v>Jun-25</v>
      </c>
      <c r="E124" s="288" t="s">
        <v>107</v>
      </c>
      <c r="F124" s="289">
        <v>45820</v>
      </c>
      <c r="G124" s="290" t="s">
        <v>450</v>
      </c>
      <c r="H124" s="291" t="s">
        <v>2597</v>
      </c>
      <c r="I124" s="290" t="s">
        <v>853</v>
      </c>
      <c r="J124" s="387">
        <v>6122504028</v>
      </c>
      <c r="K124" s="289">
        <v>45820</v>
      </c>
      <c r="L124" s="291" t="s">
        <v>894</v>
      </c>
      <c r="M124" s="289">
        <v>45820</v>
      </c>
      <c r="N124" s="291" t="s">
        <v>255</v>
      </c>
      <c r="O124" s="290" t="s">
        <v>300</v>
      </c>
      <c r="P124" s="291" t="s">
        <v>500</v>
      </c>
      <c r="Q124" s="291" t="s">
        <v>2607</v>
      </c>
      <c r="R124" s="458">
        <v>6550</v>
      </c>
      <c r="S124" s="404">
        <v>34.200000000000003</v>
      </c>
      <c r="T124" s="459">
        <f t="shared" si="19"/>
        <v>224010.00000000003</v>
      </c>
      <c r="U124" s="409" t="s">
        <v>107</v>
      </c>
      <c r="V124" s="288" t="s">
        <v>313</v>
      </c>
      <c r="W124" s="296" t="str">
        <f t="shared" si="28"/>
        <v>Sep-25</v>
      </c>
      <c r="X124" s="293" t="s">
        <v>2617</v>
      </c>
      <c r="Y124" s="293" t="s">
        <v>1834</v>
      </c>
      <c r="Z124" s="318">
        <v>45921</v>
      </c>
      <c r="AA124" s="293" t="s">
        <v>1835</v>
      </c>
      <c r="AB124" s="293" t="s">
        <v>1465</v>
      </c>
      <c r="AC124" s="298" t="s">
        <v>501</v>
      </c>
      <c r="AD124" s="298" t="s">
        <v>501</v>
      </c>
      <c r="AE124" s="512">
        <v>24000</v>
      </c>
      <c r="AF124" s="513">
        <v>35.450000000000003</v>
      </c>
      <c r="AG124" s="514">
        <f t="shared" si="20"/>
        <v>850800.00000000012</v>
      </c>
      <c r="AH124" s="514">
        <v>0</v>
      </c>
      <c r="AI124" s="514">
        <f t="shared" si="21"/>
        <v>850800.00000000012</v>
      </c>
      <c r="AJ124" s="514">
        <v>0</v>
      </c>
      <c r="AK124" s="514">
        <f t="shared" si="22"/>
        <v>24000</v>
      </c>
      <c r="AL124" s="514">
        <f t="shared" si="23"/>
        <v>820800.00000000012</v>
      </c>
      <c r="AM124" s="515">
        <f t="shared" si="24"/>
        <v>30000</v>
      </c>
      <c r="AN124" s="299">
        <f t="shared" si="25"/>
        <v>3.5260930888575452E-2</v>
      </c>
      <c r="AO124" s="296">
        <f t="shared" si="29"/>
        <v>820800.00000000012</v>
      </c>
      <c r="AP124" s="274">
        <f t="shared" si="34"/>
        <v>101</v>
      </c>
      <c r="AQ124" s="275">
        <f t="shared" si="35"/>
        <v>5795.7217397260274</v>
      </c>
      <c r="AR124" s="275">
        <f t="shared" si="30"/>
        <v>24204.278260273972</v>
      </c>
      <c r="AS124" s="280">
        <f t="shared" ref="AS124:AS155" si="37">IFERROR(AR124/(AG124+AH124),0)</f>
        <v>2.8448846098112327E-2</v>
      </c>
    </row>
    <row r="125" spans="2:45" x14ac:dyDescent="0.3">
      <c r="B125" s="287">
        <f t="shared" si="26"/>
        <v>121</v>
      </c>
      <c r="C125" s="272" t="s">
        <v>174</v>
      </c>
      <c r="D125" s="288" t="str">
        <f t="shared" si="27"/>
        <v>Jun-25</v>
      </c>
      <c r="E125" s="288" t="s">
        <v>107</v>
      </c>
      <c r="F125" s="289">
        <v>45820</v>
      </c>
      <c r="G125" s="290" t="s">
        <v>438</v>
      </c>
      <c r="H125" s="291" t="s">
        <v>2597</v>
      </c>
      <c r="I125" s="290" t="s">
        <v>853</v>
      </c>
      <c r="J125" s="387">
        <v>6122504025</v>
      </c>
      <c r="K125" s="289">
        <v>45820</v>
      </c>
      <c r="L125" s="291" t="s">
        <v>893</v>
      </c>
      <c r="M125" s="289">
        <v>45820</v>
      </c>
      <c r="N125" s="291" t="s">
        <v>255</v>
      </c>
      <c r="O125" s="290" t="s">
        <v>299</v>
      </c>
      <c r="P125" s="291" t="s">
        <v>500</v>
      </c>
      <c r="Q125" s="291" t="s">
        <v>2607</v>
      </c>
      <c r="R125" s="458">
        <v>9310</v>
      </c>
      <c r="S125" s="404">
        <v>34.200000000000003</v>
      </c>
      <c r="T125" s="459">
        <f t="shared" si="19"/>
        <v>318402</v>
      </c>
      <c r="U125" s="409" t="s">
        <v>107</v>
      </c>
      <c r="V125" s="288" t="s">
        <v>313</v>
      </c>
      <c r="W125" s="296" t="str">
        <f t="shared" si="28"/>
        <v>Sep-25</v>
      </c>
      <c r="X125" s="293" t="s">
        <v>2617</v>
      </c>
      <c r="Y125" s="293" t="s">
        <v>1882</v>
      </c>
      <c r="Z125" s="318">
        <v>45922</v>
      </c>
      <c r="AA125" s="293" t="s">
        <v>1873</v>
      </c>
      <c r="AB125" s="293" t="s">
        <v>1465</v>
      </c>
      <c r="AC125" s="298" t="s">
        <v>501</v>
      </c>
      <c r="AD125" s="298" t="s">
        <v>501</v>
      </c>
      <c r="AE125" s="512">
        <v>22100</v>
      </c>
      <c r="AF125" s="513">
        <v>35.450000000000003</v>
      </c>
      <c r="AG125" s="514">
        <f t="shared" si="20"/>
        <v>783445.00000000012</v>
      </c>
      <c r="AH125" s="514">
        <v>0</v>
      </c>
      <c r="AI125" s="514">
        <f t="shared" si="21"/>
        <v>783445.00000000012</v>
      </c>
      <c r="AJ125" s="514">
        <v>0</v>
      </c>
      <c r="AK125" s="514">
        <f t="shared" si="22"/>
        <v>22100</v>
      </c>
      <c r="AL125" s="514">
        <f t="shared" si="23"/>
        <v>755820.00000000012</v>
      </c>
      <c r="AM125" s="515">
        <f t="shared" si="24"/>
        <v>27625</v>
      </c>
      <c r="AN125" s="299">
        <f t="shared" si="25"/>
        <v>3.5260930888575452E-2</v>
      </c>
      <c r="AO125" s="296">
        <f t="shared" si="29"/>
        <v>755820.00000000012</v>
      </c>
      <c r="AP125" s="274">
        <f t="shared" si="34"/>
        <v>102</v>
      </c>
      <c r="AQ125" s="275">
        <f t="shared" si="35"/>
        <v>8319.4517095890405</v>
      </c>
      <c r="AR125" s="275">
        <f t="shared" si="30"/>
        <v>19305.548290410959</v>
      </c>
      <c r="AS125" s="280">
        <f t="shared" si="37"/>
        <v>2.4641868019338889E-2</v>
      </c>
    </row>
    <row r="126" spans="2:45" x14ac:dyDescent="0.3">
      <c r="B126" s="287">
        <f t="shared" si="26"/>
        <v>122</v>
      </c>
      <c r="C126" s="272" t="s">
        <v>174</v>
      </c>
      <c r="D126" s="288" t="str">
        <f t="shared" si="27"/>
        <v>Jun-25</v>
      </c>
      <c r="E126" s="288" t="s">
        <v>107</v>
      </c>
      <c r="F126" s="289">
        <v>45821</v>
      </c>
      <c r="G126" s="290" t="s">
        <v>459</v>
      </c>
      <c r="H126" s="291" t="s">
        <v>2597</v>
      </c>
      <c r="I126" s="290" t="s">
        <v>853</v>
      </c>
      <c r="J126" s="387">
        <v>6122504103</v>
      </c>
      <c r="K126" s="289">
        <v>45821</v>
      </c>
      <c r="L126" s="291" t="s">
        <v>895</v>
      </c>
      <c r="M126" s="289">
        <v>45821</v>
      </c>
      <c r="N126" s="291" t="s">
        <v>255</v>
      </c>
      <c r="O126" s="290" t="s">
        <v>300</v>
      </c>
      <c r="P126" s="291" t="s">
        <v>500</v>
      </c>
      <c r="Q126" s="291" t="s">
        <v>2607</v>
      </c>
      <c r="R126" s="458">
        <v>6540</v>
      </c>
      <c r="S126" s="404">
        <v>34.200000000000003</v>
      </c>
      <c r="T126" s="459">
        <f t="shared" si="19"/>
        <v>223668.00000000003</v>
      </c>
      <c r="U126" s="409" t="s">
        <v>107</v>
      </c>
      <c r="V126" s="288" t="s">
        <v>313</v>
      </c>
      <c r="W126" s="296" t="str">
        <f t="shared" si="28"/>
        <v>Sep-25</v>
      </c>
      <c r="X126" s="293" t="s">
        <v>2617</v>
      </c>
      <c r="Y126" s="293" t="s">
        <v>1883</v>
      </c>
      <c r="Z126" s="318">
        <v>45923</v>
      </c>
      <c r="AA126" s="293" t="s">
        <v>1874</v>
      </c>
      <c r="AB126" s="293" t="s">
        <v>2627</v>
      </c>
      <c r="AC126" s="298" t="s">
        <v>501</v>
      </c>
      <c r="AD126" s="298" t="s">
        <v>501</v>
      </c>
      <c r="AE126" s="512">
        <v>28850</v>
      </c>
      <c r="AF126" s="513">
        <v>35.5</v>
      </c>
      <c r="AG126" s="514">
        <f t="shared" si="20"/>
        <v>1024175</v>
      </c>
      <c r="AH126" s="514">
        <v>-1775</v>
      </c>
      <c r="AI126" s="514">
        <f t="shared" si="21"/>
        <v>1022400</v>
      </c>
      <c r="AJ126" s="514">
        <v>0</v>
      </c>
      <c r="AK126" s="514">
        <f t="shared" si="22"/>
        <v>28850</v>
      </c>
      <c r="AL126" s="514">
        <f t="shared" si="23"/>
        <v>986670.00000000012</v>
      </c>
      <c r="AM126" s="515">
        <f t="shared" si="24"/>
        <v>35729.999999999884</v>
      </c>
      <c r="AN126" s="299">
        <f t="shared" si="25"/>
        <v>3.4947183098591433E-2</v>
      </c>
      <c r="AO126" s="296">
        <f t="shared" si="29"/>
        <v>986670.00000000012</v>
      </c>
      <c r="AP126" s="274">
        <f t="shared" si="34"/>
        <v>102</v>
      </c>
      <c r="AQ126" s="275">
        <f t="shared" si="35"/>
        <v>5844.1690849315073</v>
      </c>
      <c r="AR126" s="275">
        <f t="shared" si="30"/>
        <v>29885.830915068378</v>
      </c>
      <c r="AS126" s="280">
        <f t="shared" si="37"/>
        <v>2.9231055276866567E-2</v>
      </c>
    </row>
    <row r="127" spans="2:45" x14ac:dyDescent="0.3">
      <c r="B127" s="287">
        <f t="shared" si="26"/>
        <v>123</v>
      </c>
      <c r="C127" s="272" t="s">
        <v>174</v>
      </c>
      <c r="D127" s="288" t="str">
        <f t="shared" si="27"/>
        <v>Jun-25</v>
      </c>
      <c r="E127" s="288" t="s">
        <v>107</v>
      </c>
      <c r="F127" s="289">
        <v>45821</v>
      </c>
      <c r="G127" s="290" t="s">
        <v>457</v>
      </c>
      <c r="H127" s="291" t="s">
        <v>2597</v>
      </c>
      <c r="I127" s="290" t="s">
        <v>853</v>
      </c>
      <c r="J127" s="387">
        <v>6122504099</v>
      </c>
      <c r="K127" s="289">
        <v>45821</v>
      </c>
      <c r="L127" s="291" t="s">
        <v>896</v>
      </c>
      <c r="M127" s="289">
        <v>45821</v>
      </c>
      <c r="N127" s="291" t="s">
        <v>255</v>
      </c>
      <c r="O127" s="290" t="s">
        <v>402</v>
      </c>
      <c r="P127" s="291" t="s">
        <v>500</v>
      </c>
      <c r="Q127" s="291" t="s">
        <v>2607</v>
      </c>
      <c r="R127" s="458">
        <v>6285</v>
      </c>
      <c r="S127" s="404">
        <v>34.200000000000003</v>
      </c>
      <c r="T127" s="459">
        <f t="shared" si="19"/>
        <v>214947.00000000003</v>
      </c>
      <c r="U127" s="409" t="s">
        <v>107</v>
      </c>
      <c r="V127" s="288" t="s">
        <v>313</v>
      </c>
      <c r="W127" s="296" t="str">
        <f t="shared" si="28"/>
        <v>Sep-25</v>
      </c>
      <c r="X127" s="293" t="s">
        <v>2617</v>
      </c>
      <c r="Y127" s="293" t="s">
        <v>1884</v>
      </c>
      <c r="Z127" s="318">
        <v>45925</v>
      </c>
      <c r="AA127" s="293" t="s">
        <v>1875</v>
      </c>
      <c r="AB127" s="293" t="s">
        <v>1465</v>
      </c>
      <c r="AC127" s="298" t="s">
        <v>501</v>
      </c>
      <c r="AD127" s="298" t="s">
        <v>501</v>
      </c>
      <c r="AE127" s="512">
        <v>17250</v>
      </c>
      <c r="AF127" s="513">
        <v>35.450000000000003</v>
      </c>
      <c r="AG127" s="514">
        <f t="shared" si="20"/>
        <v>611512.5</v>
      </c>
      <c r="AH127" s="514">
        <v>0</v>
      </c>
      <c r="AI127" s="514">
        <f t="shared" si="21"/>
        <v>611512.5</v>
      </c>
      <c r="AJ127" s="514">
        <v>0</v>
      </c>
      <c r="AK127" s="514">
        <f t="shared" si="22"/>
        <v>17250</v>
      </c>
      <c r="AL127" s="514">
        <f t="shared" si="23"/>
        <v>589950</v>
      </c>
      <c r="AM127" s="515">
        <f t="shared" si="24"/>
        <v>21562.5</v>
      </c>
      <c r="AN127" s="299">
        <f t="shared" si="25"/>
        <v>3.5260930888575459E-2</v>
      </c>
      <c r="AO127" s="296">
        <f t="shared" si="29"/>
        <v>589950</v>
      </c>
      <c r="AP127" s="274">
        <f t="shared" si="34"/>
        <v>104</v>
      </c>
      <c r="AQ127" s="275">
        <f t="shared" si="35"/>
        <v>5726.4236383561656</v>
      </c>
      <c r="AR127" s="275">
        <f t="shared" si="30"/>
        <v>15836.076361643834</v>
      </c>
      <c r="AS127" s="280">
        <f t="shared" si="37"/>
        <v>2.5896570162742109E-2</v>
      </c>
    </row>
    <row r="128" spans="2:45" x14ac:dyDescent="0.3">
      <c r="B128" s="287">
        <f t="shared" si="26"/>
        <v>124</v>
      </c>
      <c r="C128" s="272" t="s">
        <v>174</v>
      </c>
      <c r="D128" s="288" t="str">
        <f t="shared" si="27"/>
        <v>Jun-25</v>
      </c>
      <c r="E128" s="288" t="s">
        <v>107</v>
      </c>
      <c r="F128" s="289">
        <v>45822</v>
      </c>
      <c r="G128" s="290" t="s">
        <v>458</v>
      </c>
      <c r="H128" s="291" t="s">
        <v>2597</v>
      </c>
      <c r="I128" s="290" t="s">
        <v>853</v>
      </c>
      <c r="J128" s="387">
        <v>6122504158</v>
      </c>
      <c r="K128" s="289">
        <v>45822</v>
      </c>
      <c r="L128" s="291" t="s">
        <v>897</v>
      </c>
      <c r="M128" s="289">
        <v>45822</v>
      </c>
      <c r="N128" s="291" t="s">
        <v>255</v>
      </c>
      <c r="O128" s="290" t="s">
        <v>300</v>
      </c>
      <c r="P128" s="291" t="s">
        <v>500</v>
      </c>
      <c r="Q128" s="291" t="s">
        <v>2607</v>
      </c>
      <c r="R128" s="458">
        <v>7805</v>
      </c>
      <c r="S128" s="404">
        <v>34.200000000000003</v>
      </c>
      <c r="T128" s="459">
        <f t="shared" si="19"/>
        <v>266931</v>
      </c>
      <c r="U128" s="409" t="s">
        <v>107</v>
      </c>
      <c r="V128" s="288" t="s">
        <v>313</v>
      </c>
      <c r="W128" s="296" t="str">
        <f t="shared" si="28"/>
        <v>Sep-25</v>
      </c>
      <c r="X128" s="293" t="s">
        <v>2617</v>
      </c>
      <c r="Y128" s="293" t="s">
        <v>1885</v>
      </c>
      <c r="Z128" s="318">
        <v>45926</v>
      </c>
      <c r="AA128" s="293" t="s">
        <v>1876</v>
      </c>
      <c r="AB128" s="293" t="s">
        <v>2627</v>
      </c>
      <c r="AC128" s="298" t="s">
        <v>501</v>
      </c>
      <c r="AD128" s="298" t="s">
        <v>501</v>
      </c>
      <c r="AE128" s="512">
        <v>25445</v>
      </c>
      <c r="AF128" s="513">
        <v>35.5</v>
      </c>
      <c r="AG128" s="514">
        <f t="shared" si="20"/>
        <v>903297.5</v>
      </c>
      <c r="AH128" s="514">
        <v>0</v>
      </c>
      <c r="AI128" s="514">
        <f t="shared" si="21"/>
        <v>903297.5</v>
      </c>
      <c r="AJ128" s="514">
        <v>0</v>
      </c>
      <c r="AK128" s="514">
        <f t="shared" si="22"/>
        <v>25445</v>
      </c>
      <c r="AL128" s="514">
        <f t="shared" si="23"/>
        <v>870219.00000000012</v>
      </c>
      <c r="AM128" s="515">
        <f t="shared" si="24"/>
        <v>33078.499999999884</v>
      </c>
      <c r="AN128" s="299">
        <f t="shared" si="25"/>
        <v>3.6619718309859023E-2</v>
      </c>
      <c r="AO128" s="296">
        <f t="shared" si="29"/>
        <v>870219.00000000012</v>
      </c>
      <c r="AP128" s="274">
        <f t="shared" si="34"/>
        <v>104</v>
      </c>
      <c r="AQ128" s="275">
        <f t="shared" si="35"/>
        <v>7111.3343671232878</v>
      </c>
      <c r="AR128" s="275">
        <f t="shared" si="30"/>
        <v>25967.165632876597</v>
      </c>
      <c r="AS128" s="280">
        <f t="shared" si="37"/>
        <v>2.8747080151197802E-2</v>
      </c>
    </row>
    <row r="129" spans="2:45" x14ac:dyDescent="0.3">
      <c r="B129" s="287">
        <f t="shared" si="26"/>
        <v>125</v>
      </c>
      <c r="C129" s="272" t="s">
        <v>174</v>
      </c>
      <c r="D129" s="288" t="str">
        <f t="shared" si="27"/>
        <v>Jun-25</v>
      </c>
      <c r="E129" s="288" t="s">
        <v>107</v>
      </c>
      <c r="F129" s="289">
        <v>45823</v>
      </c>
      <c r="G129" s="290" t="s">
        <v>461</v>
      </c>
      <c r="H129" s="291" t="s">
        <v>2598</v>
      </c>
      <c r="I129" s="290" t="s">
        <v>401</v>
      </c>
      <c r="J129" s="387">
        <v>8252000562</v>
      </c>
      <c r="K129" s="289">
        <v>45823</v>
      </c>
      <c r="L129" s="291" t="s">
        <v>898</v>
      </c>
      <c r="M129" s="289">
        <v>45824</v>
      </c>
      <c r="N129" s="291" t="s">
        <v>255</v>
      </c>
      <c r="O129" s="290" t="s">
        <v>899</v>
      </c>
      <c r="P129" s="291" t="s">
        <v>501</v>
      </c>
      <c r="Q129" s="291" t="s">
        <v>2608</v>
      </c>
      <c r="R129" s="458">
        <v>31700</v>
      </c>
      <c r="S129" s="404">
        <v>34.299999999999997</v>
      </c>
      <c r="T129" s="459">
        <f t="shared" si="19"/>
        <v>1087310</v>
      </c>
      <c r="U129" s="409" t="s">
        <v>107</v>
      </c>
      <c r="V129" s="288" t="s">
        <v>313</v>
      </c>
      <c r="W129" s="296" t="str">
        <f t="shared" si="28"/>
        <v>Sep-25</v>
      </c>
      <c r="X129" s="293" t="s">
        <v>2617</v>
      </c>
      <c r="Y129" s="293" t="s">
        <v>1886</v>
      </c>
      <c r="Z129" s="318">
        <v>45927</v>
      </c>
      <c r="AA129" s="293" t="s">
        <v>1877</v>
      </c>
      <c r="AB129" s="293" t="s">
        <v>2626</v>
      </c>
      <c r="AC129" s="298" t="s">
        <v>501</v>
      </c>
      <c r="AD129" s="298" t="s">
        <v>501</v>
      </c>
      <c r="AE129" s="512">
        <v>23265</v>
      </c>
      <c r="AF129" s="513">
        <v>35.5</v>
      </c>
      <c r="AG129" s="514">
        <f t="shared" si="20"/>
        <v>825907.5</v>
      </c>
      <c r="AH129" s="514">
        <v>-1861</v>
      </c>
      <c r="AI129" s="514">
        <f t="shared" si="21"/>
        <v>824046.5</v>
      </c>
      <c r="AJ129" s="514">
        <v>0</v>
      </c>
      <c r="AK129" s="514">
        <f t="shared" si="22"/>
        <v>23265</v>
      </c>
      <c r="AL129" s="514">
        <f t="shared" si="23"/>
        <v>797989.49999999988</v>
      </c>
      <c r="AM129" s="515">
        <f t="shared" si="24"/>
        <v>26057.000000000116</v>
      </c>
      <c r="AN129" s="299">
        <f t="shared" si="25"/>
        <v>3.1620788389975708E-2</v>
      </c>
      <c r="AO129" s="296">
        <f t="shared" si="29"/>
        <v>797989.49999999988</v>
      </c>
      <c r="AP129" s="274">
        <f t="shared" si="34"/>
        <v>104</v>
      </c>
      <c r="AQ129" s="275">
        <f t="shared" si="35"/>
        <v>28967.129972602739</v>
      </c>
      <c r="AR129" s="275">
        <f t="shared" si="30"/>
        <v>-2910.1299726026227</v>
      </c>
      <c r="AS129" s="280">
        <f t="shared" si="37"/>
        <v>-3.5315118413859203E-3</v>
      </c>
    </row>
    <row r="130" spans="2:45" x14ac:dyDescent="0.3">
      <c r="B130" s="287">
        <f t="shared" si="26"/>
        <v>126</v>
      </c>
      <c r="C130" s="272" t="s">
        <v>174</v>
      </c>
      <c r="D130" s="288" t="str">
        <f t="shared" si="27"/>
        <v>Jun-25</v>
      </c>
      <c r="E130" s="288" t="s">
        <v>107</v>
      </c>
      <c r="F130" s="289">
        <v>45823</v>
      </c>
      <c r="G130" s="290" t="s">
        <v>460</v>
      </c>
      <c r="H130" s="291" t="s">
        <v>2598</v>
      </c>
      <c r="I130" s="290" t="s">
        <v>401</v>
      </c>
      <c r="J130" s="387">
        <v>5252000373</v>
      </c>
      <c r="K130" s="289">
        <v>45823</v>
      </c>
      <c r="L130" s="291" t="s">
        <v>900</v>
      </c>
      <c r="M130" s="289">
        <v>45824</v>
      </c>
      <c r="N130" s="291" t="s">
        <v>255</v>
      </c>
      <c r="O130" s="290" t="s">
        <v>402</v>
      </c>
      <c r="P130" s="291" t="s">
        <v>501</v>
      </c>
      <c r="Q130" s="291" t="s">
        <v>2608</v>
      </c>
      <c r="R130" s="458">
        <v>11820</v>
      </c>
      <c r="S130" s="404">
        <v>34.299999999999997</v>
      </c>
      <c r="T130" s="459">
        <f t="shared" si="19"/>
        <v>405425.99999999994</v>
      </c>
      <c r="U130" s="409" t="s">
        <v>107</v>
      </c>
      <c r="V130" s="288" t="s">
        <v>313</v>
      </c>
      <c r="W130" s="296" t="str">
        <f t="shared" si="28"/>
        <v>Sep-25</v>
      </c>
      <c r="X130" s="293" t="s">
        <v>2617</v>
      </c>
      <c r="Y130" s="293" t="s">
        <v>1887</v>
      </c>
      <c r="Z130" s="318">
        <v>45927</v>
      </c>
      <c r="AA130" s="293" t="s">
        <v>1878</v>
      </c>
      <c r="AB130" s="293" t="s">
        <v>1465</v>
      </c>
      <c r="AC130" s="298" t="s">
        <v>501</v>
      </c>
      <c r="AD130" s="298" t="s">
        <v>501</v>
      </c>
      <c r="AE130" s="512">
        <v>25490</v>
      </c>
      <c r="AF130" s="513">
        <v>33.5</v>
      </c>
      <c r="AG130" s="514">
        <f t="shared" si="20"/>
        <v>853915</v>
      </c>
      <c r="AH130" s="514">
        <v>-3015</v>
      </c>
      <c r="AI130" s="514">
        <f t="shared" si="21"/>
        <v>850900</v>
      </c>
      <c r="AJ130" s="514">
        <v>0</v>
      </c>
      <c r="AK130" s="514">
        <f t="shared" si="22"/>
        <v>25490</v>
      </c>
      <c r="AL130" s="514">
        <f t="shared" si="23"/>
        <v>874306.99999999988</v>
      </c>
      <c r="AM130" s="515">
        <f t="shared" si="24"/>
        <v>-23406.999999999884</v>
      </c>
      <c r="AN130" s="299">
        <f t="shared" si="25"/>
        <v>-2.750852039017497E-2</v>
      </c>
      <c r="AO130" s="296">
        <f t="shared" si="29"/>
        <v>874306.99999999988</v>
      </c>
      <c r="AP130" s="274">
        <f t="shared" si="34"/>
        <v>104</v>
      </c>
      <c r="AQ130" s="275">
        <f t="shared" si="35"/>
        <v>10800.992942465751</v>
      </c>
      <c r="AR130" s="275">
        <f t="shared" si="30"/>
        <v>-34207.992942465637</v>
      </c>
      <c r="AS130" s="280">
        <f t="shared" si="37"/>
        <v>-4.0202130617541E-2</v>
      </c>
    </row>
    <row r="131" spans="2:45" x14ac:dyDescent="0.3">
      <c r="B131" s="287">
        <f t="shared" si="26"/>
        <v>127</v>
      </c>
      <c r="C131" s="272" t="s">
        <v>174</v>
      </c>
      <c r="D131" s="288" t="str">
        <f t="shared" si="27"/>
        <v>Jun-25</v>
      </c>
      <c r="E131" s="288" t="s">
        <v>107</v>
      </c>
      <c r="F131" s="289">
        <v>45824</v>
      </c>
      <c r="G131" s="290" t="s">
        <v>463</v>
      </c>
      <c r="H131" s="291" t="s">
        <v>2592</v>
      </c>
      <c r="I131" s="290" t="s">
        <v>254</v>
      </c>
      <c r="J131" s="387" t="s">
        <v>901</v>
      </c>
      <c r="K131" s="289">
        <v>45824</v>
      </c>
      <c r="L131" s="291" t="s">
        <v>902</v>
      </c>
      <c r="M131" s="289">
        <v>45824</v>
      </c>
      <c r="N131" s="291" t="s">
        <v>255</v>
      </c>
      <c r="O131" s="290" t="s">
        <v>300</v>
      </c>
      <c r="P131" s="291" t="s">
        <v>500</v>
      </c>
      <c r="Q131" s="291" t="s">
        <v>757</v>
      </c>
      <c r="R131" s="458">
        <v>2980</v>
      </c>
      <c r="S131" s="404">
        <v>31.120999999999999</v>
      </c>
      <c r="T131" s="459">
        <f t="shared" si="19"/>
        <v>92740.58</v>
      </c>
      <c r="U131" s="409" t="s">
        <v>107</v>
      </c>
      <c r="V131" s="288" t="s">
        <v>313</v>
      </c>
      <c r="W131" s="296" t="str">
        <f t="shared" si="28"/>
        <v>Sep-25</v>
      </c>
      <c r="X131" s="293" t="s">
        <v>2617</v>
      </c>
      <c r="Y131" s="293" t="s">
        <v>1888</v>
      </c>
      <c r="Z131" s="318">
        <v>45927</v>
      </c>
      <c r="AA131" s="293" t="s">
        <v>1879</v>
      </c>
      <c r="AB131" s="293" t="s">
        <v>1465</v>
      </c>
      <c r="AC131" s="298" t="s">
        <v>501</v>
      </c>
      <c r="AD131" s="298" t="s">
        <v>501</v>
      </c>
      <c r="AE131" s="512">
        <v>28750</v>
      </c>
      <c r="AF131" s="513">
        <v>33.5</v>
      </c>
      <c r="AG131" s="514">
        <f t="shared" si="20"/>
        <v>963125</v>
      </c>
      <c r="AH131" s="514">
        <v>0</v>
      </c>
      <c r="AI131" s="514">
        <f t="shared" si="21"/>
        <v>963125</v>
      </c>
      <c r="AJ131" s="514">
        <v>0</v>
      </c>
      <c r="AK131" s="514">
        <f t="shared" si="22"/>
        <v>28750</v>
      </c>
      <c r="AL131" s="514">
        <f t="shared" si="23"/>
        <v>894728.75</v>
      </c>
      <c r="AM131" s="515">
        <f t="shared" si="24"/>
        <v>68396.25</v>
      </c>
      <c r="AN131" s="299">
        <f t="shared" si="25"/>
        <v>7.1014925373134322E-2</v>
      </c>
      <c r="AO131" s="296">
        <f t="shared" si="29"/>
        <v>894728.75</v>
      </c>
      <c r="AP131" s="274">
        <f t="shared" si="34"/>
        <v>103</v>
      </c>
      <c r="AQ131" s="275">
        <f t="shared" si="35"/>
        <v>2446.9538512054796</v>
      </c>
      <c r="AR131" s="275">
        <f t="shared" si="30"/>
        <v>65949.296148794514</v>
      </c>
      <c r="AS131" s="280">
        <f t="shared" si="37"/>
        <v>6.8474285423797035E-2</v>
      </c>
    </row>
    <row r="132" spans="2:45" x14ac:dyDescent="0.3">
      <c r="B132" s="287">
        <f t="shared" si="26"/>
        <v>128</v>
      </c>
      <c r="C132" s="272" t="s">
        <v>174</v>
      </c>
      <c r="D132" s="288" t="str">
        <f t="shared" si="27"/>
        <v>Jun-25</v>
      </c>
      <c r="E132" s="288" t="s">
        <v>107</v>
      </c>
      <c r="F132" s="289">
        <v>45824</v>
      </c>
      <c r="G132" s="290" t="s">
        <v>464</v>
      </c>
      <c r="H132" s="291" t="s">
        <v>2597</v>
      </c>
      <c r="I132" s="290" t="s">
        <v>853</v>
      </c>
      <c r="J132" s="387">
        <v>6122504218</v>
      </c>
      <c r="K132" s="289">
        <v>45824</v>
      </c>
      <c r="L132" s="291" t="s">
        <v>903</v>
      </c>
      <c r="M132" s="289">
        <v>45824</v>
      </c>
      <c r="N132" s="291" t="s">
        <v>255</v>
      </c>
      <c r="O132" s="290" t="s">
        <v>256</v>
      </c>
      <c r="P132" s="291" t="s">
        <v>500</v>
      </c>
      <c r="Q132" s="291" t="s">
        <v>2607</v>
      </c>
      <c r="R132" s="458">
        <v>8940</v>
      </c>
      <c r="S132" s="404">
        <v>34.200000000000003</v>
      </c>
      <c r="T132" s="459">
        <f t="shared" si="19"/>
        <v>305748</v>
      </c>
      <c r="U132" s="409" t="s">
        <v>107</v>
      </c>
      <c r="V132" s="288" t="s">
        <v>313</v>
      </c>
      <c r="W132" s="296" t="str">
        <f t="shared" si="28"/>
        <v>Sep-25</v>
      </c>
      <c r="X132" s="293" t="s">
        <v>2617</v>
      </c>
      <c r="Y132" s="293" t="s">
        <v>1889</v>
      </c>
      <c r="Z132" s="318">
        <v>45928</v>
      </c>
      <c r="AA132" s="293" t="s">
        <v>1880</v>
      </c>
      <c r="AB132" s="293" t="s">
        <v>1465</v>
      </c>
      <c r="AC132" s="298" t="s">
        <v>501</v>
      </c>
      <c r="AD132" s="298" t="s">
        <v>501</v>
      </c>
      <c r="AE132" s="512">
        <v>34235</v>
      </c>
      <c r="AF132" s="513">
        <v>35.450000000000003</v>
      </c>
      <c r="AG132" s="514">
        <f t="shared" si="20"/>
        <v>1213630.75</v>
      </c>
      <c r="AH132" s="514">
        <v>0</v>
      </c>
      <c r="AI132" s="514">
        <f t="shared" si="21"/>
        <v>1213630.75</v>
      </c>
      <c r="AJ132" s="514">
        <v>0</v>
      </c>
      <c r="AK132" s="514">
        <f t="shared" si="22"/>
        <v>34235</v>
      </c>
      <c r="AL132" s="514">
        <f t="shared" si="23"/>
        <v>1170837</v>
      </c>
      <c r="AM132" s="515">
        <f t="shared" si="24"/>
        <v>42793.75</v>
      </c>
      <c r="AN132" s="299">
        <f t="shared" si="25"/>
        <v>3.5260930888575459E-2</v>
      </c>
      <c r="AO132" s="296">
        <f t="shared" si="29"/>
        <v>1170837</v>
      </c>
      <c r="AP132" s="274">
        <f t="shared" si="34"/>
        <v>104</v>
      </c>
      <c r="AQ132" s="275">
        <f t="shared" si="35"/>
        <v>8145.4617863013691</v>
      </c>
      <c r="AR132" s="275">
        <f t="shared" si="30"/>
        <v>34648.28821369863</v>
      </c>
      <c r="AS132" s="280">
        <f t="shared" si="37"/>
        <v>2.854928339093141E-2</v>
      </c>
    </row>
    <row r="133" spans="2:45" x14ac:dyDescent="0.3">
      <c r="B133" s="287">
        <f t="shared" si="26"/>
        <v>129</v>
      </c>
      <c r="C133" s="272" t="s">
        <v>174</v>
      </c>
      <c r="D133" s="288" t="str">
        <f t="shared" si="27"/>
        <v>Jun-25</v>
      </c>
      <c r="E133" s="288" t="s">
        <v>107</v>
      </c>
      <c r="F133" s="289">
        <v>45824</v>
      </c>
      <c r="G133" s="290" t="s">
        <v>466</v>
      </c>
      <c r="H133" s="291" t="s">
        <v>2598</v>
      </c>
      <c r="I133" s="290" t="s">
        <v>401</v>
      </c>
      <c r="J133" s="387">
        <v>8252000579</v>
      </c>
      <c r="K133" s="289">
        <v>45824</v>
      </c>
      <c r="L133" s="291" t="s">
        <v>906</v>
      </c>
      <c r="M133" s="289">
        <v>45825</v>
      </c>
      <c r="N133" s="291" t="s">
        <v>255</v>
      </c>
      <c r="O133" s="290" t="s">
        <v>899</v>
      </c>
      <c r="P133" s="291" t="s">
        <v>501</v>
      </c>
      <c r="Q133" s="291" t="s">
        <v>2608</v>
      </c>
      <c r="R133" s="458">
        <v>30390</v>
      </c>
      <c r="S133" s="404">
        <v>34.299999999999997</v>
      </c>
      <c r="T133" s="459">
        <f t="shared" ref="T133:T196" si="38">R133*S133</f>
        <v>1042376.9999999999</v>
      </c>
      <c r="U133" s="409" t="s">
        <v>107</v>
      </c>
      <c r="V133" s="288" t="s">
        <v>313</v>
      </c>
      <c r="W133" s="296" t="str">
        <f t="shared" si="28"/>
        <v>Sep-25</v>
      </c>
      <c r="X133" s="293" t="s">
        <v>2617</v>
      </c>
      <c r="Y133" s="293" t="s">
        <v>1890</v>
      </c>
      <c r="Z133" s="318">
        <v>45928</v>
      </c>
      <c r="AA133" s="293" t="s">
        <v>1881</v>
      </c>
      <c r="AB133" s="293" t="s">
        <v>1465</v>
      </c>
      <c r="AC133" s="298" t="s">
        <v>501</v>
      </c>
      <c r="AD133" s="298" t="s">
        <v>501</v>
      </c>
      <c r="AE133" s="512">
        <v>19370</v>
      </c>
      <c r="AF133" s="513">
        <v>33.5</v>
      </c>
      <c r="AG133" s="514">
        <f t="shared" ref="AG133:AG196" si="39">AE133*AF133</f>
        <v>648895</v>
      </c>
      <c r="AH133" s="514">
        <v>0</v>
      </c>
      <c r="AI133" s="514">
        <f t="shared" ref="AI133:AI196" si="40">AG133+AH133</f>
        <v>648895</v>
      </c>
      <c r="AJ133" s="514">
        <v>0</v>
      </c>
      <c r="AK133" s="514">
        <f t="shared" ref="AK133:AK196" si="41">AE133-AJ133</f>
        <v>19370</v>
      </c>
      <c r="AL133" s="514">
        <f t="shared" ref="AL133:AL196" si="42">AE133*S133</f>
        <v>664391</v>
      </c>
      <c r="AM133" s="515">
        <f t="shared" ref="AM133:AM196" si="43">(AG133+AH133)-AL133</f>
        <v>-15496</v>
      </c>
      <c r="AN133" s="299">
        <f t="shared" ref="AN133:AN196" si="44">IFERROR(AM133/(AG133+AH133),0)</f>
        <v>-2.3880597014925373E-2</v>
      </c>
      <c r="AO133" s="296">
        <f t="shared" si="29"/>
        <v>664391</v>
      </c>
      <c r="AP133" s="274">
        <f t="shared" si="34"/>
        <v>104</v>
      </c>
      <c r="AQ133" s="275">
        <f t="shared" si="35"/>
        <v>27770.0656109589</v>
      </c>
      <c r="AR133" s="275">
        <f t="shared" si="30"/>
        <v>-43266.065610958904</v>
      </c>
      <c r="AS133" s="280">
        <f t="shared" si="37"/>
        <v>-6.6676527960546628E-2</v>
      </c>
    </row>
    <row r="134" spans="2:45" x14ac:dyDescent="0.3">
      <c r="B134" s="287">
        <f t="shared" ref="B134:B197" si="45">B133+1</f>
        <v>130</v>
      </c>
      <c r="C134" s="272" t="s">
        <v>174</v>
      </c>
      <c r="D134" s="288" t="str">
        <f t="shared" ref="D134:D197" si="46">TEXT(F134,"mmm-yy")</f>
        <v>Jun-25</v>
      </c>
      <c r="E134" s="288" t="s">
        <v>107</v>
      </c>
      <c r="F134" s="289">
        <v>45824</v>
      </c>
      <c r="G134" s="290" t="s">
        <v>465</v>
      </c>
      <c r="H134" s="291" t="s">
        <v>2598</v>
      </c>
      <c r="I134" s="290" t="s">
        <v>401</v>
      </c>
      <c r="J134" s="387">
        <v>8252000577</v>
      </c>
      <c r="K134" s="289">
        <v>45824</v>
      </c>
      <c r="L134" s="291" t="s">
        <v>907</v>
      </c>
      <c r="M134" s="289">
        <v>45825</v>
      </c>
      <c r="N134" s="291" t="s">
        <v>255</v>
      </c>
      <c r="O134" s="290" t="s">
        <v>314</v>
      </c>
      <c r="P134" s="291" t="s">
        <v>501</v>
      </c>
      <c r="Q134" s="291" t="s">
        <v>2608</v>
      </c>
      <c r="R134" s="458">
        <v>21080</v>
      </c>
      <c r="S134" s="404">
        <v>34.299999999999997</v>
      </c>
      <c r="T134" s="459">
        <f t="shared" si="38"/>
        <v>723043.99999999988</v>
      </c>
      <c r="U134" s="409" t="s">
        <v>107</v>
      </c>
      <c r="V134" s="288" t="s">
        <v>313</v>
      </c>
      <c r="W134" s="296" t="str">
        <f t="shared" ref="W134:W197" si="47">TEXT(Z134,"mmm-yy")</f>
        <v>Sep-25</v>
      </c>
      <c r="X134" s="293" t="s">
        <v>2617</v>
      </c>
      <c r="Y134" s="293" t="s">
        <v>1920</v>
      </c>
      <c r="Z134" s="318">
        <v>45930</v>
      </c>
      <c r="AA134" s="293" t="s">
        <v>1921</v>
      </c>
      <c r="AB134" s="293" t="s">
        <v>1465</v>
      </c>
      <c r="AC134" s="298" t="s">
        <v>501</v>
      </c>
      <c r="AD134" s="298" t="s">
        <v>501</v>
      </c>
      <c r="AE134" s="512">
        <v>29195</v>
      </c>
      <c r="AF134" s="513">
        <v>35.450000000000003</v>
      </c>
      <c r="AG134" s="514">
        <f t="shared" si="39"/>
        <v>1034962.7500000001</v>
      </c>
      <c r="AH134" s="514">
        <v>-3013.25</v>
      </c>
      <c r="AI134" s="514">
        <f t="shared" si="40"/>
        <v>1031949.5000000001</v>
      </c>
      <c r="AJ134" s="514">
        <v>0</v>
      </c>
      <c r="AK134" s="514">
        <f t="shared" si="41"/>
        <v>29195</v>
      </c>
      <c r="AL134" s="514">
        <f t="shared" si="42"/>
        <v>1001388.4999999999</v>
      </c>
      <c r="AM134" s="515">
        <f t="shared" si="43"/>
        <v>30561.000000000233</v>
      </c>
      <c r="AN134" s="299">
        <f t="shared" si="44"/>
        <v>2.9614821267901412E-2</v>
      </c>
      <c r="AO134" s="296">
        <f t="shared" ref="AO134:AO197" si="48">AE134*S134</f>
        <v>1001388.4999999999</v>
      </c>
      <c r="AP134" s="274">
        <f t="shared" si="34"/>
        <v>106</v>
      </c>
      <c r="AQ134" s="275">
        <f t="shared" si="35"/>
        <v>19633.12077808219</v>
      </c>
      <c r="AR134" s="275">
        <f t="shared" ref="AR134:AR197" si="49">AM134-AQ134</f>
        <v>10927.879221918043</v>
      </c>
      <c r="AS134" s="280">
        <f t="shared" si="37"/>
        <v>1.058954844390936E-2</v>
      </c>
    </row>
    <row r="135" spans="2:45" x14ac:dyDescent="0.3">
      <c r="B135" s="287">
        <f t="shared" si="45"/>
        <v>131</v>
      </c>
      <c r="C135" s="272" t="s">
        <v>174</v>
      </c>
      <c r="D135" s="288" t="str">
        <f t="shared" si="46"/>
        <v>Jun-25</v>
      </c>
      <c r="E135" s="288" t="s">
        <v>107</v>
      </c>
      <c r="F135" s="289">
        <v>45825</v>
      </c>
      <c r="G135" s="290" t="s">
        <v>468</v>
      </c>
      <c r="H135" s="291" t="s">
        <v>2597</v>
      </c>
      <c r="I135" s="290" t="s">
        <v>853</v>
      </c>
      <c r="J135" s="387">
        <v>6122504268</v>
      </c>
      <c r="K135" s="289">
        <v>45825</v>
      </c>
      <c r="L135" s="291" t="s">
        <v>904</v>
      </c>
      <c r="M135" s="289">
        <v>45825</v>
      </c>
      <c r="N135" s="291" t="s">
        <v>255</v>
      </c>
      <c r="O135" s="290" t="s">
        <v>402</v>
      </c>
      <c r="P135" s="291" t="s">
        <v>500</v>
      </c>
      <c r="Q135" s="291" t="s">
        <v>2607</v>
      </c>
      <c r="R135" s="458">
        <v>5360</v>
      </c>
      <c r="S135" s="404">
        <v>34.200000000000003</v>
      </c>
      <c r="T135" s="459">
        <f t="shared" si="38"/>
        <v>183312.00000000003</v>
      </c>
      <c r="U135" s="409" t="s">
        <v>107</v>
      </c>
      <c r="V135" s="288" t="s">
        <v>313</v>
      </c>
      <c r="W135" s="296" t="str">
        <f t="shared" si="47"/>
        <v>Oct-25</v>
      </c>
      <c r="X135" s="293" t="s">
        <v>2617</v>
      </c>
      <c r="Y135" s="293" t="s">
        <v>1962</v>
      </c>
      <c r="Z135" s="318">
        <v>45931</v>
      </c>
      <c r="AA135" s="293" t="s">
        <v>1967</v>
      </c>
      <c r="AB135" s="293" t="s">
        <v>1465</v>
      </c>
      <c r="AC135" s="298" t="s">
        <v>501</v>
      </c>
      <c r="AD135" s="298" t="s">
        <v>501</v>
      </c>
      <c r="AE135" s="512">
        <v>16755</v>
      </c>
      <c r="AF135" s="513">
        <v>33.5</v>
      </c>
      <c r="AG135" s="514">
        <f t="shared" si="39"/>
        <v>561292.5</v>
      </c>
      <c r="AH135" s="514">
        <v>0</v>
      </c>
      <c r="AI135" s="514">
        <f t="shared" si="40"/>
        <v>561292.5</v>
      </c>
      <c r="AJ135" s="514">
        <v>0</v>
      </c>
      <c r="AK135" s="514">
        <f t="shared" si="41"/>
        <v>16755</v>
      </c>
      <c r="AL135" s="514">
        <f t="shared" si="42"/>
        <v>573021</v>
      </c>
      <c r="AM135" s="515">
        <f t="shared" si="43"/>
        <v>-11728.5</v>
      </c>
      <c r="AN135" s="299">
        <f t="shared" si="44"/>
        <v>-2.0895522388059702E-2</v>
      </c>
      <c r="AO135" s="296">
        <f t="shared" si="48"/>
        <v>573021</v>
      </c>
      <c r="AP135" s="274">
        <f t="shared" si="34"/>
        <v>106</v>
      </c>
      <c r="AQ135" s="275">
        <f t="shared" si="35"/>
        <v>4977.5485808219182</v>
      </c>
      <c r="AR135" s="275">
        <f t="shared" si="49"/>
        <v>-16706.048580821916</v>
      </c>
      <c r="AS135" s="280">
        <f t="shared" si="37"/>
        <v>-2.976353430844331E-2</v>
      </c>
    </row>
    <row r="136" spans="2:45" x14ac:dyDescent="0.3">
      <c r="B136" s="287">
        <f t="shared" si="45"/>
        <v>132</v>
      </c>
      <c r="C136" s="272" t="s">
        <v>174</v>
      </c>
      <c r="D136" s="288" t="str">
        <f t="shared" si="46"/>
        <v>Jun-25</v>
      </c>
      <c r="E136" s="288" t="s">
        <v>107</v>
      </c>
      <c r="F136" s="289">
        <v>45825</v>
      </c>
      <c r="G136" s="290" t="s">
        <v>467</v>
      </c>
      <c r="H136" s="291" t="s">
        <v>2597</v>
      </c>
      <c r="I136" s="290" t="s">
        <v>853</v>
      </c>
      <c r="J136" s="387">
        <v>6122504275</v>
      </c>
      <c r="K136" s="289">
        <v>45825</v>
      </c>
      <c r="L136" s="291" t="s">
        <v>905</v>
      </c>
      <c r="M136" s="289">
        <v>45825</v>
      </c>
      <c r="N136" s="291" t="s">
        <v>255</v>
      </c>
      <c r="O136" s="290" t="s">
        <v>300</v>
      </c>
      <c r="P136" s="291" t="s">
        <v>500</v>
      </c>
      <c r="Q136" s="291" t="s">
        <v>2607</v>
      </c>
      <c r="R136" s="458">
        <v>4835</v>
      </c>
      <c r="S136" s="404">
        <v>34.200000000000003</v>
      </c>
      <c r="T136" s="459">
        <f t="shared" si="38"/>
        <v>165357</v>
      </c>
      <c r="U136" s="409" t="s">
        <v>107</v>
      </c>
      <c r="V136" s="288" t="s">
        <v>313</v>
      </c>
      <c r="W136" s="296" t="str">
        <f t="shared" si="47"/>
        <v>Oct-25</v>
      </c>
      <c r="X136" s="293" t="s">
        <v>2617</v>
      </c>
      <c r="Y136" s="293" t="s">
        <v>1963</v>
      </c>
      <c r="Z136" s="318">
        <v>45932</v>
      </c>
      <c r="AA136" s="293" t="s">
        <v>1968</v>
      </c>
      <c r="AB136" s="293" t="s">
        <v>1465</v>
      </c>
      <c r="AC136" s="298" t="s">
        <v>501</v>
      </c>
      <c r="AD136" s="298" t="s">
        <v>501</v>
      </c>
      <c r="AE136" s="512">
        <v>15460</v>
      </c>
      <c r="AF136" s="513">
        <v>33.5</v>
      </c>
      <c r="AG136" s="514">
        <f t="shared" si="39"/>
        <v>517910</v>
      </c>
      <c r="AH136" s="514">
        <v>-5695</v>
      </c>
      <c r="AI136" s="514">
        <f t="shared" si="40"/>
        <v>512215</v>
      </c>
      <c r="AJ136" s="514">
        <v>0</v>
      </c>
      <c r="AK136" s="514">
        <f t="shared" si="41"/>
        <v>15460</v>
      </c>
      <c r="AL136" s="514">
        <f t="shared" si="42"/>
        <v>528732</v>
      </c>
      <c r="AM136" s="515">
        <f t="shared" si="43"/>
        <v>-16517</v>
      </c>
      <c r="AN136" s="299">
        <f t="shared" si="44"/>
        <v>-3.2246224729849768E-2</v>
      </c>
      <c r="AO136" s="296">
        <f t="shared" si="48"/>
        <v>528732</v>
      </c>
      <c r="AP136" s="274">
        <f t="shared" si="34"/>
        <v>107</v>
      </c>
      <c r="AQ136" s="275">
        <f t="shared" si="35"/>
        <v>4532.3674150684928</v>
      </c>
      <c r="AR136" s="275">
        <f t="shared" si="49"/>
        <v>-21049.367415068493</v>
      </c>
      <c r="AS136" s="280">
        <f t="shared" si="37"/>
        <v>-4.1094789131650759E-2</v>
      </c>
    </row>
    <row r="137" spans="2:45" x14ac:dyDescent="0.3">
      <c r="B137" s="287">
        <f t="shared" si="45"/>
        <v>133</v>
      </c>
      <c r="C137" s="272" t="s">
        <v>174</v>
      </c>
      <c r="D137" s="288" t="str">
        <f t="shared" si="46"/>
        <v>Jun-25</v>
      </c>
      <c r="E137" s="288" t="s">
        <v>107</v>
      </c>
      <c r="F137" s="289">
        <v>45825</v>
      </c>
      <c r="G137" s="290" t="s">
        <v>474</v>
      </c>
      <c r="H137" s="291" t="s">
        <v>400</v>
      </c>
      <c r="I137" s="290" t="s">
        <v>401</v>
      </c>
      <c r="J137" s="387">
        <v>5252000385</v>
      </c>
      <c r="K137" s="289">
        <v>45825</v>
      </c>
      <c r="L137" s="291" t="s">
        <v>2726</v>
      </c>
      <c r="M137" s="289">
        <v>45826</v>
      </c>
      <c r="N137" s="291" t="s">
        <v>255</v>
      </c>
      <c r="O137" s="290" t="s">
        <v>908</v>
      </c>
      <c r="P137" s="291" t="s">
        <v>501</v>
      </c>
      <c r="Q137" s="291" t="s">
        <v>257</v>
      </c>
      <c r="R137" s="458">
        <v>15990</v>
      </c>
      <c r="S137" s="404">
        <v>34.299999999999997</v>
      </c>
      <c r="T137" s="459">
        <f t="shared" si="38"/>
        <v>548457</v>
      </c>
      <c r="U137" s="409" t="s">
        <v>107</v>
      </c>
      <c r="V137" s="288" t="s">
        <v>313</v>
      </c>
      <c r="W137" s="296" t="str">
        <f t="shared" si="47"/>
        <v>Oct-25</v>
      </c>
      <c r="X137" s="293" t="s">
        <v>2617</v>
      </c>
      <c r="Y137" s="293" t="s">
        <v>1964</v>
      </c>
      <c r="Z137" s="318">
        <v>45933</v>
      </c>
      <c r="AA137" s="293" t="s">
        <v>1969</v>
      </c>
      <c r="AB137" s="293" t="s">
        <v>2626</v>
      </c>
      <c r="AC137" s="298" t="s">
        <v>501</v>
      </c>
      <c r="AD137" s="298" t="s">
        <v>501</v>
      </c>
      <c r="AE137" s="512">
        <v>25990</v>
      </c>
      <c r="AF137" s="513">
        <v>35.5</v>
      </c>
      <c r="AG137" s="514">
        <f t="shared" si="39"/>
        <v>922645</v>
      </c>
      <c r="AH137" s="514">
        <v>-710</v>
      </c>
      <c r="AI137" s="514">
        <f t="shared" si="40"/>
        <v>921935</v>
      </c>
      <c r="AJ137" s="514">
        <v>0</v>
      </c>
      <c r="AK137" s="514">
        <f t="shared" si="41"/>
        <v>25990</v>
      </c>
      <c r="AL137" s="514">
        <f t="shared" si="42"/>
        <v>891456.99999999988</v>
      </c>
      <c r="AM137" s="515">
        <f t="shared" si="43"/>
        <v>30478.000000000116</v>
      </c>
      <c r="AN137" s="299">
        <f t="shared" si="44"/>
        <v>3.3058729736912165E-2</v>
      </c>
      <c r="AO137" s="296">
        <f t="shared" si="48"/>
        <v>891456.99999999988</v>
      </c>
      <c r="AP137" s="274">
        <f t="shared" si="34"/>
        <v>108</v>
      </c>
      <c r="AQ137" s="275">
        <f t="shared" si="35"/>
        <v>15173.476126027399</v>
      </c>
      <c r="AR137" s="275">
        <f t="shared" si="49"/>
        <v>15304.523873972717</v>
      </c>
      <c r="AS137" s="280">
        <f t="shared" si="37"/>
        <v>1.6600436987393597E-2</v>
      </c>
    </row>
    <row r="138" spans="2:45" x14ac:dyDescent="0.3">
      <c r="B138" s="287">
        <f t="shared" si="45"/>
        <v>134</v>
      </c>
      <c r="C138" s="272" t="s">
        <v>174</v>
      </c>
      <c r="D138" s="288" t="str">
        <f t="shared" si="46"/>
        <v>Jun-25</v>
      </c>
      <c r="E138" s="288" t="s">
        <v>107</v>
      </c>
      <c r="F138" s="289">
        <v>45825</v>
      </c>
      <c r="G138" s="290" t="s">
        <v>475</v>
      </c>
      <c r="H138" s="291" t="s">
        <v>2598</v>
      </c>
      <c r="I138" s="290" t="s">
        <v>401</v>
      </c>
      <c r="J138" s="387">
        <v>8252000585</v>
      </c>
      <c r="K138" s="289">
        <v>45825</v>
      </c>
      <c r="L138" s="291" t="s">
        <v>909</v>
      </c>
      <c r="M138" s="289">
        <v>45826</v>
      </c>
      <c r="N138" s="291" t="s">
        <v>255</v>
      </c>
      <c r="O138" s="290" t="s">
        <v>910</v>
      </c>
      <c r="P138" s="291" t="s">
        <v>501</v>
      </c>
      <c r="Q138" s="291" t="s">
        <v>2608</v>
      </c>
      <c r="R138" s="458">
        <v>34510</v>
      </c>
      <c r="S138" s="404">
        <v>34.299999999999997</v>
      </c>
      <c r="T138" s="459">
        <f t="shared" si="38"/>
        <v>1183693</v>
      </c>
      <c r="U138" s="409" t="s">
        <v>107</v>
      </c>
      <c r="V138" s="288" t="s">
        <v>313</v>
      </c>
      <c r="W138" s="296" t="str">
        <f t="shared" si="47"/>
        <v>Oct-25</v>
      </c>
      <c r="X138" s="293" t="s">
        <v>2617</v>
      </c>
      <c r="Y138" s="293" t="s">
        <v>1965</v>
      </c>
      <c r="Z138" s="318">
        <v>45933</v>
      </c>
      <c r="AA138" s="293" t="s">
        <v>1970</v>
      </c>
      <c r="AB138" s="293" t="s">
        <v>2628</v>
      </c>
      <c r="AC138" s="298" t="s">
        <v>501</v>
      </c>
      <c r="AD138" s="298" t="s">
        <v>501</v>
      </c>
      <c r="AE138" s="512">
        <v>30475</v>
      </c>
      <c r="AF138" s="513">
        <v>35.5</v>
      </c>
      <c r="AG138" s="514">
        <f t="shared" si="39"/>
        <v>1081862.5</v>
      </c>
      <c r="AH138" s="514">
        <v>-3372</v>
      </c>
      <c r="AI138" s="514">
        <f t="shared" si="40"/>
        <v>1078490.5</v>
      </c>
      <c r="AJ138" s="514">
        <v>0</v>
      </c>
      <c r="AK138" s="514">
        <f t="shared" si="41"/>
        <v>30475</v>
      </c>
      <c r="AL138" s="514">
        <f t="shared" si="42"/>
        <v>1045292.4999999999</v>
      </c>
      <c r="AM138" s="515">
        <f t="shared" si="43"/>
        <v>33198.000000000116</v>
      </c>
      <c r="AN138" s="299">
        <f t="shared" si="44"/>
        <v>3.0781912311698727E-2</v>
      </c>
      <c r="AO138" s="296">
        <f t="shared" si="48"/>
        <v>1045292.4999999999</v>
      </c>
      <c r="AP138" s="274">
        <f t="shared" si="34"/>
        <v>108</v>
      </c>
      <c r="AQ138" s="275">
        <f t="shared" si="35"/>
        <v>32747.758668493148</v>
      </c>
      <c r="AR138" s="275">
        <f t="shared" si="49"/>
        <v>450.24133150696798</v>
      </c>
      <c r="AS138" s="280">
        <f t="shared" si="37"/>
        <v>4.174736184574347E-4</v>
      </c>
    </row>
    <row r="139" spans="2:45" x14ac:dyDescent="0.3">
      <c r="B139" s="287">
        <f t="shared" si="45"/>
        <v>135</v>
      </c>
      <c r="C139" s="272" t="s">
        <v>174</v>
      </c>
      <c r="D139" s="288" t="str">
        <f t="shared" si="46"/>
        <v>Jun-25</v>
      </c>
      <c r="E139" s="288" t="s">
        <v>107</v>
      </c>
      <c r="F139" s="289">
        <v>45826</v>
      </c>
      <c r="G139" s="290" t="s">
        <v>476</v>
      </c>
      <c r="H139" s="291" t="s">
        <v>2598</v>
      </c>
      <c r="I139" s="290" t="s">
        <v>401</v>
      </c>
      <c r="J139" s="387">
        <v>8252000595</v>
      </c>
      <c r="K139" s="289">
        <v>45826</v>
      </c>
      <c r="L139" s="291" t="s">
        <v>911</v>
      </c>
      <c r="M139" s="289">
        <v>45827</v>
      </c>
      <c r="N139" s="291" t="s">
        <v>255</v>
      </c>
      <c r="O139" s="290" t="s">
        <v>899</v>
      </c>
      <c r="P139" s="291" t="s">
        <v>501</v>
      </c>
      <c r="Q139" s="291" t="s">
        <v>2608</v>
      </c>
      <c r="R139" s="458">
        <v>29760</v>
      </c>
      <c r="S139" s="404">
        <v>34.299999999999997</v>
      </c>
      <c r="T139" s="459">
        <f t="shared" si="38"/>
        <v>1020767.9999999999</v>
      </c>
      <c r="U139" s="409" t="s">
        <v>107</v>
      </c>
      <c r="V139" s="288" t="s">
        <v>313</v>
      </c>
      <c r="W139" s="296" t="str">
        <f t="shared" si="47"/>
        <v>Oct-25</v>
      </c>
      <c r="X139" s="293" t="s">
        <v>2617</v>
      </c>
      <c r="Y139" s="293" t="s">
        <v>1966</v>
      </c>
      <c r="Z139" s="318">
        <v>45934</v>
      </c>
      <c r="AA139" s="293" t="s">
        <v>1971</v>
      </c>
      <c r="AB139" s="293" t="s">
        <v>1465</v>
      </c>
      <c r="AC139" s="298" t="s">
        <v>501</v>
      </c>
      <c r="AD139" s="298" t="s">
        <v>501</v>
      </c>
      <c r="AE139" s="512">
        <v>14410</v>
      </c>
      <c r="AF139" s="513">
        <v>33.5</v>
      </c>
      <c r="AG139" s="514">
        <f t="shared" si="39"/>
        <v>482735</v>
      </c>
      <c r="AH139" s="514">
        <v>-2680</v>
      </c>
      <c r="AI139" s="514">
        <f t="shared" si="40"/>
        <v>480055</v>
      </c>
      <c r="AJ139" s="514">
        <v>0</v>
      </c>
      <c r="AK139" s="514">
        <f t="shared" si="41"/>
        <v>14410</v>
      </c>
      <c r="AL139" s="514">
        <f t="shared" si="42"/>
        <v>494262.99999999994</v>
      </c>
      <c r="AM139" s="515">
        <f t="shared" si="43"/>
        <v>-14207.999999999942</v>
      </c>
      <c r="AN139" s="299">
        <f t="shared" si="44"/>
        <v>-2.9596608721917158E-2</v>
      </c>
      <c r="AO139" s="296">
        <f t="shared" si="48"/>
        <v>494262.99999999994</v>
      </c>
      <c r="AP139" s="274">
        <f t="shared" ref="AP139:AP170" si="50">(Z139-K139)</f>
        <v>108</v>
      </c>
      <c r="AQ139" s="275">
        <f t="shared" ref="AQ139:AQ170" si="51">T139*9.35%*AP139/365</f>
        <v>28240.315791780817</v>
      </c>
      <c r="AR139" s="275">
        <f t="shared" si="49"/>
        <v>-42448.315791780755</v>
      </c>
      <c r="AS139" s="280">
        <f t="shared" si="37"/>
        <v>-8.8423859332328075E-2</v>
      </c>
    </row>
    <row r="140" spans="2:45" x14ac:dyDescent="0.3">
      <c r="B140" s="287">
        <f t="shared" si="45"/>
        <v>136</v>
      </c>
      <c r="C140" s="272" t="s">
        <v>174</v>
      </c>
      <c r="D140" s="288" t="str">
        <f t="shared" si="46"/>
        <v>Jun-25</v>
      </c>
      <c r="E140" s="288" t="s">
        <v>107</v>
      </c>
      <c r="F140" s="289">
        <v>45828</v>
      </c>
      <c r="G140" s="290" t="s">
        <v>480</v>
      </c>
      <c r="H140" s="291" t="s">
        <v>2592</v>
      </c>
      <c r="I140" s="290" t="s">
        <v>254</v>
      </c>
      <c r="J140" s="387" t="s">
        <v>913</v>
      </c>
      <c r="K140" s="289">
        <v>45828</v>
      </c>
      <c r="L140" s="291" t="s">
        <v>914</v>
      </c>
      <c r="M140" s="289">
        <v>45828</v>
      </c>
      <c r="N140" s="291" t="s">
        <v>255</v>
      </c>
      <c r="O140" s="290" t="s">
        <v>559</v>
      </c>
      <c r="P140" s="291" t="s">
        <v>500</v>
      </c>
      <c r="Q140" s="291" t="s">
        <v>757</v>
      </c>
      <c r="R140" s="458">
        <v>5070</v>
      </c>
      <c r="S140" s="404">
        <v>31.120999999999999</v>
      </c>
      <c r="T140" s="459">
        <f t="shared" si="38"/>
        <v>157783.47</v>
      </c>
      <c r="U140" s="409" t="s">
        <v>107</v>
      </c>
      <c r="V140" s="288" t="s">
        <v>313</v>
      </c>
      <c r="W140" s="296" t="str">
        <f t="shared" si="47"/>
        <v>Oct-25</v>
      </c>
      <c r="X140" s="293" t="s">
        <v>2617</v>
      </c>
      <c r="Y140" s="293" t="s">
        <v>2042</v>
      </c>
      <c r="Z140" s="318">
        <v>45936</v>
      </c>
      <c r="AA140" s="293" t="s">
        <v>2048</v>
      </c>
      <c r="AB140" s="293" t="s">
        <v>2626</v>
      </c>
      <c r="AC140" s="298" t="s">
        <v>501</v>
      </c>
      <c r="AD140" s="298" t="s">
        <v>501</v>
      </c>
      <c r="AE140" s="512">
        <v>25840</v>
      </c>
      <c r="AF140" s="513">
        <v>35.5</v>
      </c>
      <c r="AG140" s="514">
        <f t="shared" si="39"/>
        <v>917320</v>
      </c>
      <c r="AH140" s="514">
        <v>-2485</v>
      </c>
      <c r="AI140" s="514">
        <f t="shared" si="40"/>
        <v>914835</v>
      </c>
      <c r="AJ140" s="514">
        <v>0</v>
      </c>
      <c r="AK140" s="514">
        <f t="shared" si="41"/>
        <v>25840</v>
      </c>
      <c r="AL140" s="514">
        <f t="shared" si="42"/>
        <v>804166.64</v>
      </c>
      <c r="AM140" s="515">
        <f t="shared" si="43"/>
        <v>110668.35999999999</v>
      </c>
      <c r="AN140" s="299">
        <f t="shared" si="44"/>
        <v>0.12097084173648799</v>
      </c>
      <c r="AO140" s="296">
        <f t="shared" si="48"/>
        <v>804166.64</v>
      </c>
      <c r="AP140" s="274">
        <f t="shared" si="50"/>
        <v>108</v>
      </c>
      <c r="AQ140" s="275">
        <f t="shared" si="51"/>
        <v>4365.198575506849</v>
      </c>
      <c r="AR140" s="275">
        <f t="shared" si="49"/>
        <v>106303.16142449314</v>
      </c>
      <c r="AS140" s="280">
        <f t="shared" si="37"/>
        <v>0.11619927246387943</v>
      </c>
    </row>
    <row r="141" spans="2:45" x14ac:dyDescent="0.3">
      <c r="B141" s="287">
        <f t="shared" si="45"/>
        <v>137</v>
      </c>
      <c r="C141" s="272" t="s">
        <v>174</v>
      </c>
      <c r="D141" s="288" t="str">
        <f t="shared" si="46"/>
        <v>Jun-25</v>
      </c>
      <c r="E141" s="288" t="s">
        <v>107</v>
      </c>
      <c r="F141" s="289">
        <v>45828</v>
      </c>
      <c r="G141" s="290" t="s">
        <v>481</v>
      </c>
      <c r="H141" s="291" t="s">
        <v>2592</v>
      </c>
      <c r="I141" s="290" t="s">
        <v>254</v>
      </c>
      <c r="J141" s="387" t="s">
        <v>915</v>
      </c>
      <c r="K141" s="289">
        <v>45828</v>
      </c>
      <c r="L141" s="291" t="s">
        <v>916</v>
      </c>
      <c r="M141" s="289">
        <v>45828</v>
      </c>
      <c r="N141" s="291" t="s">
        <v>255</v>
      </c>
      <c r="O141" s="290" t="s">
        <v>314</v>
      </c>
      <c r="P141" s="291" t="s">
        <v>500</v>
      </c>
      <c r="Q141" s="291" t="s">
        <v>757</v>
      </c>
      <c r="R141" s="458">
        <v>2740</v>
      </c>
      <c r="S141" s="404">
        <v>31.120999999999999</v>
      </c>
      <c r="T141" s="459">
        <f t="shared" si="38"/>
        <v>85271.54</v>
      </c>
      <c r="U141" s="409" t="s">
        <v>107</v>
      </c>
      <c r="V141" s="288" t="s">
        <v>313</v>
      </c>
      <c r="W141" s="296" t="str">
        <f t="shared" si="47"/>
        <v>Oct-25</v>
      </c>
      <c r="X141" s="293" t="s">
        <v>2617</v>
      </c>
      <c r="Y141" s="293" t="s">
        <v>2043</v>
      </c>
      <c r="Z141" s="318">
        <v>45936</v>
      </c>
      <c r="AA141" s="293" t="s">
        <v>2049</v>
      </c>
      <c r="AB141" s="293" t="s">
        <v>1465</v>
      </c>
      <c r="AC141" s="298" t="s">
        <v>501</v>
      </c>
      <c r="AD141" s="298" t="s">
        <v>501</v>
      </c>
      <c r="AE141" s="512">
        <v>20270</v>
      </c>
      <c r="AF141" s="513">
        <v>33.5</v>
      </c>
      <c r="AG141" s="514">
        <f t="shared" si="39"/>
        <v>679045</v>
      </c>
      <c r="AH141" s="514">
        <v>0</v>
      </c>
      <c r="AI141" s="514">
        <f t="shared" si="40"/>
        <v>679045</v>
      </c>
      <c r="AJ141" s="514">
        <v>0</v>
      </c>
      <c r="AK141" s="514">
        <f t="shared" si="41"/>
        <v>20270</v>
      </c>
      <c r="AL141" s="514">
        <f t="shared" si="42"/>
        <v>630822.66999999993</v>
      </c>
      <c r="AM141" s="515">
        <f t="shared" si="43"/>
        <v>48222.330000000075</v>
      </c>
      <c r="AN141" s="299">
        <f t="shared" si="44"/>
        <v>7.1014925373134433E-2</v>
      </c>
      <c r="AO141" s="296">
        <f t="shared" si="48"/>
        <v>630822.66999999993</v>
      </c>
      <c r="AP141" s="274">
        <f t="shared" si="50"/>
        <v>108</v>
      </c>
      <c r="AQ141" s="275">
        <f t="shared" si="51"/>
        <v>2359.1013997808218</v>
      </c>
      <c r="AR141" s="275">
        <f t="shared" si="49"/>
        <v>45863.228600219256</v>
      </c>
      <c r="AS141" s="280">
        <f t="shared" si="37"/>
        <v>6.7540779477382587E-2</v>
      </c>
    </row>
    <row r="142" spans="2:45" x14ac:dyDescent="0.3">
      <c r="B142" s="287">
        <f t="shared" si="45"/>
        <v>138</v>
      </c>
      <c r="C142" s="272" t="s">
        <v>174</v>
      </c>
      <c r="D142" s="288" t="str">
        <f t="shared" si="46"/>
        <v>Jun-25</v>
      </c>
      <c r="E142" s="288" t="s">
        <v>107</v>
      </c>
      <c r="F142" s="289">
        <v>45828</v>
      </c>
      <c r="G142" s="290" t="s">
        <v>484</v>
      </c>
      <c r="H142" s="291" t="s">
        <v>2597</v>
      </c>
      <c r="I142" s="290" t="s">
        <v>853</v>
      </c>
      <c r="J142" s="387">
        <v>6122504467</v>
      </c>
      <c r="K142" s="289">
        <v>45828</v>
      </c>
      <c r="L142" s="291" t="s">
        <v>920</v>
      </c>
      <c r="M142" s="289">
        <v>45830</v>
      </c>
      <c r="N142" s="291" t="s">
        <v>255</v>
      </c>
      <c r="O142" s="290" t="s">
        <v>300</v>
      </c>
      <c r="P142" s="291" t="s">
        <v>500</v>
      </c>
      <c r="Q142" s="291" t="s">
        <v>2607</v>
      </c>
      <c r="R142" s="458">
        <v>9115</v>
      </c>
      <c r="S142" s="404">
        <v>34.200000000000003</v>
      </c>
      <c r="T142" s="459">
        <f t="shared" si="38"/>
        <v>311733</v>
      </c>
      <c r="U142" s="409" t="s">
        <v>107</v>
      </c>
      <c r="V142" s="288" t="s">
        <v>313</v>
      </c>
      <c r="W142" s="296" t="str">
        <f t="shared" si="47"/>
        <v>Oct-25</v>
      </c>
      <c r="X142" s="293" t="s">
        <v>2617</v>
      </c>
      <c r="Y142" s="293" t="s">
        <v>2044</v>
      </c>
      <c r="Z142" s="318">
        <v>45939</v>
      </c>
      <c r="AA142" s="293" t="s">
        <v>2050</v>
      </c>
      <c r="AB142" s="293" t="s">
        <v>1465</v>
      </c>
      <c r="AC142" s="298" t="s">
        <v>501</v>
      </c>
      <c r="AD142" s="298" t="s">
        <v>501</v>
      </c>
      <c r="AE142" s="512">
        <v>22900</v>
      </c>
      <c r="AF142" s="513">
        <v>33.5</v>
      </c>
      <c r="AG142" s="514">
        <f t="shared" si="39"/>
        <v>767150</v>
      </c>
      <c r="AH142" s="514">
        <v>-2680</v>
      </c>
      <c r="AI142" s="514">
        <f t="shared" si="40"/>
        <v>764470</v>
      </c>
      <c r="AJ142" s="514">
        <v>0</v>
      </c>
      <c r="AK142" s="514">
        <f t="shared" si="41"/>
        <v>22900</v>
      </c>
      <c r="AL142" s="514">
        <f t="shared" si="42"/>
        <v>783180.00000000012</v>
      </c>
      <c r="AM142" s="515">
        <f t="shared" si="43"/>
        <v>-18710.000000000116</v>
      </c>
      <c r="AN142" s="299">
        <f t="shared" si="44"/>
        <v>-2.4474472510366812E-2</v>
      </c>
      <c r="AO142" s="296">
        <f t="shared" si="48"/>
        <v>783180.00000000012</v>
      </c>
      <c r="AP142" s="274">
        <f t="shared" si="50"/>
        <v>111</v>
      </c>
      <c r="AQ142" s="275">
        <f t="shared" si="51"/>
        <v>8863.8929876712318</v>
      </c>
      <c r="AR142" s="275">
        <f t="shared" si="49"/>
        <v>-27573.892987671348</v>
      </c>
      <c r="AS142" s="280">
        <f t="shared" si="37"/>
        <v>-3.6069293742947858E-2</v>
      </c>
    </row>
    <row r="143" spans="2:45" x14ac:dyDescent="0.3">
      <c r="B143" s="287">
        <f t="shared" si="45"/>
        <v>139</v>
      </c>
      <c r="C143" s="272" t="s">
        <v>174</v>
      </c>
      <c r="D143" s="288" t="str">
        <f t="shared" si="46"/>
        <v>Jun-25</v>
      </c>
      <c r="E143" s="288" t="s">
        <v>107</v>
      </c>
      <c r="F143" s="289">
        <v>45828</v>
      </c>
      <c r="G143" s="290" t="s">
        <v>482</v>
      </c>
      <c r="H143" s="291" t="s">
        <v>2597</v>
      </c>
      <c r="I143" s="290" t="s">
        <v>853</v>
      </c>
      <c r="J143" s="387">
        <v>6122504485</v>
      </c>
      <c r="K143" s="289">
        <v>45828</v>
      </c>
      <c r="L143" s="291" t="s">
        <v>917</v>
      </c>
      <c r="M143" s="289">
        <v>45829</v>
      </c>
      <c r="N143" s="291" t="s">
        <v>255</v>
      </c>
      <c r="O143" s="290" t="s">
        <v>299</v>
      </c>
      <c r="P143" s="291" t="s">
        <v>500</v>
      </c>
      <c r="Q143" s="291" t="s">
        <v>2607</v>
      </c>
      <c r="R143" s="458">
        <v>7995</v>
      </c>
      <c r="S143" s="404">
        <v>34.200000000000003</v>
      </c>
      <c r="T143" s="459">
        <f t="shared" si="38"/>
        <v>273429</v>
      </c>
      <c r="U143" s="409" t="s">
        <v>107</v>
      </c>
      <c r="V143" s="288" t="s">
        <v>313</v>
      </c>
      <c r="W143" s="296" t="str">
        <f t="shared" si="47"/>
        <v>Oct-25</v>
      </c>
      <c r="X143" s="293" t="s">
        <v>2617</v>
      </c>
      <c r="Y143" s="293" t="s">
        <v>2045</v>
      </c>
      <c r="Z143" s="318">
        <v>45939</v>
      </c>
      <c r="AA143" s="293" t="s">
        <v>2051</v>
      </c>
      <c r="AB143" s="293" t="s">
        <v>2626</v>
      </c>
      <c r="AC143" s="298" t="s">
        <v>501</v>
      </c>
      <c r="AD143" s="298" t="s">
        <v>501</v>
      </c>
      <c r="AE143" s="512">
        <v>30725</v>
      </c>
      <c r="AF143" s="513">
        <v>35.5</v>
      </c>
      <c r="AG143" s="514">
        <f t="shared" si="39"/>
        <v>1090737.5</v>
      </c>
      <c r="AH143" s="514">
        <v>-6232.5</v>
      </c>
      <c r="AI143" s="514">
        <f t="shared" si="40"/>
        <v>1084505</v>
      </c>
      <c r="AJ143" s="514">
        <v>0</v>
      </c>
      <c r="AK143" s="514">
        <f t="shared" si="41"/>
        <v>30725</v>
      </c>
      <c r="AL143" s="514">
        <f t="shared" si="42"/>
        <v>1050795</v>
      </c>
      <c r="AM143" s="515">
        <f t="shared" si="43"/>
        <v>33710</v>
      </c>
      <c r="AN143" s="299">
        <f t="shared" si="44"/>
        <v>3.1083305286743721E-2</v>
      </c>
      <c r="AO143" s="296">
        <f t="shared" si="48"/>
        <v>1050795</v>
      </c>
      <c r="AP143" s="274">
        <f t="shared" si="50"/>
        <v>111</v>
      </c>
      <c r="AQ143" s="275">
        <f t="shared" si="51"/>
        <v>7774.7476068493143</v>
      </c>
      <c r="AR143" s="275">
        <f t="shared" si="49"/>
        <v>25935.252393150688</v>
      </c>
      <c r="AS143" s="280">
        <f t="shared" si="37"/>
        <v>2.391436866879423E-2</v>
      </c>
    </row>
    <row r="144" spans="2:45" x14ac:dyDescent="0.3">
      <c r="B144" s="287">
        <f t="shared" si="45"/>
        <v>140</v>
      </c>
      <c r="C144" s="272" t="s">
        <v>174</v>
      </c>
      <c r="D144" s="288" t="str">
        <f t="shared" si="46"/>
        <v>Jun-25</v>
      </c>
      <c r="E144" s="288" t="s">
        <v>107</v>
      </c>
      <c r="F144" s="289">
        <v>45828</v>
      </c>
      <c r="G144" s="290" t="s">
        <v>479</v>
      </c>
      <c r="H144" s="291" t="s">
        <v>2598</v>
      </c>
      <c r="I144" s="290" t="s">
        <v>401</v>
      </c>
      <c r="J144" s="387">
        <v>8252000610</v>
      </c>
      <c r="K144" s="289">
        <v>45828</v>
      </c>
      <c r="L144" s="291" t="s">
        <v>912</v>
      </c>
      <c r="M144" s="289">
        <v>45828</v>
      </c>
      <c r="N144" s="291" t="s">
        <v>255</v>
      </c>
      <c r="O144" s="290" t="s">
        <v>402</v>
      </c>
      <c r="P144" s="291" t="s">
        <v>501</v>
      </c>
      <c r="Q144" s="291" t="s">
        <v>2608</v>
      </c>
      <c r="R144" s="458">
        <v>16250</v>
      </c>
      <c r="S144" s="404">
        <v>34.299999999999997</v>
      </c>
      <c r="T144" s="459">
        <f t="shared" si="38"/>
        <v>557375</v>
      </c>
      <c r="U144" s="409" t="s">
        <v>107</v>
      </c>
      <c r="V144" s="288" t="s">
        <v>313</v>
      </c>
      <c r="W144" s="296" t="str">
        <f t="shared" si="47"/>
        <v>Oct-25</v>
      </c>
      <c r="X144" s="293" t="s">
        <v>753</v>
      </c>
      <c r="Y144" s="293" t="s">
        <v>2046</v>
      </c>
      <c r="Z144" s="318">
        <v>45942</v>
      </c>
      <c r="AA144" s="293" t="s">
        <v>2052</v>
      </c>
      <c r="AB144" s="293" t="s">
        <v>2622</v>
      </c>
      <c r="AC144" s="298" t="s">
        <v>500</v>
      </c>
      <c r="AD144" s="298" t="s">
        <v>2630</v>
      </c>
      <c r="AE144" s="512">
        <v>12190</v>
      </c>
      <c r="AF144" s="513">
        <v>41.5</v>
      </c>
      <c r="AG144" s="514">
        <f t="shared" si="39"/>
        <v>505885</v>
      </c>
      <c r="AH144" s="514">
        <v>0</v>
      </c>
      <c r="AI144" s="514">
        <f t="shared" si="40"/>
        <v>505885</v>
      </c>
      <c r="AJ144" s="514">
        <v>0</v>
      </c>
      <c r="AK144" s="514">
        <f t="shared" si="41"/>
        <v>12190</v>
      </c>
      <c r="AL144" s="514">
        <f t="shared" si="42"/>
        <v>418116.99999999994</v>
      </c>
      <c r="AM144" s="515">
        <f t="shared" si="43"/>
        <v>87768.000000000058</v>
      </c>
      <c r="AN144" s="299">
        <f t="shared" si="44"/>
        <v>0.17349397590361457</v>
      </c>
      <c r="AO144" s="296">
        <f t="shared" si="48"/>
        <v>418116.99999999994</v>
      </c>
      <c r="AP144" s="274">
        <f t="shared" si="50"/>
        <v>114</v>
      </c>
      <c r="AQ144" s="275">
        <f t="shared" si="51"/>
        <v>16276.877054794521</v>
      </c>
      <c r="AR144" s="275">
        <f t="shared" si="49"/>
        <v>71491.122945205541</v>
      </c>
      <c r="AS144" s="280">
        <f t="shared" si="37"/>
        <v>0.14131892217639491</v>
      </c>
    </row>
    <row r="145" spans="2:45" x14ac:dyDescent="0.3">
      <c r="B145" s="287">
        <f t="shared" si="45"/>
        <v>141</v>
      </c>
      <c r="C145" s="272" t="s">
        <v>174</v>
      </c>
      <c r="D145" s="288" t="str">
        <f t="shared" si="46"/>
        <v>Jun-25</v>
      </c>
      <c r="E145" s="288" t="s">
        <v>107</v>
      </c>
      <c r="F145" s="289">
        <v>45829</v>
      </c>
      <c r="G145" s="290" t="s">
        <v>483</v>
      </c>
      <c r="H145" s="291" t="s">
        <v>2593</v>
      </c>
      <c r="I145" s="290" t="s">
        <v>298</v>
      </c>
      <c r="J145" s="387" t="s">
        <v>918</v>
      </c>
      <c r="K145" s="289">
        <v>45829</v>
      </c>
      <c r="L145" s="291" t="s">
        <v>919</v>
      </c>
      <c r="M145" s="289">
        <v>45829</v>
      </c>
      <c r="N145" s="291" t="s">
        <v>255</v>
      </c>
      <c r="O145" s="290" t="s">
        <v>402</v>
      </c>
      <c r="P145" s="291" t="s">
        <v>500</v>
      </c>
      <c r="Q145" s="291" t="s">
        <v>757</v>
      </c>
      <c r="R145" s="458">
        <v>3240</v>
      </c>
      <c r="S145" s="404">
        <v>30.151</v>
      </c>
      <c r="T145" s="459">
        <f t="shared" si="38"/>
        <v>97689.24</v>
      </c>
      <c r="U145" s="409" t="s">
        <v>107</v>
      </c>
      <c r="V145" s="288" t="s">
        <v>313</v>
      </c>
      <c r="W145" s="296" t="str">
        <f t="shared" si="47"/>
        <v>Oct-25</v>
      </c>
      <c r="X145" s="293" t="s">
        <v>2617</v>
      </c>
      <c r="Y145" s="293" t="s">
        <v>2047</v>
      </c>
      <c r="Z145" s="318">
        <v>45942</v>
      </c>
      <c r="AA145" s="293" t="s">
        <v>2053</v>
      </c>
      <c r="AB145" s="293" t="s">
        <v>1465</v>
      </c>
      <c r="AC145" s="298" t="s">
        <v>501</v>
      </c>
      <c r="AD145" s="298" t="s">
        <v>501</v>
      </c>
      <c r="AE145" s="512">
        <v>18380</v>
      </c>
      <c r="AF145" s="513">
        <v>33.5</v>
      </c>
      <c r="AG145" s="514">
        <f t="shared" si="39"/>
        <v>615730</v>
      </c>
      <c r="AH145" s="514">
        <v>0</v>
      </c>
      <c r="AI145" s="514">
        <f t="shared" si="40"/>
        <v>615730</v>
      </c>
      <c r="AJ145" s="514">
        <v>0</v>
      </c>
      <c r="AK145" s="514">
        <f t="shared" si="41"/>
        <v>18380</v>
      </c>
      <c r="AL145" s="514">
        <f t="shared" si="42"/>
        <v>554175.38</v>
      </c>
      <c r="AM145" s="515">
        <f t="shared" si="43"/>
        <v>61554.619999999995</v>
      </c>
      <c r="AN145" s="299">
        <f t="shared" si="44"/>
        <v>9.9970149253731336E-2</v>
      </c>
      <c r="AO145" s="296">
        <f t="shared" si="48"/>
        <v>554175.38</v>
      </c>
      <c r="AP145" s="274">
        <f t="shared" si="50"/>
        <v>113</v>
      </c>
      <c r="AQ145" s="275">
        <f t="shared" si="51"/>
        <v>2827.7689458082195</v>
      </c>
      <c r="AR145" s="275">
        <f t="shared" si="49"/>
        <v>58726.851054191779</v>
      </c>
      <c r="AS145" s="280">
        <f t="shared" si="37"/>
        <v>9.5377602283779866E-2</v>
      </c>
    </row>
    <row r="146" spans="2:45" x14ac:dyDescent="0.3">
      <c r="B146" s="287">
        <f t="shared" si="45"/>
        <v>142</v>
      </c>
      <c r="C146" s="272" t="s">
        <v>174</v>
      </c>
      <c r="D146" s="288" t="str">
        <f t="shared" si="46"/>
        <v>Jun-25</v>
      </c>
      <c r="E146" s="288" t="s">
        <v>107</v>
      </c>
      <c r="F146" s="289">
        <v>45830</v>
      </c>
      <c r="G146" s="290" t="s">
        <v>485</v>
      </c>
      <c r="H146" s="291" t="s">
        <v>2598</v>
      </c>
      <c r="I146" s="290" t="s">
        <v>401</v>
      </c>
      <c r="J146" s="387">
        <v>5252000413</v>
      </c>
      <c r="K146" s="289">
        <v>45830</v>
      </c>
      <c r="L146" s="291" t="s">
        <v>921</v>
      </c>
      <c r="M146" s="289">
        <v>45830</v>
      </c>
      <c r="N146" s="291" t="s">
        <v>255</v>
      </c>
      <c r="O146" s="290" t="s">
        <v>314</v>
      </c>
      <c r="P146" s="291" t="s">
        <v>501</v>
      </c>
      <c r="Q146" s="291" t="s">
        <v>2608</v>
      </c>
      <c r="R146" s="458">
        <v>13150</v>
      </c>
      <c r="S146" s="404">
        <v>34.299999999999997</v>
      </c>
      <c r="T146" s="459">
        <f t="shared" si="38"/>
        <v>451044.99999999994</v>
      </c>
      <c r="U146" s="409" t="s">
        <v>107</v>
      </c>
      <c r="V146" s="288" t="s">
        <v>313</v>
      </c>
      <c r="W146" s="296" t="str">
        <f t="shared" si="47"/>
        <v>Oct-25</v>
      </c>
      <c r="X146" s="293" t="s">
        <v>2617</v>
      </c>
      <c r="Y146" s="293" t="s">
        <v>2117</v>
      </c>
      <c r="Z146" s="318">
        <v>45945</v>
      </c>
      <c r="AA146" s="293" t="s">
        <v>2119</v>
      </c>
      <c r="AB146" s="293" t="s">
        <v>1465</v>
      </c>
      <c r="AC146" s="298" t="s">
        <v>501</v>
      </c>
      <c r="AD146" s="298" t="s">
        <v>501</v>
      </c>
      <c r="AE146" s="512">
        <v>16665</v>
      </c>
      <c r="AF146" s="513">
        <v>33.5</v>
      </c>
      <c r="AG146" s="514">
        <f t="shared" si="39"/>
        <v>558277.5</v>
      </c>
      <c r="AH146" s="514">
        <v>0</v>
      </c>
      <c r="AI146" s="514">
        <f t="shared" si="40"/>
        <v>558277.5</v>
      </c>
      <c r="AJ146" s="514">
        <v>0</v>
      </c>
      <c r="AK146" s="514">
        <f t="shared" si="41"/>
        <v>16665</v>
      </c>
      <c r="AL146" s="514">
        <f t="shared" si="42"/>
        <v>571609.5</v>
      </c>
      <c r="AM146" s="515">
        <f t="shared" si="43"/>
        <v>-13332</v>
      </c>
      <c r="AN146" s="299">
        <f t="shared" si="44"/>
        <v>-2.3880597014925373E-2</v>
      </c>
      <c r="AO146" s="296">
        <f t="shared" si="48"/>
        <v>571609.5</v>
      </c>
      <c r="AP146" s="274">
        <f t="shared" si="50"/>
        <v>115</v>
      </c>
      <c r="AQ146" s="275">
        <f t="shared" si="51"/>
        <v>13287.291404109588</v>
      </c>
      <c r="AR146" s="275">
        <f t="shared" si="49"/>
        <v>-26619.291404109586</v>
      </c>
      <c r="AS146" s="280">
        <f t="shared" si="37"/>
        <v>-4.7681110924423044E-2</v>
      </c>
    </row>
    <row r="147" spans="2:45" x14ac:dyDescent="0.3">
      <c r="B147" s="287">
        <f t="shared" si="45"/>
        <v>143</v>
      </c>
      <c r="C147" s="272" t="s">
        <v>174</v>
      </c>
      <c r="D147" s="288" t="str">
        <f t="shared" si="46"/>
        <v>Jun-25</v>
      </c>
      <c r="E147" s="288" t="s">
        <v>107</v>
      </c>
      <c r="F147" s="289">
        <v>45830</v>
      </c>
      <c r="G147" s="290" t="s">
        <v>508</v>
      </c>
      <c r="H147" s="291" t="s">
        <v>2598</v>
      </c>
      <c r="I147" s="290" t="s">
        <v>401</v>
      </c>
      <c r="J147" s="387">
        <v>4252001124</v>
      </c>
      <c r="K147" s="289">
        <v>45830</v>
      </c>
      <c r="L147" s="291" t="s">
        <v>967</v>
      </c>
      <c r="M147" s="289">
        <v>45831</v>
      </c>
      <c r="N147" s="291" t="s">
        <v>255</v>
      </c>
      <c r="O147" s="290" t="s">
        <v>899</v>
      </c>
      <c r="P147" s="291" t="s">
        <v>501</v>
      </c>
      <c r="Q147" s="291" t="s">
        <v>2608</v>
      </c>
      <c r="R147" s="458">
        <v>27050</v>
      </c>
      <c r="S147" s="404">
        <v>34.299999999999997</v>
      </c>
      <c r="T147" s="459">
        <f t="shared" si="38"/>
        <v>927814.99999999988</v>
      </c>
      <c r="U147" s="409" t="s">
        <v>107</v>
      </c>
      <c r="V147" s="288" t="s">
        <v>313</v>
      </c>
      <c r="W147" s="296" t="str">
        <f t="shared" si="47"/>
        <v>Oct-25</v>
      </c>
      <c r="X147" s="293" t="s">
        <v>2617</v>
      </c>
      <c r="Y147" s="293" t="s">
        <v>2118</v>
      </c>
      <c r="Z147" s="318">
        <v>45948</v>
      </c>
      <c r="AA147" s="293" t="s">
        <v>2120</v>
      </c>
      <c r="AB147" s="293" t="s">
        <v>1465</v>
      </c>
      <c r="AC147" s="298" t="s">
        <v>501</v>
      </c>
      <c r="AD147" s="298" t="s">
        <v>501</v>
      </c>
      <c r="AE147" s="512">
        <v>21365</v>
      </c>
      <c r="AF147" s="513">
        <v>33.5</v>
      </c>
      <c r="AG147" s="514">
        <f t="shared" si="39"/>
        <v>715727.5</v>
      </c>
      <c r="AH147" s="514">
        <v>0</v>
      </c>
      <c r="AI147" s="514">
        <f t="shared" si="40"/>
        <v>715727.5</v>
      </c>
      <c r="AJ147" s="514">
        <v>0</v>
      </c>
      <c r="AK147" s="514">
        <f t="shared" si="41"/>
        <v>21365</v>
      </c>
      <c r="AL147" s="514">
        <f t="shared" si="42"/>
        <v>732819.49999999988</v>
      </c>
      <c r="AM147" s="515">
        <f t="shared" si="43"/>
        <v>-17091.999999999884</v>
      </c>
      <c r="AN147" s="299">
        <f t="shared" si="44"/>
        <v>-2.388059701492521E-2</v>
      </c>
      <c r="AO147" s="296">
        <f t="shared" si="48"/>
        <v>732819.49999999988</v>
      </c>
      <c r="AP147" s="274">
        <f t="shared" si="50"/>
        <v>118</v>
      </c>
      <c r="AQ147" s="275">
        <f t="shared" si="51"/>
        <v>28045.432589041091</v>
      </c>
      <c r="AR147" s="275">
        <f t="shared" si="49"/>
        <v>-45137.432589040975</v>
      </c>
      <c r="AS147" s="280">
        <f t="shared" si="37"/>
        <v>-6.3065108702740888E-2</v>
      </c>
    </row>
    <row r="148" spans="2:45" x14ac:dyDescent="0.3">
      <c r="B148" s="287">
        <f t="shared" si="45"/>
        <v>144</v>
      </c>
      <c r="C148" s="272" t="s">
        <v>174</v>
      </c>
      <c r="D148" s="288" t="str">
        <f t="shared" si="46"/>
        <v>Jun-25</v>
      </c>
      <c r="E148" s="288" t="s">
        <v>107</v>
      </c>
      <c r="F148" s="289">
        <v>45831</v>
      </c>
      <c r="G148" s="290" t="s">
        <v>509</v>
      </c>
      <c r="H148" s="291" t="s">
        <v>2597</v>
      </c>
      <c r="I148" s="290" t="s">
        <v>853</v>
      </c>
      <c r="J148" s="387">
        <v>6122504614</v>
      </c>
      <c r="K148" s="289">
        <v>45831</v>
      </c>
      <c r="L148" s="291" t="s">
        <v>968</v>
      </c>
      <c r="M148" s="289">
        <v>45831</v>
      </c>
      <c r="N148" s="291" t="s">
        <v>255</v>
      </c>
      <c r="O148" s="290" t="s">
        <v>299</v>
      </c>
      <c r="P148" s="291" t="s">
        <v>500</v>
      </c>
      <c r="Q148" s="291" t="s">
        <v>2607</v>
      </c>
      <c r="R148" s="458">
        <v>7760</v>
      </c>
      <c r="S148" s="404">
        <v>34.200000000000003</v>
      </c>
      <c r="T148" s="459">
        <f t="shared" si="38"/>
        <v>265392</v>
      </c>
      <c r="U148" s="409" t="s">
        <v>107</v>
      </c>
      <c r="V148" s="288" t="s">
        <v>313</v>
      </c>
      <c r="W148" s="296" t="str">
        <f t="shared" si="47"/>
        <v>Oct-25</v>
      </c>
      <c r="X148" s="293" t="s">
        <v>753</v>
      </c>
      <c r="Y148" s="293" t="s">
        <v>2180</v>
      </c>
      <c r="Z148" s="318">
        <v>45956</v>
      </c>
      <c r="AA148" s="293" t="s">
        <v>2181</v>
      </c>
      <c r="AB148" s="293" t="s">
        <v>2622</v>
      </c>
      <c r="AC148" s="298" t="s">
        <v>500</v>
      </c>
      <c r="AD148" s="298" t="s">
        <v>2630</v>
      </c>
      <c r="AE148" s="512">
        <v>14960</v>
      </c>
      <c r="AF148" s="513">
        <v>41.5</v>
      </c>
      <c r="AG148" s="514">
        <f t="shared" si="39"/>
        <v>620840</v>
      </c>
      <c r="AH148" s="514">
        <v>0</v>
      </c>
      <c r="AI148" s="514">
        <f t="shared" si="40"/>
        <v>620840</v>
      </c>
      <c r="AJ148" s="514">
        <v>0</v>
      </c>
      <c r="AK148" s="514">
        <f t="shared" si="41"/>
        <v>14960</v>
      </c>
      <c r="AL148" s="514">
        <f t="shared" si="42"/>
        <v>511632.00000000006</v>
      </c>
      <c r="AM148" s="515">
        <f t="shared" si="43"/>
        <v>109207.99999999994</v>
      </c>
      <c r="AN148" s="299">
        <f t="shared" si="44"/>
        <v>0.17590361445783123</v>
      </c>
      <c r="AO148" s="296">
        <f t="shared" si="48"/>
        <v>511632.00000000006</v>
      </c>
      <c r="AP148" s="274">
        <f t="shared" si="50"/>
        <v>125</v>
      </c>
      <c r="AQ148" s="275">
        <f t="shared" si="51"/>
        <v>8497.9972602739726</v>
      </c>
      <c r="AR148" s="275">
        <f t="shared" si="49"/>
        <v>100710.00273972597</v>
      </c>
      <c r="AS148" s="280">
        <f t="shared" si="37"/>
        <v>0.1622157121637233</v>
      </c>
    </row>
    <row r="149" spans="2:45" x14ac:dyDescent="0.3">
      <c r="B149" s="287">
        <f t="shared" si="45"/>
        <v>145</v>
      </c>
      <c r="C149" s="272" t="s">
        <v>174</v>
      </c>
      <c r="D149" s="288" t="str">
        <f t="shared" si="46"/>
        <v>Jun-25</v>
      </c>
      <c r="E149" s="288" t="s">
        <v>107</v>
      </c>
      <c r="F149" s="289">
        <v>45831</v>
      </c>
      <c r="G149" s="290" t="s">
        <v>510</v>
      </c>
      <c r="H149" s="291" t="s">
        <v>2597</v>
      </c>
      <c r="I149" s="290" t="s">
        <v>853</v>
      </c>
      <c r="J149" s="387">
        <v>6122504615</v>
      </c>
      <c r="K149" s="289">
        <v>45831</v>
      </c>
      <c r="L149" s="291" t="s">
        <v>969</v>
      </c>
      <c r="M149" s="289">
        <v>45831</v>
      </c>
      <c r="N149" s="291" t="s">
        <v>255</v>
      </c>
      <c r="O149" s="290" t="s">
        <v>256</v>
      </c>
      <c r="P149" s="291" t="s">
        <v>500</v>
      </c>
      <c r="Q149" s="291" t="s">
        <v>2607</v>
      </c>
      <c r="R149" s="458">
        <v>8625</v>
      </c>
      <c r="S149" s="404">
        <v>34.200000000000003</v>
      </c>
      <c r="T149" s="459">
        <f t="shared" si="38"/>
        <v>294975</v>
      </c>
      <c r="U149" s="409" t="s">
        <v>107</v>
      </c>
      <c r="V149" s="288" t="s">
        <v>313</v>
      </c>
      <c r="W149" s="296" t="str">
        <f t="shared" si="47"/>
        <v>Oct-25</v>
      </c>
      <c r="X149" s="293" t="s">
        <v>2617</v>
      </c>
      <c r="Y149" s="293" t="s">
        <v>2222</v>
      </c>
      <c r="Z149" s="318">
        <v>45961</v>
      </c>
      <c r="AA149" s="293" t="s">
        <v>2223</v>
      </c>
      <c r="AB149" s="293" t="s">
        <v>2627</v>
      </c>
      <c r="AC149" s="298" t="s">
        <v>501</v>
      </c>
      <c r="AD149" s="298" t="s">
        <v>501</v>
      </c>
      <c r="AE149" s="512">
        <v>24080</v>
      </c>
      <c r="AF149" s="513">
        <v>34.5</v>
      </c>
      <c r="AG149" s="514">
        <f t="shared" si="39"/>
        <v>830760</v>
      </c>
      <c r="AH149" s="514">
        <v>-690</v>
      </c>
      <c r="AI149" s="514">
        <f t="shared" si="40"/>
        <v>830070</v>
      </c>
      <c r="AJ149" s="514">
        <v>0</v>
      </c>
      <c r="AK149" s="514">
        <f t="shared" si="41"/>
        <v>24080</v>
      </c>
      <c r="AL149" s="514">
        <f t="shared" si="42"/>
        <v>823536.00000000012</v>
      </c>
      <c r="AM149" s="515">
        <f t="shared" si="43"/>
        <v>6533.9999999998836</v>
      </c>
      <c r="AN149" s="299">
        <f t="shared" si="44"/>
        <v>7.8716252846144103E-3</v>
      </c>
      <c r="AO149" s="296">
        <f t="shared" si="48"/>
        <v>823536.00000000012</v>
      </c>
      <c r="AP149" s="274">
        <f t="shared" si="50"/>
        <v>130</v>
      </c>
      <c r="AQ149" s="275">
        <f t="shared" si="51"/>
        <v>9823.0715753424665</v>
      </c>
      <c r="AR149" s="275">
        <f t="shared" si="49"/>
        <v>-3289.0715753425829</v>
      </c>
      <c r="AS149" s="280">
        <f t="shared" si="37"/>
        <v>-3.9624026592246231E-3</v>
      </c>
    </row>
    <row r="150" spans="2:45" x14ac:dyDescent="0.3">
      <c r="B150" s="287">
        <f t="shared" si="45"/>
        <v>146</v>
      </c>
      <c r="C150" s="272" t="s">
        <v>174</v>
      </c>
      <c r="D150" s="288" t="str">
        <f t="shared" si="46"/>
        <v>Jun-25</v>
      </c>
      <c r="E150" s="288" t="s">
        <v>107</v>
      </c>
      <c r="F150" s="289">
        <v>45831</v>
      </c>
      <c r="G150" s="290" t="s">
        <v>513</v>
      </c>
      <c r="H150" s="291" t="s">
        <v>2598</v>
      </c>
      <c r="I150" s="290" t="s">
        <v>401</v>
      </c>
      <c r="J150" s="387">
        <v>8252000641</v>
      </c>
      <c r="K150" s="289">
        <v>45831</v>
      </c>
      <c r="L150" s="291" t="s">
        <v>972</v>
      </c>
      <c r="M150" s="289">
        <v>45832</v>
      </c>
      <c r="N150" s="291" t="s">
        <v>255</v>
      </c>
      <c r="O150" s="290" t="s">
        <v>314</v>
      </c>
      <c r="P150" s="291" t="s">
        <v>501</v>
      </c>
      <c r="Q150" s="291" t="s">
        <v>2608</v>
      </c>
      <c r="R150" s="458">
        <v>18490</v>
      </c>
      <c r="S150" s="404">
        <v>34.299999999999997</v>
      </c>
      <c r="T150" s="459">
        <f t="shared" si="38"/>
        <v>634207</v>
      </c>
      <c r="U150" s="409" t="s">
        <v>107</v>
      </c>
      <c r="V150" s="288" t="s">
        <v>313</v>
      </c>
      <c r="W150" s="296" t="str">
        <f t="shared" si="47"/>
        <v>Nov-25</v>
      </c>
      <c r="X150" s="293" t="s">
        <v>2617</v>
      </c>
      <c r="Y150" s="293" t="s">
        <v>2253</v>
      </c>
      <c r="Z150" s="318">
        <v>45963</v>
      </c>
      <c r="AA150" s="293" t="s">
        <v>2247</v>
      </c>
      <c r="AB150" s="293" t="s">
        <v>1465</v>
      </c>
      <c r="AC150" s="298" t="s">
        <v>501</v>
      </c>
      <c r="AD150" s="298" t="s">
        <v>501</v>
      </c>
      <c r="AE150" s="512">
        <v>27635</v>
      </c>
      <c r="AF150" s="513">
        <v>33.200000000000003</v>
      </c>
      <c r="AG150" s="514">
        <f t="shared" si="39"/>
        <v>917482.00000000012</v>
      </c>
      <c r="AH150" s="514">
        <v>0</v>
      </c>
      <c r="AI150" s="514">
        <f t="shared" si="40"/>
        <v>917482.00000000012</v>
      </c>
      <c r="AJ150" s="514">
        <v>0</v>
      </c>
      <c r="AK150" s="514">
        <f t="shared" si="41"/>
        <v>27635</v>
      </c>
      <c r="AL150" s="514">
        <f t="shared" si="42"/>
        <v>947880.49999999988</v>
      </c>
      <c r="AM150" s="515">
        <f t="shared" si="43"/>
        <v>-30398.499999999767</v>
      </c>
      <c r="AN150" s="299">
        <f t="shared" si="44"/>
        <v>-3.3132530120481667E-2</v>
      </c>
      <c r="AO150" s="296">
        <f t="shared" si="48"/>
        <v>947880.49999999988</v>
      </c>
      <c r="AP150" s="274">
        <f t="shared" si="50"/>
        <v>132</v>
      </c>
      <c r="AQ150" s="275">
        <f t="shared" si="51"/>
        <v>21444.884367123286</v>
      </c>
      <c r="AR150" s="275">
        <f t="shared" si="49"/>
        <v>-51843.384367123057</v>
      </c>
      <c r="AS150" s="280">
        <f t="shared" si="37"/>
        <v>-5.6506159649042764E-2</v>
      </c>
    </row>
    <row r="151" spans="2:45" x14ac:dyDescent="0.3">
      <c r="B151" s="287">
        <f t="shared" si="45"/>
        <v>147</v>
      </c>
      <c r="C151" s="272" t="s">
        <v>174</v>
      </c>
      <c r="D151" s="288" t="str">
        <f t="shared" si="46"/>
        <v>Jun-25</v>
      </c>
      <c r="E151" s="288" t="s">
        <v>107</v>
      </c>
      <c r="F151" s="289">
        <v>45832</v>
      </c>
      <c r="G151" s="290" t="s">
        <v>511</v>
      </c>
      <c r="H151" s="291" t="s">
        <v>2597</v>
      </c>
      <c r="I151" s="290" t="s">
        <v>853</v>
      </c>
      <c r="J151" s="387">
        <v>6122504679</v>
      </c>
      <c r="K151" s="289">
        <v>45832</v>
      </c>
      <c r="L151" s="291" t="s">
        <v>970</v>
      </c>
      <c r="M151" s="289">
        <v>45832</v>
      </c>
      <c r="N151" s="291" t="s">
        <v>255</v>
      </c>
      <c r="O151" s="290" t="s">
        <v>256</v>
      </c>
      <c r="P151" s="291" t="s">
        <v>500</v>
      </c>
      <c r="Q151" s="291" t="s">
        <v>2607</v>
      </c>
      <c r="R151" s="458">
        <v>7170</v>
      </c>
      <c r="S151" s="404">
        <v>34.200000000000003</v>
      </c>
      <c r="T151" s="459">
        <f t="shared" si="38"/>
        <v>245214.00000000003</v>
      </c>
      <c r="U151" s="409" t="s">
        <v>107</v>
      </c>
      <c r="V151" s="288" t="s">
        <v>313</v>
      </c>
      <c r="W151" s="296" t="str">
        <f t="shared" si="47"/>
        <v>Nov-25</v>
      </c>
      <c r="X151" s="293" t="s">
        <v>753</v>
      </c>
      <c r="Y151" s="293" t="s">
        <v>2254</v>
      </c>
      <c r="Z151" s="318">
        <v>45964</v>
      </c>
      <c r="AA151" s="293" t="s">
        <v>2248</v>
      </c>
      <c r="AB151" s="293" t="s">
        <v>2622</v>
      </c>
      <c r="AC151" s="298" t="s">
        <v>500</v>
      </c>
      <c r="AD151" s="298" t="s">
        <v>2630</v>
      </c>
      <c r="AE151" s="512">
        <v>13220</v>
      </c>
      <c r="AF151" s="513">
        <v>41.5</v>
      </c>
      <c r="AG151" s="514">
        <f t="shared" si="39"/>
        <v>548630</v>
      </c>
      <c r="AH151" s="514">
        <v>0</v>
      </c>
      <c r="AI151" s="514">
        <f t="shared" si="40"/>
        <v>548630</v>
      </c>
      <c r="AJ151" s="514">
        <v>0</v>
      </c>
      <c r="AK151" s="514">
        <f t="shared" si="41"/>
        <v>13220</v>
      </c>
      <c r="AL151" s="514">
        <f t="shared" si="42"/>
        <v>452124.00000000006</v>
      </c>
      <c r="AM151" s="515">
        <f t="shared" si="43"/>
        <v>96505.999999999942</v>
      </c>
      <c r="AN151" s="299">
        <f t="shared" si="44"/>
        <v>0.17590361445783123</v>
      </c>
      <c r="AO151" s="296">
        <f t="shared" si="48"/>
        <v>452124.00000000006</v>
      </c>
      <c r="AP151" s="274">
        <f t="shared" si="50"/>
        <v>132</v>
      </c>
      <c r="AQ151" s="275">
        <f t="shared" si="51"/>
        <v>8291.5922958904121</v>
      </c>
      <c r="AR151" s="275">
        <f t="shared" si="49"/>
        <v>88214.40770410953</v>
      </c>
      <c r="AS151" s="280">
        <f t="shared" si="37"/>
        <v>0.16079034632468062</v>
      </c>
    </row>
    <row r="152" spans="2:45" x14ac:dyDescent="0.3">
      <c r="B152" s="287">
        <f t="shared" si="45"/>
        <v>148</v>
      </c>
      <c r="C152" s="272" t="s">
        <v>174</v>
      </c>
      <c r="D152" s="288" t="str">
        <f t="shared" si="46"/>
        <v>Jun-25</v>
      </c>
      <c r="E152" s="288" t="s">
        <v>107</v>
      </c>
      <c r="F152" s="289">
        <v>45832</v>
      </c>
      <c r="G152" s="290" t="s">
        <v>512</v>
      </c>
      <c r="H152" s="291" t="s">
        <v>2597</v>
      </c>
      <c r="I152" s="290" t="s">
        <v>853</v>
      </c>
      <c r="J152" s="387">
        <v>6122504678</v>
      </c>
      <c r="K152" s="289">
        <v>45832</v>
      </c>
      <c r="L152" s="291" t="s">
        <v>971</v>
      </c>
      <c r="M152" s="289">
        <v>45832</v>
      </c>
      <c r="N152" s="291" t="s">
        <v>255</v>
      </c>
      <c r="O152" s="290" t="s">
        <v>299</v>
      </c>
      <c r="P152" s="291" t="s">
        <v>500</v>
      </c>
      <c r="Q152" s="291" t="s">
        <v>2607</v>
      </c>
      <c r="R152" s="458">
        <v>8065</v>
      </c>
      <c r="S152" s="404">
        <v>34.200000000000003</v>
      </c>
      <c r="T152" s="459">
        <f t="shared" si="38"/>
        <v>275823</v>
      </c>
      <c r="U152" s="409" t="s">
        <v>107</v>
      </c>
      <c r="V152" s="288" t="s">
        <v>313</v>
      </c>
      <c r="W152" s="296" t="str">
        <f t="shared" si="47"/>
        <v>Nov-25</v>
      </c>
      <c r="X152" s="293" t="s">
        <v>2617</v>
      </c>
      <c r="Y152" s="293" t="s">
        <v>2255</v>
      </c>
      <c r="Z152" s="318">
        <v>45964</v>
      </c>
      <c r="AA152" s="293" t="s">
        <v>2249</v>
      </c>
      <c r="AB152" s="293" t="s">
        <v>1465</v>
      </c>
      <c r="AC152" s="298" t="s">
        <v>501</v>
      </c>
      <c r="AD152" s="298" t="s">
        <v>501</v>
      </c>
      <c r="AE152" s="512">
        <v>27990</v>
      </c>
      <c r="AF152" s="513">
        <v>33.200000000000003</v>
      </c>
      <c r="AG152" s="514">
        <f t="shared" si="39"/>
        <v>929268.00000000012</v>
      </c>
      <c r="AH152" s="514">
        <v>0</v>
      </c>
      <c r="AI152" s="514">
        <f t="shared" si="40"/>
        <v>929268.00000000012</v>
      </c>
      <c r="AJ152" s="514">
        <v>0</v>
      </c>
      <c r="AK152" s="514">
        <f t="shared" si="41"/>
        <v>27990</v>
      </c>
      <c r="AL152" s="514">
        <f t="shared" si="42"/>
        <v>957258.00000000012</v>
      </c>
      <c r="AM152" s="515">
        <f t="shared" si="43"/>
        <v>-27990</v>
      </c>
      <c r="AN152" s="299">
        <f t="shared" si="44"/>
        <v>-3.012048192771084E-2</v>
      </c>
      <c r="AO152" s="296">
        <f t="shared" si="48"/>
        <v>957258.00000000012</v>
      </c>
      <c r="AP152" s="274">
        <f t="shared" si="50"/>
        <v>132</v>
      </c>
      <c r="AQ152" s="275">
        <f t="shared" si="51"/>
        <v>9326.5957972602737</v>
      </c>
      <c r="AR152" s="275">
        <f t="shared" si="49"/>
        <v>-37316.595797260277</v>
      </c>
      <c r="AS152" s="280">
        <f t="shared" si="37"/>
        <v>-4.0156979253843102E-2</v>
      </c>
    </row>
    <row r="153" spans="2:45" x14ac:dyDescent="0.3">
      <c r="B153" s="287">
        <f t="shared" si="45"/>
        <v>149</v>
      </c>
      <c r="C153" s="272" t="s">
        <v>174</v>
      </c>
      <c r="D153" s="288" t="str">
        <f t="shared" si="46"/>
        <v>Jun-25</v>
      </c>
      <c r="E153" s="288" t="s">
        <v>107</v>
      </c>
      <c r="F153" s="289">
        <v>45833</v>
      </c>
      <c r="G153" s="290" t="s">
        <v>946</v>
      </c>
      <c r="H153" s="291" t="s">
        <v>2597</v>
      </c>
      <c r="I153" s="290" t="s">
        <v>853</v>
      </c>
      <c r="J153" s="387">
        <v>6122504739</v>
      </c>
      <c r="K153" s="289">
        <v>45833</v>
      </c>
      <c r="L153" s="291" t="s">
        <v>974</v>
      </c>
      <c r="M153" s="289">
        <v>45833</v>
      </c>
      <c r="N153" s="291" t="s">
        <v>255</v>
      </c>
      <c r="O153" s="290" t="s">
        <v>300</v>
      </c>
      <c r="P153" s="291" t="s">
        <v>500</v>
      </c>
      <c r="Q153" s="291" t="s">
        <v>2607</v>
      </c>
      <c r="R153" s="458">
        <v>5660</v>
      </c>
      <c r="S153" s="404">
        <v>34.200000000000003</v>
      </c>
      <c r="T153" s="459">
        <f t="shared" si="38"/>
        <v>193572.00000000003</v>
      </c>
      <c r="U153" s="409" t="s">
        <v>107</v>
      </c>
      <c r="V153" s="288" t="s">
        <v>313</v>
      </c>
      <c r="W153" s="296" t="str">
        <f t="shared" si="47"/>
        <v>Nov-25</v>
      </c>
      <c r="X153" s="293" t="s">
        <v>2617</v>
      </c>
      <c r="Y153" s="293" t="s">
        <v>2256</v>
      </c>
      <c r="Z153" s="318">
        <v>45965</v>
      </c>
      <c r="AA153" s="484" t="s">
        <v>2250</v>
      </c>
      <c r="AB153" s="293" t="s">
        <v>2627</v>
      </c>
      <c r="AC153" s="298" t="s">
        <v>501</v>
      </c>
      <c r="AD153" s="298" t="s">
        <v>501</v>
      </c>
      <c r="AE153" s="512">
        <v>25420</v>
      </c>
      <c r="AF153" s="513">
        <v>34.5</v>
      </c>
      <c r="AG153" s="514">
        <f t="shared" si="39"/>
        <v>876990</v>
      </c>
      <c r="AH153" s="514">
        <v>-876990</v>
      </c>
      <c r="AI153" s="514">
        <f t="shared" si="40"/>
        <v>0</v>
      </c>
      <c r="AJ153" s="514">
        <v>25420</v>
      </c>
      <c r="AK153" s="514">
        <f t="shared" si="41"/>
        <v>0</v>
      </c>
      <c r="AL153" s="514">
        <f t="shared" si="42"/>
        <v>869364.00000000012</v>
      </c>
      <c r="AM153" s="515">
        <f t="shared" si="43"/>
        <v>-869364.00000000012</v>
      </c>
      <c r="AN153" s="299">
        <f t="shared" si="44"/>
        <v>0</v>
      </c>
      <c r="AO153" s="296">
        <f t="shared" si="48"/>
        <v>869364.00000000012</v>
      </c>
      <c r="AP153" s="274">
        <f t="shared" si="50"/>
        <v>132</v>
      </c>
      <c r="AQ153" s="275">
        <f t="shared" si="51"/>
        <v>6545.3852712328771</v>
      </c>
      <c r="AR153" s="275">
        <f t="shared" si="49"/>
        <v>-875909.38527123304</v>
      </c>
      <c r="AS153" s="280">
        <f t="shared" si="37"/>
        <v>0</v>
      </c>
    </row>
    <row r="154" spans="2:45" x14ac:dyDescent="0.3">
      <c r="B154" s="287">
        <f t="shared" si="45"/>
        <v>150</v>
      </c>
      <c r="C154" s="272" t="s">
        <v>174</v>
      </c>
      <c r="D154" s="288" t="str">
        <f t="shared" si="46"/>
        <v>Jun-25</v>
      </c>
      <c r="E154" s="288" t="s">
        <v>107</v>
      </c>
      <c r="F154" s="289">
        <v>45833</v>
      </c>
      <c r="G154" s="290" t="s">
        <v>948</v>
      </c>
      <c r="H154" s="291" t="s">
        <v>2597</v>
      </c>
      <c r="I154" s="290" t="s">
        <v>853</v>
      </c>
      <c r="J154" s="387">
        <v>6122504742</v>
      </c>
      <c r="K154" s="289">
        <v>45833</v>
      </c>
      <c r="L154" s="291" t="s">
        <v>977</v>
      </c>
      <c r="M154" s="289">
        <v>45835</v>
      </c>
      <c r="N154" s="291" t="s">
        <v>255</v>
      </c>
      <c r="O154" s="290" t="s">
        <v>299</v>
      </c>
      <c r="P154" s="291" t="s">
        <v>500</v>
      </c>
      <c r="Q154" s="291" t="s">
        <v>2607</v>
      </c>
      <c r="R154" s="458">
        <v>14530</v>
      </c>
      <c r="S154" s="404">
        <v>34.200000000000003</v>
      </c>
      <c r="T154" s="459">
        <f t="shared" si="38"/>
        <v>496926.00000000006</v>
      </c>
      <c r="U154" s="409" t="s">
        <v>107</v>
      </c>
      <c r="V154" s="288" t="s">
        <v>313</v>
      </c>
      <c r="W154" s="296" t="str">
        <f t="shared" si="47"/>
        <v>Nov-25</v>
      </c>
      <c r="X154" s="293" t="s">
        <v>2617</v>
      </c>
      <c r="Y154" s="293" t="s">
        <v>2257</v>
      </c>
      <c r="Z154" s="318">
        <v>45966</v>
      </c>
      <c r="AA154" s="293" t="s">
        <v>2251</v>
      </c>
      <c r="AB154" s="293" t="s">
        <v>1465</v>
      </c>
      <c r="AC154" s="298" t="s">
        <v>501</v>
      </c>
      <c r="AD154" s="298" t="s">
        <v>501</v>
      </c>
      <c r="AE154" s="512">
        <v>22965</v>
      </c>
      <c r="AF154" s="513">
        <v>33.200000000000003</v>
      </c>
      <c r="AG154" s="514">
        <f t="shared" si="39"/>
        <v>762438.00000000012</v>
      </c>
      <c r="AH154" s="514">
        <v>0</v>
      </c>
      <c r="AI154" s="514">
        <f t="shared" si="40"/>
        <v>762438.00000000012</v>
      </c>
      <c r="AJ154" s="514">
        <v>0</v>
      </c>
      <c r="AK154" s="514">
        <f t="shared" si="41"/>
        <v>22965</v>
      </c>
      <c r="AL154" s="514">
        <f t="shared" si="42"/>
        <v>785403.00000000012</v>
      </c>
      <c r="AM154" s="515">
        <f t="shared" si="43"/>
        <v>-22965</v>
      </c>
      <c r="AN154" s="299">
        <f t="shared" si="44"/>
        <v>-3.012048192771084E-2</v>
      </c>
      <c r="AO154" s="296">
        <f t="shared" si="48"/>
        <v>785403.00000000012</v>
      </c>
      <c r="AP154" s="274">
        <f t="shared" si="50"/>
        <v>133</v>
      </c>
      <c r="AQ154" s="275">
        <f t="shared" si="51"/>
        <v>16930.200747945208</v>
      </c>
      <c r="AR154" s="275">
        <f t="shared" si="49"/>
        <v>-39895.200747945208</v>
      </c>
      <c r="AS154" s="280">
        <f t="shared" si="37"/>
        <v>-5.2325829441797499E-2</v>
      </c>
    </row>
    <row r="155" spans="2:45" x14ac:dyDescent="0.3">
      <c r="B155" s="287">
        <f t="shared" si="45"/>
        <v>151</v>
      </c>
      <c r="C155" s="272" t="s">
        <v>174</v>
      </c>
      <c r="D155" s="288" t="str">
        <f t="shared" si="46"/>
        <v>Jun-25</v>
      </c>
      <c r="E155" s="288" t="s">
        <v>107</v>
      </c>
      <c r="F155" s="289">
        <v>45833</v>
      </c>
      <c r="G155" s="290" t="s">
        <v>945</v>
      </c>
      <c r="H155" s="291" t="s">
        <v>2598</v>
      </c>
      <c r="I155" s="290" t="s">
        <v>401</v>
      </c>
      <c r="J155" s="387">
        <v>5252000432</v>
      </c>
      <c r="K155" s="289">
        <v>45833</v>
      </c>
      <c r="L155" s="291" t="s">
        <v>973</v>
      </c>
      <c r="M155" s="289">
        <v>45833</v>
      </c>
      <c r="N155" s="291" t="s">
        <v>255</v>
      </c>
      <c r="O155" s="290" t="s">
        <v>402</v>
      </c>
      <c r="P155" s="291" t="s">
        <v>501</v>
      </c>
      <c r="Q155" s="291" t="s">
        <v>2608</v>
      </c>
      <c r="R155" s="458">
        <v>8360</v>
      </c>
      <c r="S155" s="404">
        <v>34.299999999999997</v>
      </c>
      <c r="T155" s="459">
        <f t="shared" si="38"/>
        <v>286748</v>
      </c>
      <c r="U155" s="409" t="s">
        <v>107</v>
      </c>
      <c r="V155" s="288" t="s">
        <v>313</v>
      </c>
      <c r="W155" s="296" t="str">
        <f t="shared" si="47"/>
        <v>Nov-25</v>
      </c>
      <c r="X155" s="293" t="s">
        <v>2617</v>
      </c>
      <c r="Y155" s="293" t="s">
        <v>2258</v>
      </c>
      <c r="Z155" s="318">
        <v>45970</v>
      </c>
      <c r="AA155" s="293" t="s">
        <v>2252</v>
      </c>
      <c r="AB155" s="293" t="s">
        <v>1465</v>
      </c>
      <c r="AC155" s="298" t="s">
        <v>501</v>
      </c>
      <c r="AD155" s="298" t="s">
        <v>501</v>
      </c>
      <c r="AE155" s="512">
        <v>15185</v>
      </c>
      <c r="AF155" s="513">
        <v>33.200000000000003</v>
      </c>
      <c r="AG155" s="514">
        <f t="shared" si="39"/>
        <v>504142.00000000006</v>
      </c>
      <c r="AH155" s="514">
        <v>0</v>
      </c>
      <c r="AI155" s="514">
        <f t="shared" si="40"/>
        <v>504142.00000000006</v>
      </c>
      <c r="AJ155" s="514">
        <v>0</v>
      </c>
      <c r="AK155" s="514">
        <f t="shared" si="41"/>
        <v>15185</v>
      </c>
      <c r="AL155" s="514">
        <f t="shared" si="42"/>
        <v>520845.49999999994</v>
      </c>
      <c r="AM155" s="515">
        <f t="shared" si="43"/>
        <v>-16703.499999999884</v>
      </c>
      <c r="AN155" s="299">
        <f t="shared" si="44"/>
        <v>-3.3132530120481694E-2</v>
      </c>
      <c r="AO155" s="296">
        <f t="shared" si="48"/>
        <v>520845.49999999994</v>
      </c>
      <c r="AP155" s="274">
        <f t="shared" si="50"/>
        <v>137</v>
      </c>
      <c r="AQ155" s="275">
        <f t="shared" si="51"/>
        <v>10063.283578082192</v>
      </c>
      <c r="AR155" s="275">
        <f t="shared" si="49"/>
        <v>-26766.783578082075</v>
      </c>
      <c r="AS155" s="280">
        <f t="shared" si="37"/>
        <v>-5.30937386253914E-2</v>
      </c>
    </row>
    <row r="156" spans="2:45" x14ac:dyDescent="0.3">
      <c r="B156" s="287">
        <f t="shared" si="45"/>
        <v>152</v>
      </c>
      <c r="C156" s="272" t="s">
        <v>174</v>
      </c>
      <c r="D156" s="288" t="str">
        <f t="shared" si="46"/>
        <v>Jun-25</v>
      </c>
      <c r="E156" s="288" t="s">
        <v>107</v>
      </c>
      <c r="F156" s="289">
        <v>45833</v>
      </c>
      <c r="G156" s="290" t="s">
        <v>947</v>
      </c>
      <c r="H156" s="291" t="s">
        <v>2598</v>
      </c>
      <c r="I156" s="290" t="s">
        <v>401</v>
      </c>
      <c r="J156" s="387">
        <v>8252000645</v>
      </c>
      <c r="K156" s="289">
        <v>45833</v>
      </c>
      <c r="L156" s="291" t="s">
        <v>975</v>
      </c>
      <c r="M156" s="289">
        <v>45834</v>
      </c>
      <c r="N156" s="291" t="s">
        <v>255</v>
      </c>
      <c r="O156" s="290" t="s">
        <v>976</v>
      </c>
      <c r="P156" s="291" t="s">
        <v>501</v>
      </c>
      <c r="Q156" s="291" t="s">
        <v>2608</v>
      </c>
      <c r="R156" s="458">
        <v>27490</v>
      </c>
      <c r="S156" s="404">
        <v>34.299999999999997</v>
      </c>
      <c r="T156" s="459">
        <f t="shared" si="38"/>
        <v>942906.99999999988</v>
      </c>
      <c r="U156" s="409" t="s">
        <v>107</v>
      </c>
      <c r="V156" s="288" t="s">
        <v>313</v>
      </c>
      <c r="W156" s="296" t="str">
        <f t="shared" si="47"/>
        <v>Nov-25</v>
      </c>
      <c r="X156" s="293" t="s">
        <v>2617</v>
      </c>
      <c r="Y156" s="293" t="s">
        <v>2291</v>
      </c>
      <c r="Z156" s="318">
        <v>45971</v>
      </c>
      <c r="AA156" s="293" t="s">
        <v>2299</v>
      </c>
      <c r="AB156" s="293" t="s">
        <v>2627</v>
      </c>
      <c r="AC156" s="298" t="s">
        <v>501</v>
      </c>
      <c r="AD156" s="298" t="s">
        <v>501</v>
      </c>
      <c r="AE156" s="512">
        <v>25525</v>
      </c>
      <c r="AF156" s="513">
        <v>34.5</v>
      </c>
      <c r="AG156" s="514">
        <f t="shared" si="39"/>
        <v>880612.5</v>
      </c>
      <c r="AH156" s="514">
        <v>0</v>
      </c>
      <c r="AI156" s="514">
        <f t="shared" si="40"/>
        <v>880612.5</v>
      </c>
      <c r="AJ156" s="514">
        <v>0</v>
      </c>
      <c r="AK156" s="514">
        <f t="shared" si="41"/>
        <v>25525</v>
      </c>
      <c r="AL156" s="514">
        <f t="shared" si="42"/>
        <v>875507.49999999988</v>
      </c>
      <c r="AM156" s="515">
        <f t="shared" si="43"/>
        <v>5105.0000000001164</v>
      </c>
      <c r="AN156" s="299">
        <f t="shared" si="44"/>
        <v>5.7971014492754942E-3</v>
      </c>
      <c r="AO156" s="296">
        <f t="shared" si="48"/>
        <v>875507.49999999988</v>
      </c>
      <c r="AP156" s="274">
        <f t="shared" si="50"/>
        <v>138</v>
      </c>
      <c r="AQ156" s="275">
        <f t="shared" si="51"/>
        <v>33332.408276712325</v>
      </c>
      <c r="AR156" s="275">
        <f t="shared" si="49"/>
        <v>-28227.408276712209</v>
      </c>
      <c r="AS156" s="280">
        <f t="shared" ref="AS156:AS187" si="52">IFERROR(AR156/(AG156+AH156),0)</f>
        <v>-3.2054289800238139E-2</v>
      </c>
    </row>
    <row r="157" spans="2:45" x14ac:dyDescent="0.3">
      <c r="B157" s="287">
        <f t="shared" si="45"/>
        <v>153</v>
      </c>
      <c r="C157" s="272" t="s">
        <v>174</v>
      </c>
      <c r="D157" s="288" t="str">
        <f t="shared" si="46"/>
        <v>Jun-25</v>
      </c>
      <c r="E157" s="288" t="s">
        <v>107</v>
      </c>
      <c r="F157" s="289">
        <v>45834</v>
      </c>
      <c r="G157" s="290" t="s">
        <v>950</v>
      </c>
      <c r="H157" s="291" t="s">
        <v>2597</v>
      </c>
      <c r="I157" s="290" t="s">
        <v>853</v>
      </c>
      <c r="J157" s="387">
        <v>6122504804</v>
      </c>
      <c r="K157" s="289">
        <v>45834</v>
      </c>
      <c r="L157" s="291" t="s">
        <v>980</v>
      </c>
      <c r="M157" s="289">
        <v>45835</v>
      </c>
      <c r="N157" s="291" t="s">
        <v>255</v>
      </c>
      <c r="O157" s="290" t="s">
        <v>981</v>
      </c>
      <c r="P157" s="291" t="s">
        <v>500</v>
      </c>
      <c r="Q157" s="291" t="s">
        <v>2607</v>
      </c>
      <c r="R157" s="458">
        <v>7595</v>
      </c>
      <c r="S157" s="404">
        <v>34.200000000000003</v>
      </c>
      <c r="T157" s="459">
        <f t="shared" si="38"/>
        <v>259749.00000000003</v>
      </c>
      <c r="U157" s="409" t="s">
        <v>107</v>
      </c>
      <c r="V157" s="288" t="s">
        <v>313</v>
      </c>
      <c r="W157" s="296" t="str">
        <f t="shared" si="47"/>
        <v>Nov-25</v>
      </c>
      <c r="X157" s="293" t="s">
        <v>2619</v>
      </c>
      <c r="Y157" s="293" t="s">
        <v>2292</v>
      </c>
      <c r="Z157" s="318">
        <v>45971</v>
      </c>
      <c r="AA157" s="293" t="s">
        <v>2300</v>
      </c>
      <c r="AB157" s="293" t="s">
        <v>2627</v>
      </c>
      <c r="AC157" s="298" t="s">
        <v>500</v>
      </c>
      <c r="AD157" s="298" t="s">
        <v>2630</v>
      </c>
      <c r="AE157" s="512">
        <v>23460</v>
      </c>
      <c r="AF157" s="513">
        <v>35</v>
      </c>
      <c r="AG157" s="514">
        <f t="shared" si="39"/>
        <v>821100</v>
      </c>
      <c r="AH157" s="514">
        <v>-1050</v>
      </c>
      <c r="AI157" s="514">
        <f t="shared" si="40"/>
        <v>820050</v>
      </c>
      <c r="AJ157" s="514">
        <v>0</v>
      </c>
      <c r="AK157" s="514">
        <f t="shared" si="41"/>
        <v>23460</v>
      </c>
      <c r="AL157" s="514">
        <f t="shared" si="42"/>
        <v>802332.00000000012</v>
      </c>
      <c r="AM157" s="515">
        <f t="shared" si="43"/>
        <v>17717.999999999884</v>
      </c>
      <c r="AN157" s="299">
        <f t="shared" si="44"/>
        <v>2.1605999634168507E-2</v>
      </c>
      <c r="AO157" s="296">
        <f t="shared" si="48"/>
        <v>802332.00000000012</v>
      </c>
      <c r="AP157" s="274">
        <f t="shared" si="50"/>
        <v>137</v>
      </c>
      <c r="AQ157" s="275">
        <f t="shared" si="51"/>
        <v>9115.76661780822</v>
      </c>
      <c r="AR157" s="275">
        <f t="shared" si="49"/>
        <v>8602.2333821916636</v>
      </c>
      <c r="AS157" s="280">
        <f t="shared" si="52"/>
        <v>1.0489888887496693E-2</v>
      </c>
    </row>
    <row r="158" spans="2:45" x14ac:dyDescent="0.3">
      <c r="B158" s="287">
        <f t="shared" si="45"/>
        <v>154</v>
      </c>
      <c r="C158" s="272" t="s">
        <v>174</v>
      </c>
      <c r="D158" s="288" t="str">
        <f t="shared" si="46"/>
        <v>Jun-25</v>
      </c>
      <c r="E158" s="288" t="s">
        <v>107</v>
      </c>
      <c r="F158" s="289">
        <v>45834</v>
      </c>
      <c r="G158" s="290" t="s">
        <v>949</v>
      </c>
      <c r="H158" s="291" t="s">
        <v>2597</v>
      </c>
      <c r="I158" s="290" t="s">
        <v>853</v>
      </c>
      <c r="J158" s="387">
        <v>6122504808</v>
      </c>
      <c r="K158" s="289">
        <v>45834</v>
      </c>
      <c r="L158" s="291" t="s">
        <v>978</v>
      </c>
      <c r="M158" s="289">
        <v>45835</v>
      </c>
      <c r="N158" s="291" t="s">
        <v>255</v>
      </c>
      <c r="O158" s="290" t="s">
        <v>979</v>
      </c>
      <c r="P158" s="291" t="s">
        <v>500</v>
      </c>
      <c r="Q158" s="291" t="s">
        <v>2607</v>
      </c>
      <c r="R158" s="458">
        <v>11505</v>
      </c>
      <c r="S158" s="404">
        <v>34.200000000000003</v>
      </c>
      <c r="T158" s="459">
        <f t="shared" si="38"/>
        <v>393471.00000000006</v>
      </c>
      <c r="U158" s="409" t="s">
        <v>107</v>
      </c>
      <c r="V158" s="288" t="s">
        <v>313</v>
      </c>
      <c r="W158" s="296" t="str">
        <f t="shared" si="47"/>
        <v>Nov-25</v>
      </c>
      <c r="X158" s="293" t="s">
        <v>753</v>
      </c>
      <c r="Y158" s="293" t="s">
        <v>2293</v>
      </c>
      <c r="Z158" s="318">
        <v>45972</v>
      </c>
      <c r="AA158" s="293" t="s">
        <v>2301</v>
      </c>
      <c r="AB158" s="293" t="s">
        <v>2622</v>
      </c>
      <c r="AC158" s="298" t="s">
        <v>500</v>
      </c>
      <c r="AD158" s="298" t="s">
        <v>2630</v>
      </c>
      <c r="AE158" s="512">
        <v>16740</v>
      </c>
      <c r="AF158" s="513">
        <v>41.5</v>
      </c>
      <c r="AG158" s="514">
        <f t="shared" si="39"/>
        <v>694710</v>
      </c>
      <c r="AH158" s="514">
        <v>0</v>
      </c>
      <c r="AI158" s="514">
        <f t="shared" si="40"/>
        <v>694710</v>
      </c>
      <c r="AJ158" s="514">
        <v>0</v>
      </c>
      <c r="AK158" s="514">
        <f t="shared" si="41"/>
        <v>16740</v>
      </c>
      <c r="AL158" s="514">
        <f t="shared" si="42"/>
        <v>572508</v>
      </c>
      <c r="AM158" s="515">
        <f t="shared" si="43"/>
        <v>122202</v>
      </c>
      <c r="AN158" s="299">
        <f t="shared" si="44"/>
        <v>0.17590361445783131</v>
      </c>
      <c r="AO158" s="296">
        <f t="shared" si="48"/>
        <v>572508</v>
      </c>
      <c r="AP158" s="274">
        <f t="shared" si="50"/>
        <v>138</v>
      </c>
      <c r="AQ158" s="275">
        <f t="shared" si="51"/>
        <v>13909.469350684933</v>
      </c>
      <c r="AR158" s="275">
        <f t="shared" si="49"/>
        <v>108292.53064931507</v>
      </c>
      <c r="AS158" s="280">
        <f t="shared" si="52"/>
        <v>0.15588163499779054</v>
      </c>
    </row>
    <row r="159" spans="2:45" x14ac:dyDescent="0.3">
      <c r="B159" s="287">
        <f t="shared" si="45"/>
        <v>155</v>
      </c>
      <c r="C159" s="272" t="s">
        <v>174</v>
      </c>
      <c r="D159" s="288" t="str">
        <f t="shared" si="46"/>
        <v>Jun-25</v>
      </c>
      <c r="E159" s="288" t="s">
        <v>107</v>
      </c>
      <c r="F159" s="289">
        <v>45834</v>
      </c>
      <c r="G159" s="290" t="s">
        <v>951</v>
      </c>
      <c r="H159" s="291" t="s">
        <v>2597</v>
      </c>
      <c r="I159" s="290" t="s">
        <v>853</v>
      </c>
      <c r="J159" s="387">
        <v>6122504805</v>
      </c>
      <c r="K159" s="289">
        <v>45834</v>
      </c>
      <c r="L159" s="291" t="s">
        <v>982</v>
      </c>
      <c r="M159" s="289">
        <v>45835</v>
      </c>
      <c r="N159" s="291" t="s">
        <v>255</v>
      </c>
      <c r="O159" s="290" t="s">
        <v>983</v>
      </c>
      <c r="P159" s="291" t="s">
        <v>500</v>
      </c>
      <c r="Q159" s="291" t="s">
        <v>2607</v>
      </c>
      <c r="R159" s="458">
        <v>9485</v>
      </c>
      <c r="S159" s="404">
        <v>34.200000000000003</v>
      </c>
      <c r="T159" s="459">
        <f t="shared" si="38"/>
        <v>324387</v>
      </c>
      <c r="U159" s="409" t="s">
        <v>107</v>
      </c>
      <c r="V159" s="288" t="s">
        <v>313</v>
      </c>
      <c r="W159" s="296" t="str">
        <f t="shared" si="47"/>
        <v>Nov-25</v>
      </c>
      <c r="X159" s="293" t="s">
        <v>2619</v>
      </c>
      <c r="Y159" s="293" t="s">
        <v>2294</v>
      </c>
      <c r="Z159" s="318">
        <v>45973</v>
      </c>
      <c r="AA159" s="293" t="s">
        <v>2302</v>
      </c>
      <c r="AB159" s="293" t="s">
        <v>2627</v>
      </c>
      <c r="AC159" s="298" t="s">
        <v>500</v>
      </c>
      <c r="AD159" s="298" t="s">
        <v>2630</v>
      </c>
      <c r="AE159" s="512">
        <v>24755</v>
      </c>
      <c r="AF159" s="513">
        <v>35</v>
      </c>
      <c r="AG159" s="514">
        <f t="shared" si="39"/>
        <v>866425</v>
      </c>
      <c r="AH159" s="514">
        <v>0</v>
      </c>
      <c r="AI159" s="514">
        <f t="shared" si="40"/>
        <v>866425</v>
      </c>
      <c r="AJ159" s="514">
        <v>0</v>
      </c>
      <c r="AK159" s="514">
        <f t="shared" si="41"/>
        <v>24755</v>
      </c>
      <c r="AL159" s="514">
        <f t="shared" si="42"/>
        <v>846621.00000000012</v>
      </c>
      <c r="AM159" s="515">
        <f t="shared" si="43"/>
        <v>19803.999999999884</v>
      </c>
      <c r="AN159" s="299">
        <f t="shared" si="44"/>
        <v>2.2857142857142722E-2</v>
      </c>
      <c r="AO159" s="296">
        <f t="shared" si="48"/>
        <v>846621.00000000012</v>
      </c>
      <c r="AP159" s="274">
        <f t="shared" si="50"/>
        <v>139</v>
      </c>
      <c r="AQ159" s="275">
        <f t="shared" si="51"/>
        <v>11550.399028767122</v>
      </c>
      <c r="AR159" s="275">
        <f t="shared" si="49"/>
        <v>8253.6009712327614</v>
      </c>
      <c r="AS159" s="280">
        <f t="shared" si="52"/>
        <v>9.5260420362209778E-3</v>
      </c>
    </row>
    <row r="160" spans="2:45" x14ac:dyDescent="0.3">
      <c r="B160" s="287">
        <f t="shared" si="45"/>
        <v>156</v>
      </c>
      <c r="C160" s="272" t="s">
        <v>174</v>
      </c>
      <c r="D160" s="288" t="str">
        <f t="shared" si="46"/>
        <v>Jun-25</v>
      </c>
      <c r="E160" s="288" t="s">
        <v>107</v>
      </c>
      <c r="F160" s="289">
        <v>45834</v>
      </c>
      <c r="G160" s="290" t="s">
        <v>1366</v>
      </c>
      <c r="H160" s="291" t="s">
        <v>2597</v>
      </c>
      <c r="I160" s="290" t="s">
        <v>853</v>
      </c>
      <c r="J160" s="387">
        <v>6122504827</v>
      </c>
      <c r="K160" s="289">
        <v>45834</v>
      </c>
      <c r="L160" s="291" t="s">
        <v>1384</v>
      </c>
      <c r="M160" s="289">
        <v>45839</v>
      </c>
      <c r="N160" s="291" t="s">
        <v>255</v>
      </c>
      <c r="O160" s="290" t="s">
        <v>708</v>
      </c>
      <c r="P160" s="291" t="s">
        <v>500</v>
      </c>
      <c r="Q160" s="291" t="s">
        <v>2607</v>
      </c>
      <c r="R160" s="458">
        <v>8675</v>
      </c>
      <c r="S160" s="404">
        <v>34.200000000000003</v>
      </c>
      <c r="T160" s="459">
        <f t="shared" si="38"/>
        <v>296685</v>
      </c>
      <c r="U160" s="409" t="s">
        <v>107</v>
      </c>
      <c r="V160" s="288" t="s">
        <v>313</v>
      </c>
      <c r="W160" s="296" t="str">
        <f t="shared" si="47"/>
        <v>Nov-25</v>
      </c>
      <c r="X160" s="293" t="s">
        <v>2617</v>
      </c>
      <c r="Y160" s="293" t="s">
        <v>2295</v>
      </c>
      <c r="Z160" s="318">
        <v>45974</v>
      </c>
      <c r="AA160" s="293" t="s">
        <v>2303</v>
      </c>
      <c r="AB160" s="293" t="s">
        <v>2627</v>
      </c>
      <c r="AC160" s="298" t="s">
        <v>501</v>
      </c>
      <c r="AD160" s="298" t="s">
        <v>501</v>
      </c>
      <c r="AE160" s="512">
        <v>25410</v>
      </c>
      <c r="AF160" s="513">
        <v>34.5</v>
      </c>
      <c r="AG160" s="514">
        <f t="shared" si="39"/>
        <v>876645</v>
      </c>
      <c r="AH160" s="514">
        <v>-1380</v>
      </c>
      <c r="AI160" s="514">
        <f t="shared" si="40"/>
        <v>875265</v>
      </c>
      <c r="AJ160" s="514">
        <v>0</v>
      </c>
      <c r="AK160" s="514">
        <f t="shared" si="41"/>
        <v>25410</v>
      </c>
      <c r="AL160" s="514">
        <f t="shared" si="42"/>
        <v>869022.00000000012</v>
      </c>
      <c r="AM160" s="515">
        <f t="shared" si="43"/>
        <v>6242.9999999998836</v>
      </c>
      <c r="AN160" s="299">
        <f t="shared" si="44"/>
        <v>7.1326969546364628E-3</v>
      </c>
      <c r="AO160" s="296">
        <f t="shared" si="48"/>
        <v>869022.00000000012</v>
      </c>
      <c r="AP160" s="274">
        <f t="shared" si="50"/>
        <v>140</v>
      </c>
      <c r="AQ160" s="275">
        <f t="shared" si="51"/>
        <v>10640.018219178082</v>
      </c>
      <c r="AR160" s="275">
        <f t="shared" si="49"/>
        <v>-4397.0182191781987</v>
      </c>
      <c r="AS160" s="280">
        <f t="shared" si="52"/>
        <v>-5.0236422331273369E-3</v>
      </c>
    </row>
    <row r="161" spans="2:45" x14ac:dyDescent="0.3">
      <c r="B161" s="287">
        <f t="shared" si="45"/>
        <v>157</v>
      </c>
      <c r="C161" s="272" t="s">
        <v>174</v>
      </c>
      <c r="D161" s="288" t="str">
        <f t="shared" si="46"/>
        <v>Jun-25</v>
      </c>
      <c r="E161" s="288" t="s">
        <v>107</v>
      </c>
      <c r="F161" s="289">
        <v>45835</v>
      </c>
      <c r="G161" s="290" t="s">
        <v>952</v>
      </c>
      <c r="H161" s="291" t="s">
        <v>2592</v>
      </c>
      <c r="I161" s="290" t="s">
        <v>254</v>
      </c>
      <c r="J161" s="387" t="s">
        <v>984</v>
      </c>
      <c r="K161" s="289">
        <v>45835</v>
      </c>
      <c r="L161" s="291" t="s">
        <v>985</v>
      </c>
      <c r="M161" s="289">
        <v>45839</v>
      </c>
      <c r="N161" s="291" t="s">
        <v>255</v>
      </c>
      <c r="O161" s="290" t="s">
        <v>314</v>
      </c>
      <c r="P161" s="291" t="s">
        <v>500</v>
      </c>
      <c r="Q161" s="291" t="s">
        <v>757</v>
      </c>
      <c r="R161" s="458">
        <v>4640</v>
      </c>
      <c r="S161" s="404">
        <v>31.120999999999999</v>
      </c>
      <c r="T161" s="459">
        <f t="shared" si="38"/>
        <v>144401.44</v>
      </c>
      <c r="U161" s="409" t="s">
        <v>2756</v>
      </c>
      <c r="V161" s="288" t="s">
        <v>313</v>
      </c>
      <c r="W161" s="296" t="str">
        <f t="shared" si="47"/>
        <v>Nov-25</v>
      </c>
      <c r="X161" s="293" t="s">
        <v>2619</v>
      </c>
      <c r="Y161" s="293" t="s">
        <v>2296</v>
      </c>
      <c r="Z161" s="318">
        <v>45976</v>
      </c>
      <c r="AA161" s="293" t="s">
        <v>2304</v>
      </c>
      <c r="AB161" s="293" t="s">
        <v>1497</v>
      </c>
      <c r="AC161" s="298" t="s">
        <v>500</v>
      </c>
      <c r="AD161" s="298" t="s">
        <v>2685</v>
      </c>
      <c r="AE161" s="512">
        <v>25140</v>
      </c>
      <c r="AF161" s="513">
        <v>35</v>
      </c>
      <c r="AG161" s="514">
        <f t="shared" si="39"/>
        <v>879900</v>
      </c>
      <c r="AH161" s="514">
        <v>-8400</v>
      </c>
      <c r="AI161" s="514">
        <f t="shared" si="40"/>
        <v>871500</v>
      </c>
      <c r="AJ161" s="514">
        <v>0</v>
      </c>
      <c r="AK161" s="514">
        <f t="shared" si="41"/>
        <v>25140</v>
      </c>
      <c r="AL161" s="514">
        <f t="shared" si="42"/>
        <v>782381.94</v>
      </c>
      <c r="AM161" s="515">
        <f t="shared" si="43"/>
        <v>89118.060000000056</v>
      </c>
      <c r="AN161" s="299">
        <f t="shared" si="44"/>
        <v>0.10225824440619628</v>
      </c>
      <c r="AO161" s="296">
        <f t="shared" si="48"/>
        <v>782381.94</v>
      </c>
      <c r="AP161" s="274">
        <f t="shared" si="50"/>
        <v>141</v>
      </c>
      <c r="AQ161" s="275">
        <f t="shared" si="51"/>
        <v>5215.6613266849317</v>
      </c>
      <c r="AR161" s="275">
        <f t="shared" si="49"/>
        <v>83902.398673315125</v>
      </c>
      <c r="AS161" s="280">
        <f t="shared" si="52"/>
        <v>9.6273549825949656E-2</v>
      </c>
    </row>
    <row r="162" spans="2:45" x14ac:dyDescent="0.3">
      <c r="B162" s="287">
        <f t="shared" si="45"/>
        <v>158</v>
      </c>
      <c r="C162" s="272" t="s">
        <v>174</v>
      </c>
      <c r="D162" s="288" t="str">
        <f t="shared" si="46"/>
        <v>Jun-25</v>
      </c>
      <c r="E162" s="288" t="s">
        <v>107</v>
      </c>
      <c r="F162" s="289">
        <v>45835</v>
      </c>
      <c r="G162" s="290" t="s">
        <v>953</v>
      </c>
      <c r="H162" s="291" t="s">
        <v>2592</v>
      </c>
      <c r="I162" s="290" t="s">
        <v>254</v>
      </c>
      <c r="J162" s="387" t="s">
        <v>986</v>
      </c>
      <c r="K162" s="289">
        <v>45835</v>
      </c>
      <c r="L162" s="291" t="s">
        <v>987</v>
      </c>
      <c r="M162" s="289">
        <v>45839</v>
      </c>
      <c r="N162" s="291" t="s">
        <v>255</v>
      </c>
      <c r="O162" s="290" t="s">
        <v>892</v>
      </c>
      <c r="P162" s="291" t="s">
        <v>500</v>
      </c>
      <c r="Q162" s="291" t="s">
        <v>757</v>
      </c>
      <c r="R162" s="458">
        <v>3900</v>
      </c>
      <c r="S162" s="404">
        <v>31.120999999999999</v>
      </c>
      <c r="T162" s="459">
        <f t="shared" si="38"/>
        <v>121371.9</v>
      </c>
      <c r="U162" s="409" t="s">
        <v>107</v>
      </c>
      <c r="V162" s="288" t="s">
        <v>313</v>
      </c>
      <c r="W162" s="296" t="str">
        <f t="shared" si="47"/>
        <v>Nov-25</v>
      </c>
      <c r="X162" s="293" t="s">
        <v>2617</v>
      </c>
      <c r="Y162" s="293" t="s">
        <v>2297</v>
      </c>
      <c r="Z162" s="318">
        <v>45976</v>
      </c>
      <c r="AA162" s="293" t="s">
        <v>2305</v>
      </c>
      <c r="AB162" s="293" t="s">
        <v>2627</v>
      </c>
      <c r="AC162" s="298" t="s">
        <v>501</v>
      </c>
      <c r="AD162" s="298" t="s">
        <v>501</v>
      </c>
      <c r="AE162" s="512">
        <v>24515</v>
      </c>
      <c r="AF162" s="513">
        <v>34.5</v>
      </c>
      <c r="AG162" s="514">
        <f t="shared" si="39"/>
        <v>845767.5</v>
      </c>
      <c r="AH162" s="514">
        <v>-4312.5</v>
      </c>
      <c r="AI162" s="514">
        <f t="shared" si="40"/>
        <v>841455</v>
      </c>
      <c r="AJ162" s="514">
        <v>0</v>
      </c>
      <c r="AK162" s="514">
        <f t="shared" si="41"/>
        <v>24515</v>
      </c>
      <c r="AL162" s="514">
        <f t="shared" si="42"/>
        <v>762931.31499999994</v>
      </c>
      <c r="AM162" s="515">
        <f t="shared" si="43"/>
        <v>78523.685000000056</v>
      </c>
      <c r="AN162" s="299">
        <f t="shared" si="44"/>
        <v>9.3318935653124713E-2</v>
      </c>
      <c r="AO162" s="296">
        <f t="shared" si="48"/>
        <v>762931.31499999994</v>
      </c>
      <c r="AP162" s="274">
        <f t="shared" si="50"/>
        <v>141</v>
      </c>
      <c r="AQ162" s="275">
        <f t="shared" si="51"/>
        <v>4383.8532702739722</v>
      </c>
      <c r="AR162" s="275">
        <f t="shared" si="49"/>
        <v>74139.83172972608</v>
      </c>
      <c r="AS162" s="280">
        <f t="shared" si="52"/>
        <v>8.8109086914601592E-2</v>
      </c>
    </row>
    <row r="163" spans="2:45" x14ac:dyDescent="0.3">
      <c r="B163" s="287">
        <f t="shared" si="45"/>
        <v>159</v>
      </c>
      <c r="C163" s="272" t="s">
        <v>174</v>
      </c>
      <c r="D163" s="288" t="str">
        <f t="shared" si="46"/>
        <v>Jun-25</v>
      </c>
      <c r="E163" s="288" t="s">
        <v>107</v>
      </c>
      <c r="F163" s="289">
        <v>45835</v>
      </c>
      <c r="G163" s="290" t="s">
        <v>954</v>
      </c>
      <c r="H163" s="291" t="s">
        <v>2597</v>
      </c>
      <c r="I163" s="290" t="s">
        <v>853</v>
      </c>
      <c r="J163" s="387">
        <v>6122504858</v>
      </c>
      <c r="K163" s="289">
        <v>45835</v>
      </c>
      <c r="L163" s="291" t="s">
        <v>988</v>
      </c>
      <c r="M163" s="289">
        <v>45835</v>
      </c>
      <c r="N163" s="291" t="s">
        <v>255</v>
      </c>
      <c r="O163" s="290" t="s">
        <v>989</v>
      </c>
      <c r="P163" s="291" t="s">
        <v>500</v>
      </c>
      <c r="Q163" s="291" t="s">
        <v>2607</v>
      </c>
      <c r="R163" s="458">
        <v>8060</v>
      </c>
      <c r="S163" s="404">
        <v>34.200000000000003</v>
      </c>
      <c r="T163" s="459">
        <f t="shared" si="38"/>
        <v>275652</v>
      </c>
      <c r="U163" s="409" t="s">
        <v>107</v>
      </c>
      <c r="V163" s="288" t="s">
        <v>313</v>
      </c>
      <c r="W163" s="296" t="str">
        <f t="shared" si="47"/>
        <v>Nov-25</v>
      </c>
      <c r="X163" s="293" t="s">
        <v>2617</v>
      </c>
      <c r="Y163" s="293" t="s">
        <v>2308</v>
      </c>
      <c r="Z163" s="318">
        <v>45979</v>
      </c>
      <c r="AA163" s="293" t="s">
        <v>2307</v>
      </c>
      <c r="AB163" s="293" t="s">
        <v>1465</v>
      </c>
      <c r="AC163" s="298" t="s">
        <v>501</v>
      </c>
      <c r="AD163" s="298" t="s">
        <v>501</v>
      </c>
      <c r="AE163" s="512">
        <v>11885</v>
      </c>
      <c r="AF163" s="513">
        <v>33.200000000000003</v>
      </c>
      <c r="AG163" s="514">
        <f t="shared" si="39"/>
        <v>394582.00000000006</v>
      </c>
      <c r="AH163" s="514">
        <v>-830</v>
      </c>
      <c r="AI163" s="514">
        <f t="shared" si="40"/>
        <v>393752.00000000006</v>
      </c>
      <c r="AJ163" s="514">
        <v>0</v>
      </c>
      <c r="AK163" s="514">
        <f t="shared" si="41"/>
        <v>11885</v>
      </c>
      <c r="AL163" s="514">
        <f t="shared" si="42"/>
        <v>406467.00000000006</v>
      </c>
      <c r="AM163" s="515">
        <f t="shared" si="43"/>
        <v>-12715</v>
      </c>
      <c r="AN163" s="299">
        <f t="shared" si="44"/>
        <v>-3.2291899469716973E-2</v>
      </c>
      <c r="AO163" s="296">
        <f t="shared" si="48"/>
        <v>406467.00000000006</v>
      </c>
      <c r="AP163" s="274">
        <f t="shared" si="50"/>
        <v>144</v>
      </c>
      <c r="AQ163" s="275">
        <f t="shared" si="51"/>
        <v>10168.160350684931</v>
      </c>
      <c r="AR163" s="275">
        <f t="shared" si="49"/>
        <v>-22883.160350684931</v>
      </c>
      <c r="AS163" s="280">
        <f t="shared" si="52"/>
        <v>-5.8115667604697697E-2</v>
      </c>
    </row>
    <row r="164" spans="2:45" x14ac:dyDescent="0.3">
      <c r="B164" s="287">
        <f t="shared" si="45"/>
        <v>160</v>
      </c>
      <c r="C164" s="272" t="s">
        <v>174</v>
      </c>
      <c r="D164" s="288" t="str">
        <f t="shared" si="46"/>
        <v>Jun-25</v>
      </c>
      <c r="E164" s="288" t="s">
        <v>107</v>
      </c>
      <c r="F164" s="289">
        <v>45835</v>
      </c>
      <c r="G164" s="290" t="s">
        <v>959</v>
      </c>
      <c r="H164" s="291" t="s">
        <v>2597</v>
      </c>
      <c r="I164" s="290" t="s">
        <v>853</v>
      </c>
      <c r="J164" s="387">
        <v>6122504864</v>
      </c>
      <c r="K164" s="289">
        <v>45835</v>
      </c>
      <c r="L164" s="291" t="s">
        <v>996</v>
      </c>
      <c r="M164" s="289">
        <v>45837</v>
      </c>
      <c r="N164" s="291" t="s">
        <v>255</v>
      </c>
      <c r="O164" s="290" t="s">
        <v>981</v>
      </c>
      <c r="P164" s="291" t="s">
        <v>500</v>
      </c>
      <c r="Q164" s="291" t="s">
        <v>2607</v>
      </c>
      <c r="R164" s="458">
        <v>8280</v>
      </c>
      <c r="S164" s="404">
        <v>34.200000000000003</v>
      </c>
      <c r="T164" s="459">
        <f t="shared" si="38"/>
        <v>283176</v>
      </c>
      <c r="U164" s="409" t="s">
        <v>2756</v>
      </c>
      <c r="V164" s="288" t="s">
        <v>313</v>
      </c>
      <c r="W164" s="296" t="str">
        <f t="shared" si="47"/>
        <v>Nov-25</v>
      </c>
      <c r="X164" s="293" t="s">
        <v>2619</v>
      </c>
      <c r="Y164" s="293" t="s">
        <v>2333</v>
      </c>
      <c r="Z164" s="318">
        <v>45982</v>
      </c>
      <c r="AA164" s="293" t="s">
        <v>2334</v>
      </c>
      <c r="AB164" s="293" t="s">
        <v>1497</v>
      </c>
      <c r="AC164" s="298" t="s">
        <v>500</v>
      </c>
      <c r="AD164" s="298" t="s">
        <v>2685</v>
      </c>
      <c r="AE164" s="512">
        <v>31360</v>
      </c>
      <c r="AF164" s="513">
        <v>35</v>
      </c>
      <c r="AG164" s="514">
        <f t="shared" si="39"/>
        <v>1097600</v>
      </c>
      <c r="AH164" s="514">
        <v>-6300</v>
      </c>
      <c r="AI164" s="514">
        <f t="shared" si="40"/>
        <v>1091300</v>
      </c>
      <c r="AJ164" s="514">
        <v>0</v>
      </c>
      <c r="AK164" s="514">
        <f t="shared" si="41"/>
        <v>31360</v>
      </c>
      <c r="AL164" s="514">
        <f t="shared" si="42"/>
        <v>1072512</v>
      </c>
      <c r="AM164" s="515">
        <f t="shared" si="43"/>
        <v>18788</v>
      </c>
      <c r="AN164" s="299">
        <f t="shared" si="44"/>
        <v>1.721616420782553E-2</v>
      </c>
      <c r="AO164" s="296">
        <f t="shared" si="48"/>
        <v>1072512</v>
      </c>
      <c r="AP164" s="274">
        <f t="shared" si="50"/>
        <v>147</v>
      </c>
      <c r="AQ164" s="275">
        <f t="shared" si="51"/>
        <v>10663.322005479451</v>
      </c>
      <c r="AR164" s="275">
        <f t="shared" si="49"/>
        <v>8124.677994520549</v>
      </c>
      <c r="AS164" s="280">
        <f t="shared" si="52"/>
        <v>7.4449537198942074E-3</v>
      </c>
    </row>
    <row r="165" spans="2:45" x14ac:dyDescent="0.3">
      <c r="B165" s="287">
        <f t="shared" si="45"/>
        <v>161</v>
      </c>
      <c r="C165" s="272" t="s">
        <v>174</v>
      </c>
      <c r="D165" s="288" t="str">
        <f t="shared" si="46"/>
        <v>Jun-25</v>
      </c>
      <c r="E165" s="288" t="s">
        <v>107</v>
      </c>
      <c r="F165" s="289">
        <v>45835</v>
      </c>
      <c r="G165" s="290" t="s">
        <v>958</v>
      </c>
      <c r="H165" s="291" t="s">
        <v>2598</v>
      </c>
      <c r="I165" s="290" t="s">
        <v>401</v>
      </c>
      <c r="J165" s="387">
        <v>8252000667</v>
      </c>
      <c r="K165" s="289">
        <v>45835</v>
      </c>
      <c r="L165" s="291" t="s">
        <v>995</v>
      </c>
      <c r="M165" s="289">
        <v>45837</v>
      </c>
      <c r="N165" s="291" t="s">
        <v>255</v>
      </c>
      <c r="O165" s="290" t="s">
        <v>944</v>
      </c>
      <c r="P165" s="291" t="s">
        <v>501</v>
      </c>
      <c r="Q165" s="291" t="s">
        <v>2608</v>
      </c>
      <c r="R165" s="458">
        <v>26060</v>
      </c>
      <c r="S165" s="404">
        <v>34.299999999999997</v>
      </c>
      <c r="T165" s="459">
        <f t="shared" si="38"/>
        <v>893857.99999999988</v>
      </c>
      <c r="U165" s="298" t="s">
        <v>107</v>
      </c>
      <c r="V165" s="288" t="s">
        <v>313</v>
      </c>
      <c r="W165" s="296" t="str">
        <f t="shared" si="47"/>
        <v>Nov-25</v>
      </c>
      <c r="X165" s="293" t="s">
        <v>2619</v>
      </c>
      <c r="Y165" s="293" t="s">
        <v>2550</v>
      </c>
      <c r="Z165" s="318">
        <v>45985</v>
      </c>
      <c r="AA165" s="484" t="s">
        <v>2551</v>
      </c>
      <c r="AB165" s="293" t="s">
        <v>2627</v>
      </c>
      <c r="AC165" s="298" t="s">
        <v>500</v>
      </c>
      <c r="AD165" s="298" t="s">
        <v>2630</v>
      </c>
      <c r="AE165" s="512">
        <v>25755</v>
      </c>
      <c r="AF165" s="513">
        <v>35</v>
      </c>
      <c r="AG165" s="514">
        <f t="shared" si="39"/>
        <v>901425</v>
      </c>
      <c r="AH165" s="514">
        <v>-901425</v>
      </c>
      <c r="AI165" s="514">
        <f t="shared" si="40"/>
        <v>0</v>
      </c>
      <c r="AJ165" s="514">
        <v>25755</v>
      </c>
      <c r="AK165" s="514">
        <f t="shared" si="41"/>
        <v>0</v>
      </c>
      <c r="AL165" s="514">
        <f t="shared" si="42"/>
        <v>883396.49999999988</v>
      </c>
      <c r="AM165" s="515">
        <f t="shared" si="43"/>
        <v>-883396.49999999988</v>
      </c>
      <c r="AN165" s="299">
        <f t="shared" si="44"/>
        <v>0</v>
      </c>
      <c r="AO165" s="296">
        <f t="shared" si="48"/>
        <v>883396.49999999988</v>
      </c>
      <c r="AP165" s="274">
        <f t="shared" si="50"/>
        <v>150</v>
      </c>
      <c r="AQ165" s="275">
        <f t="shared" si="51"/>
        <v>34346.187534246565</v>
      </c>
      <c r="AR165" s="275">
        <f t="shared" si="49"/>
        <v>-917742.68753424648</v>
      </c>
      <c r="AS165" s="280">
        <f t="shared" si="52"/>
        <v>0</v>
      </c>
    </row>
    <row r="166" spans="2:45" x14ac:dyDescent="0.3">
      <c r="B166" s="287">
        <f t="shared" si="45"/>
        <v>162</v>
      </c>
      <c r="C166" s="272" t="s">
        <v>174</v>
      </c>
      <c r="D166" s="288" t="str">
        <f t="shared" si="46"/>
        <v>Jun-25</v>
      </c>
      <c r="E166" s="288" t="s">
        <v>107</v>
      </c>
      <c r="F166" s="289">
        <v>45836</v>
      </c>
      <c r="G166" s="290" t="s">
        <v>955</v>
      </c>
      <c r="H166" s="291" t="s">
        <v>2597</v>
      </c>
      <c r="I166" s="290" t="s">
        <v>853</v>
      </c>
      <c r="J166" s="387">
        <v>6122504912</v>
      </c>
      <c r="K166" s="289">
        <v>45836</v>
      </c>
      <c r="L166" s="291" t="s">
        <v>990</v>
      </c>
      <c r="M166" s="289">
        <v>45837</v>
      </c>
      <c r="N166" s="291" t="s">
        <v>255</v>
      </c>
      <c r="O166" s="290" t="s">
        <v>708</v>
      </c>
      <c r="P166" s="291" t="s">
        <v>500</v>
      </c>
      <c r="Q166" s="291" t="s">
        <v>2607</v>
      </c>
      <c r="R166" s="458">
        <v>5225</v>
      </c>
      <c r="S166" s="404">
        <v>34.200000000000003</v>
      </c>
      <c r="T166" s="459">
        <f t="shared" si="38"/>
        <v>178695.00000000003</v>
      </c>
      <c r="U166" s="409" t="s">
        <v>107</v>
      </c>
      <c r="V166" s="288" t="s">
        <v>313</v>
      </c>
      <c r="W166" s="296" t="str">
        <f t="shared" si="47"/>
        <v>Dec-25</v>
      </c>
      <c r="X166" s="293" t="s">
        <v>2619</v>
      </c>
      <c r="Y166" s="293" t="s">
        <v>2338</v>
      </c>
      <c r="Z166" s="318">
        <v>45995</v>
      </c>
      <c r="AA166" s="293" t="s">
        <v>2339</v>
      </c>
      <c r="AB166" s="293" t="s">
        <v>2627</v>
      </c>
      <c r="AC166" s="298" t="s">
        <v>500</v>
      </c>
      <c r="AD166" s="298" t="s">
        <v>2630</v>
      </c>
      <c r="AE166" s="512">
        <v>24195</v>
      </c>
      <c r="AF166" s="513">
        <v>35</v>
      </c>
      <c r="AG166" s="514">
        <f t="shared" si="39"/>
        <v>846825</v>
      </c>
      <c r="AH166" s="514">
        <v>0</v>
      </c>
      <c r="AI166" s="514">
        <f t="shared" si="40"/>
        <v>846825</v>
      </c>
      <c r="AJ166" s="514">
        <v>0</v>
      </c>
      <c r="AK166" s="514">
        <f t="shared" si="41"/>
        <v>24195</v>
      </c>
      <c r="AL166" s="514">
        <f t="shared" si="42"/>
        <v>827469.00000000012</v>
      </c>
      <c r="AM166" s="515">
        <f t="shared" si="43"/>
        <v>19355.999999999884</v>
      </c>
      <c r="AN166" s="299">
        <f t="shared" si="44"/>
        <v>2.2857142857142718E-2</v>
      </c>
      <c r="AO166" s="296">
        <f t="shared" si="48"/>
        <v>827469.00000000012</v>
      </c>
      <c r="AP166" s="274">
        <f t="shared" si="50"/>
        <v>159</v>
      </c>
      <c r="AQ166" s="275">
        <f t="shared" si="51"/>
        <v>7278.2718287671241</v>
      </c>
      <c r="AR166" s="275">
        <f t="shared" si="49"/>
        <v>12077.72817123276</v>
      </c>
      <c r="AS166" s="280">
        <f t="shared" si="52"/>
        <v>1.4262366098347074E-2</v>
      </c>
    </row>
    <row r="167" spans="2:45" x14ac:dyDescent="0.3">
      <c r="B167" s="287">
        <f t="shared" si="45"/>
        <v>163</v>
      </c>
      <c r="C167" s="272" t="s">
        <v>174</v>
      </c>
      <c r="D167" s="288" t="str">
        <f t="shared" si="46"/>
        <v>Jun-25</v>
      </c>
      <c r="E167" s="288" t="s">
        <v>107</v>
      </c>
      <c r="F167" s="289">
        <v>45836</v>
      </c>
      <c r="G167" s="290" t="s">
        <v>956</v>
      </c>
      <c r="H167" s="291" t="s">
        <v>2597</v>
      </c>
      <c r="I167" s="290" t="s">
        <v>853</v>
      </c>
      <c r="J167" s="387">
        <v>6122504905</v>
      </c>
      <c r="K167" s="289">
        <v>45836</v>
      </c>
      <c r="L167" s="291" t="s">
        <v>991</v>
      </c>
      <c r="M167" s="289">
        <v>45837</v>
      </c>
      <c r="N167" s="291" t="s">
        <v>255</v>
      </c>
      <c r="O167" s="290" t="s">
        <v>992</v>
      </c>
      <c r="P167" s="291" t="s">
        <v>500</v>
      </c>
      <c r="Q167" s="291" t="s">
        <v>2607</v>
      </c>
      <c r="R167" s="458">
        <v>5665</v>
      </c>
      <c r="S167" s="404">
        <v>34.200000000000003</v>
      </c>
      <c r="T167" s="459">
        <f t="shared" si="38"/>
        <v>193743.00000000003</v>
      </c>
      <c r="U167" s="409" t="s">
        <v>107</v>
      </c>
      <c r="V167" s="288" t="s">
        <v>313</v>
      </c>
      <c r="W167" s="296" t="str">
        <f t="shared" si="47"/>
        <v>Dec-25</v>
      </c>
      <c r="X167" s="293" t="s">
        <v>2619</v>
      </c>
      <c r="Y167" s="293" t="s">
        <v>2349</v>
      </c>
      <c r="Z167" s="318">
        <v>45996</v>
      </c>
      <c r="AA167" s="293" t="s">
        <v>2341</v>
      </c>
      <c r="AB167" s="293" t="s">
        <v>2629</v>
      </c>
      <c r="AC167" s="298" t="s">
        <v>500</v>
      </c>
      <c r="AD167" s="298" t="s">
        <v>2630</v>
      </c>
      <c r="AE167" s="512">
        <v>24830</v>
      </c>
      <c r="AF167" s="513">
        <v>32.5</v>
      </c>
      <c r="AG167" s="514">
        <f t="shared" si="39"/>
        <v>806975</v>
      </c>
      <c r="AH167" s="514">
        <v>-20800</v>
      </c>
      <c r="AI167" s="514">
        <f t="shared" si="40"/>
        <v>786175</v>
      </c>
      <c r="AJ167" s="514">
        <v>0</v>
      </c>
      <c r="AK167" s="514">
        <f t="shared" si="41"/>
        <v>24830</v>
      </c>
      <c r="AL167" s="514">
        <f t="shared" si="42"/>
        <v>849186.00000000012</v>
      </c>
      <c r="AM167" s="515">
        <f t="shared" si="43"/>
        <v>-63011.000000000116</v>
      </c>
      <c r="AN167" s="299">
        <f t="shared" si="44"/>
        <v>-8.0148821827201469E-2</v>
      </c>
      <c r="AO167" s="296">
        <f t="shared" si="48"/>
        <v>849186.00000000012</v>
      </c>
      <c r="AP167" s="274">
        <f t="shared" si="50"/>
        <v>160</v>
      </c>
      <c r="AQ167" s="275">
        <f t="shared" si="51"/>
        <v>7940.8089863013702</v>
      </c>
      <c r="AR167" s="275">
        <f t="shared" si="49"/>
        <v>-70951.80898630149</v>
      </c>
      <c r="AS167" s="280">
        <f t="shared" si="52"/>
        <v>-9.0249383389578011E-2</v>
      </c>
    </row>
    <row r="168" spans="2:45" x14ac:dyDescent="0.3">
      <c r="B168" s="287">
        <f t="shared" si="45"/>
        <v>164</v>
      </c>
      <c r="C168" s="272" t="s">
        <v>174</v>
      </c>
      <c r="D168" s="288" t="str">
        <f t="shared" si="46"/>
        <v>Jun-25</v>
      </c>
      <c r="E168" s="288" t="s">
        <v>107</v>
      </c>
      <c r="F168" s="289">
        <v>45836</v>
      </c>
      <c r="G168" s="290" t="s">
        <v>957</v>
      </c>
      <c r="H168" s="291" t="s">
        <v>2597</v>
      </c>
      <c r="I168" s="290" t="s">
        <v>853</v>
      </c>
      <c r="J168" s="387">
        <v>6122504915</v>
      </c>
      <c r="K168" s="289">
        <v>45836</v>
      </c>
      <c r="L168" s="291" t="s">
        <v>993</v>
      </c>
      <c r="M168" s="289">
        <v>45837</v>
      </c>
      <c r="N168" s="291" t="s">
        <v>255</v>
      </c>
      <c r="O168" s="290" t="s">
        <v>994</v>
      </c>
      <c r="P168" s="291" t="s">
        <v>500</v>
      </c>
      <c r="Q168" s="291" t="s">
        <v>2607</v>
      </c>
      <c r="R168" s="458">
        <v>7170</v>
      </c>
      <c r="S168" s="404">
        <v>34.200000000000003</v>
      </c>
      <c r="T168" s="459">
        <f t="shared" si="38"/>
        <v>245214.00000000003</v>
      </c>
      <c r="U168" s="409" t="s">
        <v>107</v>
      </c>
      <c r="V168" s="288" t="s">
        <v>313</v>
      </c>
      <c r="W168" s="296" t="str">
        <f t="shared" si="47"/>
        <v>Dec-25</v>
      </c>
      <c r="X168" s="293" t="s">
        <v>2619</v>
      </c>
      <c r="Y168" s="293" t="s">
        <v>2350</v>
      </c>
      <c r="Z168" s="318">
        <v>45997</v>
      </c>
      <c r="AA168" s="293" t="s">
        <v>2342</v>
      </c>
      <c r="AB168" s="293" t="s">
        <v>2629</v>
      </c>
      <c r="AC168" s="298" t="s">
        <v>500</v>
      </c>
      <c r="AD168" s="298" t="s">
        <v>2630</v>
      </c>
      <c r="AE168" s="512">
        <v>23870</v>
      </c>
      <c r="AF168" s="513">
        <v>32.5</v>
      </c>
      <c r="AG168" s="514">
        <f t="shared" si="39"/>
        <v>775775</v>
      </c>
      <c r="AH168" s="514">
        <v>-10400</v>
      </c>
      <c r="AI168" s="514">
        <f t="shared" si="40"/>
        <v>765375</v>
      </c>
      <c r="AJ168" s="514">
        <v>0</v>
      </c>
      <c r="AK168" s="514">
        <f t="shared" si="41"/>
        <v>23870</v>
      </c>
      <c r="AL168" s="514">
        <f t="shared" si="42"/>
        <v>816354.00000000012</v>
      </c>
      <c r="AM168" s="515">
        <f t="shared" si="43"/>
        <v>-50979.000000000116</v>
      </c>
      <c r="AN168" s="299">
        <f t="shared" si="44"/>
        <v>-6.6606565409113333E-2</v>
      </c>
      <c r="AO168" s="296">
        <f t="shared" si="48"/>
        <v>816354.00000000012</v>
      </c>
      <c r="AP168" s="274">
        <f t="shared" si="50"/>
        <v>161</v>
      </c>
      <c r="AQ168" s="275">
        <f t="shared" si="51"/>
        <v>10113.229997260276</v>
      </c>
      <c r="AR168" s="275">
        <f t="shared" si="49"/>
        <v>-61092.229997260394</v>
      </c>
      <c r="AS168" s="280">
        <f t="shared" si="52"/>
        <v>-7.9819996730047874E-2</v>
      </c>
    </row>
    <row r="169" spans="2:45" x14ac:dyDescent="0.3">
      <c r="B169" s="287">
        <f t="shared" si="45"/>
        <v>165</v>
      </c>
      <c r="C169" s="272" t="s">
        <v>174</v>
      </c>
      <c r="D169" s="288" t="str">
        <f t="shared" si="46"/>
        <v>Jun-25</v>
      </c>
      <c r="E169" s="288" t="s">
        <v>107</v>
      </c>
      <c r="F169" s="289">
        <v>45836</v>
      </c>
      <c r="G169" s="290" t="s">
        <v>960</v>
      </c>
      <c r="H169" s="291" t="s">
        <v>2598</v>
      </c>
      <c r="I169" s="290" t="s">
        <v>401</v>
      </c>
      <c r="J169" s="387">
        <v>8252000683</v>
      </c>
      <c r="K169" s="289">
        <v>45836</v>
      </c>
      <c r="L169" s="291" t="s">
        <v>997</v>
      </c>
      <c r="M169" s="289">
        <v>45837</v>
      </c>
      <c r="N169" s="291" t="s">
        <v>255</v>
      </c>
      <c r="O169" s="290" t="s">
        <v>452</v>
      </c>
      <c r="P169" s="291" t="s">
        <v>501</v>
      </c>
      <c r="Q169" s="291" t="s">
        <v>2608</v>
      </c>
      <c r="R169" s="458">
        <v>31550</v>
      </c>
      <c r="S169" s="404">
        <v>34.299999999999997</v>
      </c>
      <c r="T169" s="459">
        <f t="shared" si="38"/>
        <v>1082165</v>
      </c>
      <c r="U169" s="409" t="s">
        <v>107</v>
      </c>
      <c r="V169" s="288" t="s">
        <v>313</v>
      </c>
      <c r="W169" s="296" t="str">
        <f t="shared" si="47"/>
        <v>Dec-25</v>
      </c>
      <c r="X169" s="293" t="s">
        <v>2619</v>
      </c>
      <c r="Y169" s="293" t="s">
        <v>2351</v>
      </c>
      <c r="Z169" s="318">
        <v>45999</v>
      </c>
      <c r="AA169" s="293" t="s">
        <v>2343</v>
      </c>
      <c r="AB169" s="293" t="s">
        <v>2629</v>
      </c>
      <c r="AC169" s="298" t="s">
        <v>500</v>
      </c>
      <c r="AD169" s="298" t="s">
        <v>2630</v>
      </c>
      <c r="AE169" s="512">
        <v>24890</v>
      </c>
      <c r="AF169" s="513">
        <v>32.5</v>
      </c>
      <c r="AG169" s="514">
        <f t="shared" si="39"/>
        <v>808925</v>
      </c>
      <c r="AH169" s="514">
        <v>-6825</v>
      </c>
      <c r="AI169" s="514">
        <f t="shared" si="40"/>
        <v>802100</v>
      </c>
      <c r="AJ169" s="514">
        <v>0</v>
      </c>
      <c r="AK169" s="514">
        <f t="shared" si="41"/>
        <v>24890</v>
      </c>
      <c r="AL169" s="514">
        <f t="shared" si="42"/>
        <v>853726.99999999988</v>
      </c>
      <c r="AM169" s="515">
        <f t="shared" si="43"/>
        <v>-51626.999999999884</v>
      </c>
      <c r="AN169" s="299">
        <f t="shared" si="44"/>
        <v>-6.4364792419897621E-2</v>
      </c>
      <c r="AO169" s="296">
        <f t="shared" si="48"/>
        <v>853726.99999999988</v>
      </c>
      <c r="AP169" s="274">
        <f t="shared" si="50"/>
        <v>163</v>
      </c>
      <c r="AQ169" s="275">
        <f t="shared" si="51"/>
        <v>45185.577212328768</v>
      </c>
      <c r="AR169" s="275">
        <f t="shared" si="49"/>
        <v>-96812.577212328644</v>
      </c>
      <c r="AS169" s="280">
        <f t="shared" si="52"/>
        <v>-0.12069888693720066</v>
      </c>
    </row>
    <row r="170" spans="2:45" x14ac:dyDescent="0.3">
      <c r="B170" s="287">
        <f t="shared" si="45"/>
        <v>166</v>
      </c>
      <c r="C170" s="272" t="s">
        <v>174</v>
      </c>
      <c r="D170" s="288" t="str">
        <f t="shared" si="46"/>
        <v>Jun-25</v>
      </c>
      <c r="E170" s="288" t="s">
        <v>107</v>
      </c>
      <c r="F170" s="289">
        <v>45837</v>
      </c>
      <c r="G170" s="290" t="s">
        <v>1369</v>
      </c>
      <c r="H170" s="291" t="s">
        <v>2598</v>
      </c>
      <c r="I170" s="290" t="s">
        <v>401</v>
      </c>
      <c r="J170" s="387">
        <v>4252001199</v>
      </c>
      <c r="K170" s="289">
        <v>45837</v>
      </c>
      <c r="L170" s="291" t="s">
        <v>1388</v>
      </c>
      <c r="M170" s="289">
        <v>45839</v>
      </c>
      <c r="N170" s="291" t="s">
        <v>255</v>
      </c>
      <c r="O170" s="290" t="s">
        <v>944</v>
      </c>
      <c r="P170" s="291" t="s">
        <v>501</v>
      </c>
      <c r="Q170" s="291" t="s">
        <v>2608</v>
      </c>
      <c r="R170" s="458">
        <v>7140</v>
      </c>
      <c r="S170" s="404">
        <v>34.299999999999997</v>
      </c>
      <c r="T170" s="459">
        <f t="shared" si="38"/>
        <v>244901.99999999997</v>
      </c>
      <c r="U170" s="409" t="s">
        <v>107</v>
      </c>
      <c r="V170" s="288" t="s">
        <v>313</v>
      </c>
      <c r="W170" s="296" t="str">
        <f t="shared" si="47"/>
        <v>Dec-25</v>
      </c>
      <c r="X170" s="293" t="s">
        <v>2619</v>
      </c>
      <c r="Y170" s="293" t="s">
        <v>2352</v>
      </c>
      <c r="Z170" s="318">
        <v>46003</v>
      </c>
      <c r="AA170" s="293" t="s">
        <v>2344</v>
      </c>
      <c r="AB170" s="293" t="s">
        <v>2629</v>
      </c>
      <c r="AC170" s="298" t="s">
        <v>500</v>
      </c>
      <c r="AD170" s="298" t="s">
        <v>2630</v>
      </c>
      <c r="AE170" s="512">
        <v>23950</v>
      </c>
      <c r="AF170" s="513">
        <v>32.5</v>
      </c>
      <c r="AG170" s="514">
        <f t="shared" si="39"/>
        <v>778375</v>
      </c>
      <c r="AH170" s="514">
        <v>-6500</v>
      </c>
      <c r="AI170" s="514">
        <f t="shared" si="40"/>
        <v>771875</v>
      </c>
      <c r="AJ170" s="514">
        <v>0</v>
      </c>
      <c r="AK170" s="514">
        <f t="shared" si="41"/>
        <v>23950</v>
      </c>
      <c r="AL170" s="514">
        <f t="shared" si="42"/>
        <v>821484.99999999988</v>
      </c>
      <c r="AM170" s="515">
        <f t="shared" si="43"/>
        <v>-49609.999999999884</v>
      </c>
      <c r="AN170" s="299">
        <f t="shared" si="44"/>
        <v>-6.4272064777327789E-2</v>
      </c>
      <c r="AO170" s="296">
        <f t="shared" si="48"/>
        <v>821484.99999999988</v>
      </c>
      <c r="AP170" s="274">
        <f t="shared" si="50"/>
        <v>166</v>
      </c>
      <c r="AQ170" s="275">
        <f t="shared" si="51"/>
        <v>10414.038197260272</v>
      </c>
      <c r="AR170" s="275">
        <f t="shared" si="49"/>
        <v>-60024.038197260154</v>
      </c>
      <c r="AS170" s="280">
        <f t="shared" si="52"/>
        <v>-7.7763936126005059E-2</v>
      </c>
    </row>
    <row r="171" spans="2:45" x14ac:dyDescent="0.3">
      <c r="B171" s="287">
        <f t="shared" si="45"/>
        <v>167</v>
      </c>
      <c r="C171" s="272" t="s">
        <v>174</v>
      </c>
      <c r="D171" s="288" t="str">
        <f t="shared" si="46"/>
        <v>Jun-25</v>
      </c>
      <c r="E171" s="288" t="s">
        <v>107</v>
      </c>
      <c r="F171" s="289">
        <v>45837</v>
      </c>
      <c r="G171" s="290" t="s">
        <v>1371</v>
      </c>
      <c r="H171" s="291" t="s">
        <v>2598</v>
      </c>
      <c r="I171" s="290" t="s">
        <v>401</v>
      </c>
      <c r="J171" s="387">
        <v>8252000693</v>
      </c>
      <c r="K171" s="289">
        <v>45837</v>
      </c>
      <c r="L171" s="291" t="s">
        <v>1391</v>
      </c>
      <c r="M171" s="289">
        <v>45839</v>
      </c>
      <c r="N171" s="291" t="s">
        <v>255</v>
      </c>
      <c r="O171" s="290" t="s">
        <v>944</v>
      </c>
      <c r="P171" s="291" t="s">
        <v>501</v>
      </c>
      <c r="Q171" s="291" t="s">
        <v>2608</v>
      </c>
      <c r="R171" s="458">
        <v>15970</v>
      </c>
      <c r="S171" s="404">
        <v>34.299999999999997</v>
      </c>
      <c r="T171" s="459">
        <f t="shared" si="38"/>
        <v>547771</v>
      </c>
      <c r="U171" s="409" t="s">
        <v>107</v>
      </c>
      <c r="V171" s="288" t="s">
        <v>313</v>
      </c>
      <c r="W171" s="296" t="str">
        <f t="shared" si="47"/>
        <v>Dec-25</v>
      </c>
      <c r="X171" s="293" t="s">
        <v>2619</v>
      </c>
      <c r="Y171" s="293" t="s">
        <v>2365</v>
      </c>
      <c r="Z171" s="318">
        <v>46008</v>
      </c>
      <c r="AA171" s="293" t="s">
        <v>2361</v>
      </c>
      <c r="AB171" s="293" t="s">
        <v>2629</v>
      </c>
      <c r="AC171" s="298" t="s">
        <v>500</v>
      </c>
      <c r="AD171" s="298" t="s">
        <v>2630</v>
      </c>
      <c r="AE171" s="512">
        <v>23270</v>
      </c>
      <c r="AF171" s="513">
        <v>32.5</v>
      </c>
      <c r="AG171" s="514">
        <f t="shared" si="39"/>
        <v>756275</v>
      </c>
      <c r="AH171" s="514">
        <v>-6500</v>
      </c>
      <c r="AI171" s="514">
        <f t="shared" si="40"/>
        <v>749775</v>
      </c>
      <c r="AJ171" s="514">
        <v>0</v>
      </c>
      <c r="AK171" s="514">
        <f t="shared" si="41"/>
        <v>23270</v>
      </c>
      <c r="AL171" s="514">
        <f t="shared" si="42"/>
        <v>798160.99999999988</v>
      </c>
      <c r="AM171" s="515">
        <f t="shared" si="43"/>
        <v>-48385.999999999884</v>
      </c>
      <c r="AN171" s="299">
        <f t="shared" si="44"/>
        <v>-6.4534026874728936E-2</v>
      </c>
      <c r="AO171" s="296">
        <f t="shared" si="48"/>
        <v>798160.99999999988</v>
      </c>
      <c r="AP171" s="274">
        <f t="shared" ref="AP171:AP202" si="53">(Z171-K171)</f>
        <v>171</v>
      </c>
      <c r="AQ171" s="275">
        <f t="shared" ref="AQ171:AQ202" si="54">T171*9.35%*AP171/365</f>
        <v>23994.620913698633</v>
      </c>
      <c r="AR171" s="275">
        <f t="shared" si="49"/>
        <v>-72380.620913698513</v>
      </c>
      <c r="AS171" s="280">
        <f t="shared" si="52"/>
        <v>-9.6536455488244494E-2</v>
      </c>
    </row>
    <row r="172" spans="2:45" x14ac:dyDescent="0.3">
      <c r="B172" s="287">
        <f t="shared" si="45"/>
        <v>168</v>
      </c>
      <c r="C172" s="272" t="s">
        <v>174</v>
      </c>
      <c r="D172" s="288" t="str">
        <f t="shared" si="46"/>
        <v>Jun-25</v>
      </c>
      <c r="E172" s="288" t="s">
        <v>107</v>
      </c>
      <c r="F172" s="289">
        <v>45838</v>
      </c>
      <c r="G172" s="290" t="s">
        <v>1367</v>
      </c>
      <c r="H172" s="291" t="s">
        <v>2592</v>
      </c>
      <c r="I172" s="290" t="s">
        <v>254</v>
      </c>
      <c r="J172" s="387" t="s">
        <v>1385</v>
      </c>
      <c r="K172" s="289">
        <v>45838</v>
      </c>
      <c r="L172" s="291" t="s">
        <v>1386</v>
      </c>
      <c r="M172" s="289">
        <v>45839</v>
      </c>
      <c r="N172" s="291" t="s">
        <v>255</v>
      </c>
      <c r="O172" s="290" t="s">
        <v>1387</v>
      </c>
      <c r="P172" s="291" t="s">
        <v>500</v>
      </c>
      <c r="Q172" s="291" t="s">
        <v>757</v>
      </c>
      <c r="R172" s="458">
        <v>3190</v>
      </c>
      <c r="S172" s="404">
        <v>31.120999999999999</v>
      </c>
      <c r="T172" s="459">
        <f t="shared" si="38"/>
        <v>99275.989999999991</v>
      </c>
      <c r="U172" s="409" t="s">
        <v>107</v>
      </c>
      <c r="V172" s="288" t="s">
        <v>313</v>
      </c>
      <c r="W172" s="296" t="str">
        <f t="shared" si="47"/>
        <v>Dec-25</v>
      </c>
      <c r="X172" s="293" t="s">
        <v>2619</v>
      </c>
      <c r="Y172" s="293" t="s">
        <v>2366</v>
      </c>
      <c r="Z172" s="318">
        <v>46008</v>
      </c>
      <c r="AA172" s="293" t="s">
        <v>2362</v>
      </c>
      <c r="AB172" s="293" t="s">
        <v>2629</v>
      </c>
      <c r="AC172" s="298" t="s">
        <v>500</v>
      </c>
      <c r="AD172" s="298" t="s">
        <v>2630</v>
      </c>
      <c r="AE172" s="512">
        <v>23750</v>
      </c>
      <c r="AF172" s="513">
        <v>32.5</v>
      </c>
      <c r="AG172" s="514">
        <f t="shared" si="39"/>
        <v>771875</v>
      </c>
      <c r="AH172" s="514">
        <v>-7150</v>
      </c>
      <c r="AI172" s="514">
        <f t="shared" si="40"/>
        <v>764725</v>
      </c>
      <c r="AJ172" s="514">
        <v>0</v>
      </c>
      <c r="AK172" s="514">
        <f t="shared" si="41"/>
        <v>23750</v>
      </c>
      <c r="AL172" s="514">
        <f t="shared" si="42"/>
        <v>739123.75</v>
      </c>
      <c r="AM172" s="515">
        <f t="shared" si="43"/>
        <v>25601.25</v>
      </c>
      <c r="AN172" s="299">
        <f t="shared" si="44"/>
        <v>3.347772074928896E-2</v>
      </c>
      <c r="AO172" s="296">
        <f t="shared" si="48"/>
        <v>739123.75</v>
      </c>
      <c r="AP172" s="274">
        <f t="shared" si="53"/>
        <v>170</v>
      </c>
      <c r="AQ172" s="275">
        <f t="shared" si="54"/>
        <v>4323.2653727397255</v>
      </c>
      <c r="AR172" s="275">
        <f t="shared" si="49"/>
        <v>21277.984627260274</v>
      </c>
      <c r="AS172" s="280">
        <f t="shared" si="52"/>
        <v>2.7824361211233155E-2</v>
      </c>
    </row>
    <row r="173" spans="2:45" x14ac:dyDescent="0.3">
      <c r="B173" s="287">
        <f t="shared" si="45"/>
        <v>169</v>
      </c>
      <c r="C173" s="272" t="s">
        <v>174</v>
      </c>
      <c r="D173" s="288" t="str">
        <f t="shared" si="46"/>
        <v>Jun-25</v>
      </c>
      <c r="E173" s="288" t="s">
        <v>107</v>
      </c>
      <c r="F173" s="289">
        <v>45838</v>
      </c>
      <c r="G173" s="290" t="s">
        <v>1368</v>
      </c>
      <c r="H173" s="291" t="s">
        <v>406</v>
      </c>
      <c r="I173" s="290" t="s">
        <v>853</v>
      </c>
      <c r="J173" s="387">
        <v>6122504982</v>
      </c>
      <c r="K173" s="289">
        <v>45838</v>
      </c>
      <c r="L173" s="291" t="s">
        <v>2727</v>
      </c>
      <c r="M173" s="289">
        <v>45839</v>
      </c>
      <c r="N173" s="291" t="s">
        <v>255</v>
      </c>
      <c r="O173" s="290" t="s">
        <v>704</v>
      </c>
      <c r="P173" s="291" t="s">
        <v>501</v>
      </c>
      <c r="Q173" s="291" t="s">
        <v>257</v>
      </c>
      <c r="R173" s="458">
        <v>11005</v>
      </c>
      <c r="S173" s="404">
        <v>34.200000000000003</v>
      </c>
      <c r="T173" s="459">
        <f t="shared" si="38"/>
        <v>376371.00000000006</v>
      </c>
      <c r="U173" s="298" t="s">
        <v>107</v>
      </c>
      <c r="V173" s="288" t="s">
        <v>313</v>
      </c>
      <c r="W173" s="296" t="str">
        <f t="shared" si="47"/>
        <v>Dec-25</v>
      </c>
      <c r="X173" s="293" t="s">
        <v>2619</v>
      </c>
      <c r="Y173" s="293" t="s">
        <v>2367</v>
      </c>
      <c r="Z173" s="318">
        <v>46010</v>
      </c>
      <c r="AA173" s="293" t="s">
        <v>2363</v>
      </c>
      <c r="AB173" s="293" t="s">
        <v>2629</v>
      </c>
      <c r="AC173" s="298" t="s">
        <v>500</v>
      </c>
      <c r="AD173" s="298" t="s">
        <v>2630</v>
      </c>
      <c r="AE173" s="512">
        <v>23470</v>
      </c>
      <c r="AF173" s="513">
        <v>32.5</v>
      </c>
      <c r="AG173" s="514">
        <f t="shared" si="39"/>
        <v>762775</v>
      </c>
      <c r="AH173" s="514">
        <v>-6175</v>
      </c>
      <c r="AI173" s="514">
        <f t="shared" si="40"/>
        <v>756600</v>
      </c>
      <c r="AJ173" s="514">
        <v>0</v>
      </c>
      <c r="AK173" s="514">
        <f t="shared" si="41"/>
        <v>23470</v>
      </c>
      <c r="AL173" s="514">
        <f t="shared" si="42"/>
        <v>802674.00000000012</v>
      </c>
      <c r="AM173" s="515">
        <f t="shared" si="43"/>
        <v>-46074.000000000116</v>
      </c>
      <c r="AN173" s="299">
        <f t="shared" si="44"/>
        <v>-6.0896114195083423E-2</v>
      </c>
      <c r="AO173" s="296">
        <f t="shared" si="48"/>
        <v>802674.00000000012</v>
      </c>
      <c r="AP173" s="274">
        <f t="shared" si="53"/>
        <v>172</v>
      </c>
      <c r="AQ173" s="275">
        <f t="shared" si="54"/>
        <v>16583.009375342466</v>
      </c>
      <c r="AR173" s="275">
        <f t="shared" si="49"/>
        <v>-62657.009375342583</v>
      </c>
      <c r="AS173" s="280">
        <f t="shared" si="52"/>
        <v>-8.2813916700162013E-2</v>
      </c>
    </row>
    <row r="174" spans="2:45" x14ac:dyDescent="0.3">
      <c r="B174" s="287">
        <f t="shared" si="45"/>
        <v>170</v>
      </c>
      <c r="C174" s="272" t="s">
        <v>174</v>
      </c>
      <c r="D174" s="288" t="str">
        <f t="shared" si="46"/>
        <v>Jun-25</v>
      </c>
      <c r="E174" s="288" t="s">
        <v>107</v>
      </c>
      <c r="F174" s="289">
        <v>45838</v>
      </c>
      <c r="G174" s="290" t="s">
        <v>1370</v>
      </c>
      <c r="H174" s="291" t="s">
        <v>2597</v>
      </c>
      <c r="I174" s="290" t="s">
        <v>853</v>
      </c>
      <c r="J174" s="387">
        <v>6122505005</v>
      </c>
      <c r="K174" s="289">
        <v>45838</v>
      </c>
      <c r="L174" s="291" t="s">
        <v>1389</v>
      </c>
      <c r="M174" s="289">
        <v>45839</v>
      </c>
      <c r="N174" s="291" t="s">
        <v>255</v>
      </c>
      <c r="O174" s="290" t="s">
        <v>1390</v>
      </c>
      <c r="P174" s="291" t="s">
        <v>500</v>
      </c>
      <c r="Q174" s="291" t="s">
        <v>2607</v>
      </c>
      <c r="R174" s="458">
        <v>8395</v>
      </c>
      <c r="S174" s="404">
        <v>34.200000000000003</v>
      </c>
      <c r="T174" s="459">
        <f t="shared" si="38"/>
        <v>287109</v>
      </c>
      <c r="U174" s="409" t="s">
        <v>107</v>
      </c>
      <c r="V174" s="288" t="s">
        <v>313</v>
      </c>
      <c r="W174" s="296" t="str">
        <f t="shared" si="47"/>
        <v>Dec-25</v>
      </c>
      <c r="X174" s="293" t="s">
        <v>2619</v>
      </c>
      <c r="Y174" s="293" t="s">
        <v>2368</v>
      </c>
      <c r="Z174" s="318">
        <v>46011</v>
      </c>
      <c r="AA174" s="293" t="s">
        <v>2364</v>
      </c>
      <c r="AB174" s="293" t="s">
        <v>2629</v>
      </c>
      <c r="AC174" s="298" t="s">
        <v>500</v>
      </c>
      <c r="AD174" s="298" t="s">
        <v>2630</v>
      </c>
      <c r="AE174" s="512">
        <v>25450</v>
      </c>
      <c r="AF174" s="513">
        <v>32.5</v>
      </c>
      <c r="AG174" s="514">
        <f t="shared" si="39"/>
        <v>827125</v>
      </c>
      <c r="AH174" s="514">
        <v>-7150</v>
      </c>
      <c r="AI174" s="514">
        <f t="shared" si="40"/>
        <v>819975</v>
      </c>
      <c r="AJ174" s="514">
        <v>0</v>
      </c>
      <c r="AK174" s="514">
        <f t="shared" si="41"/>
        <v>25450</v>
      </c>
      <c r="AL174" s="514">
        <f t="shared" si="42"/>
        <v>870390.00000000012</v>
      </c>
      <c r="AM174" s="515">
        <f t="shared" si="43"/>
        <v>-50415.000000000116</v>
      </c>
      <c r="AN174" s="299">
        <f t="shared" si="44"/>
        <v>-6.1483581816518938E-2</v>
      </c>
      <c r="AO174" s="296">
        <f t="shared" si="48"/>
        <v>870390.00000000012</v>
      </c>
      <c r="AP174" s="274">
        <f t="shared" si="53"/>
        <v>173</v>
      </c>
      <c r="AQ174" s="275">
        <f t="shared" si="54"/>
        <v>12723.648299999999</v>
      </c>
      <c r="AR174" s="275">
        <f t="shared" si="49"/>
        <v>-63138.648300000117</v>
      </c>
      <c r="AS174" s="280">
        <f t="shared" si="52"/>
        <v>-7.7000699167657699E-2</v>
      </c>
    </row>
    <row r="175" spans="2:45" x14ac:dyDescent="0.3">
      <c r="B175" s="287">
        <f t="shared" si="45"/>
        <v>171</v>
      </c>
      <c r="C175" s="272" t="s">
        <v>174</v>
      </c>
      <c r="D175" s="288" t="str">
        <f t="shared" si="46"/>
        <v>Jun-25</v>
      </c>
      <c r="E175" s="288" t="s">
        <v>107</v>
      </c>
      <c r="F175" s="289">
        <v>45838</v>
      </c>
      <c r="G175" s="290" t="s">
        <v>1372</v>
      </c>
      <c r="H175" s="291" t="s">
        <v>2597</v>
      </c>
      <c r="I175" s="290" t="s">
        <v>853</v>
      </c>
      <c r="J175" s="387">
        <v>6122504981</v>
      </c>
      <c r="K175" s="289">
        <v>45838</v>
      </c>
      <c r="L175" s="291" t="s">
        <v>1392</v>
      </c>
      <c r="M175" s="289">
        <v>45839</v>
      </c>
      <c r="N175" s="291" t="s">
        <v>255</v>
      </c>
      <c r="O175" s="290" t="s">
        <v>989</v>
      </c>
      <c r="P175" s="291" t="s">
        <v>500</v>
      </c>
      <c r="Q175" s="291" t="s">
        <v>2607</v>
      </c>
      <c r="R175" s="458">
        <v>6135</v>
      </c>
      <c r="S175" s="404">
        <v>34.200000000000003</v>
      </c>
      <c r="T175" s="459">
        <f t="shared" si="38"/>
        <v>209817.00000000003</v>
      </c>
      <c r="U175" s="409" t="s">
        <v>107</v>
      </c>
      <c r="V175" s="288" t="s">
        <v>313</v>
      </c>
      <c r="W175" s="296" t="str">
        <f t="shared" si="47"/>
        <v>Dec-25</v>
      </c>
      <c r="X175" s="293" t="s">
        <v>2619</v>
      </c>
      <c r="Y175" s="293" t="s">
        <v>2382</v>
      </c>
      <c r="Z175" s="318">
        <v>46014</v>
      </c>
      <c r="AA175" s="293" t="s">
        <v>2369</v>
      </c>
      <c r="AB175" s="293" t="s">
        <v>2629</v>
      </c>
      <c r="AC175" s="298" t="s">
        <v>500</v>
      </c>
      <c r="AD175" s="298" t="s">
        <v>2630</v>
      </c>
      <c r="AE175" s="512">
        <v>25000</v>
      </c>
      <c r="AF175" s="513">
        <v>32.25</v>
      </c>
      <c r="AG175" s="514">
        <f t="shared" si="39"/>
        <v>806250</v>
      </c>
      <c r="AH175" s="514">
        <v>-14835</v>
      </c>
      <c r="AI175" s="514">
        <f t="shared" si="40"/>
        <v>791415</v>
      </c>
      <c r="AJ175" s="514">
        <v>0</v>
      </c>
      <c r="AK175" s="514">
        <f t="shared" si="41"/>
        <v>25000</v>
      </c>
      <c r="AL175" s="514">
        <f t="shared" si="42"/>
        <v>855000.00000000012</v>
      </c>
      <c r="AM175" s="515">
        <f t="shared" si="43"/>
        <v>-63585.000000000116</v>
      </c>
      <c r="AN175" s="299">
        <f t="shared" si="44"/>
        <v>-8.0343435492125012E-2</v>
      </c>
      <c r="AO175" s="296">
        <f t="shared" si="48"/>
        <v>855000.00000000012</v>
      </c>
      <c r="AP175" s="274">
        <f t="shared" si="53"/>
        <v>176</v>
      </c>
      <c r="AQ175" s="275">
        <f t="shared" si="54"/>
        <v>9459.5850739726029</v>
      </c>
      <c r="AR175" s="275">
        <f t="shared" si="49"/>
        <v>-73044.585073972718</v>
      </c>
      <c r="AS175" s="280">
        <f t="shared" si="52"/>
        <v>-9.2296184775336229E-2</v>
      </c>
    </row>
    <row r="176" spans="2:45" x14ac:dyDescent="0.3">
      <c r="B176" s="287">
        <f t="shared" si="45"/>
        <v>172</v>
      </c>
      <c r="C176" s="272" t="s">
        <v>174</v>
      </c>
      <c r="D176" s="288" t="str">
        <f t="shared" si="46"/>
        <v>Jun-25</v>
      </c>
      <c r="E176" s="288" t="s">
        <v>107</v>
      </c>
      <c r="F176" s="289">
        <v>45838</v>
      </c>
      <c r="G176" s="290" t="s">
        <v>1373</v>
      </c>
      <c r="H176" s="291" t="s">
        <v>2598</v>
      </c>
      <c r="I176" s="290" t="s">
        <v>401</v>
      </c>
      <c r="J176" s="387">
        <v>5252000468</v>
      </c>
      <c r="K176" s="289">
        <v>45838</v>
      </c>
      <c r="L176" s="291" t="s">
        <v>1393</v>
      </c>
      <c r="M176" s="289">
        <v>45840</v>
      </c>
      <c r="N176" s="291" t="s">
        <v>255</v>
      </c>
      <c r="O176" s="290" t="s">
        <v>1394</v>
      </c>
      <c r="P176" s="291" t="s">
        <v>501</v>
      </c>
      <c r="Q176" s="291" t="s">
        <v>2608</v>
      </c>
      <c r="R176" s="458">
        <v>17530</v>
      </c>
      <c r="S176" s="404">
        <v>34.299999999999997</v>
      </c>
      <c r="T176" s="459">
        <f t="shared" si="38"/>
        <v>601279</v>
      </c>
      <c r="U176" s="409" t="s">
        <v>107</v>
      </c>
      <c r="V176" s="288" t="s">
        <v>313</v>
      </c>
      <c r="W176" s="296" t="str">
        <f t="shared" si="47"/>
        <v>Dec-25</v>
      </c>
      <c r="X176" s="293" t="s">
        <v>2619</v>
      </c>
      <c r="Y176" s="293" t="s">
        <v>2383</v>
      </c>
      <c r="Z176" s="318">
        <v>46015</v>
      </c>
      <c r="AA176" s="293" t="s">
        <v>2379</v>
      </c>
      <c r="AB176" s="293" t="s">
        <v>2629</v>
      </c>
      <c r="AC176" s="298" t="s">
        <v>500</v>
      </c>
      <c r="AD176" s="298" t="s">
        <v>2630</v>
      </c>
      <c r="AE176" s="512">
        <v>22860</v>
      </c>
      <c r="AF176" s="513">
        <v>32.25</v>
      </c>
      <c r="AG176" s="514">
        <f t="shared" si="39"/>
        <v>737235</v>
      </c>
      <c r="AH176" s="514">
        <v>-8707.5</v>
      </c>
      <c r="AI176" s="514">
        <f t="shared" si="40"/>
        <v>728527.5</v>
      </c>
      <c r="AJ176" s="514">
        <v>0</v>
      </c>
      <c r="AK176" s="514">
        <f t="shared" si="41"/>
        <v>22860</v>
      </c>
      <c r="AL176" s="514">
        <f t="shared" si="42"/>
        <v>784097.99999999988</v>
      </c>
      <c r="AM176" s="515">
        <f t="shared" si="43"/>
        <v>-55570.499999999884</v>
      </c>
      <c r="AN176" s="299">
        <f t="shared" si="44"/>
        <v>-7.627783439883859E-2</v>
      </c>
      <c r="AO176" s="296">
        <f t="shared" si="48"/>
        <v>784097.99999999988</v>
      </c>
      <c r="AP176" s="274">
        <f t="shared" si="53"/>
        <v>177</v>
      </c>
      <c r="AQ176" s="275">
        <f t="shared" si="54"/>
        <v>27262.648795890411</v>
      </c>
      <c r="AR176" s="275">
        <f t="shared" si="49"/>
        <v>-82833.148795890302</v>
      </c>
      <c r="AS176" s="280">
        <f t="shared" si="52"/>
        <v>-0.11369941257658812</v>
      </c>
    </row>
    <row r="177" spans="2:45" x14ac:dyDescent="0.3">
      <c r="B177" s="287">
        <f t="shared" si="45"/>
        <v>173</v>
      </c>
      <c r="C177" s="272" t="s">
        <v>174</v>
      </c>
      <c r="D177" s="288" t="str">
        <f t="shared" si="46"/>
        <v>Jun-25</v>
      </c>
      <c r="E177" s="288" t="s">
        <v>107</v>
      </c>
      <c r="F177" s="289">
        <v>45838</v>
      </c>
      <c r="G177" s="290" t="s">
        <v>1374</v>
      </c>
      <c r="H177" s="291" t="s">
        <v>2598</v>
      </c>
      <c r="I177" s="290" t="s">
        <v>401</v>
      </c>
      <c r="J177" s="387">
        <v>8252000734</v>
      </c>
      <c r="K177" s="289">
        <v>45838</v>
      </c>
      <c r="L177" s="291" t="s">
        <v>1395</v>
      </c>
      <c r="M177" s="289">
        <v>45840</v>
      </c>
      <c r="N177" s="291" t="s">
        <v>255</v>
      </c>
      <c r="O177" s="290" t="s">
        <v>1396</v>
      </c>
      <c r="P177" s="291" t="s">
        <v>501</v>
      </c>
      <c r="Q177" s="291" t="s">
        <v>2608</v>
      </c>
      <c r="R177" s="458">
        <v>37510</v>
      </c>
      <c r="S177" s="404">
        <v>34.299999999999997</v>
      </c>
      <c r="T177" s="459">
        <f t="shared" si="38"/>
        <v>1286593</v>
      </c>
      <c r="U177" s="409" t="s">
        <v>107</v>
      </c>
      <c r="V177" s="288" t="s">
        <v>313</v>
      </c>
      <c r="W177" s="296" t="str">
        <f t="shared" si="47"/>
        <v>Dec-25</v>
      </c>
      <c r="X177" s="293" t="s">
        <v>2619</v>
      </c>
      <c r="Y177" s="293" t="s">
        <v>2384</v>
      </c>
      <c r="Z177" s="318">
        <v>46015</v>
      </c>
      <c r="AA177" s="293" t="s">
        <v>2380</v>
      </c>
      <c r="AB177" s="293" t="s">
        <v>2629</v>
      </c>
      <c r="AC177" s="298" t="s">
        <v>500</v>
      </c>
      <c r="AD177" s="298" t="s">
        <v>2630</v>
      </c>
      <c r="AE177" s="512">
        <v>25055</v>
      </c>
      <c r="AF177" s="513">
        <v>32.25</v>
      </c>
      <c r="AG177" s="514">
        <f t="shared" si="39"/>
        <v>808023.75</v>
      </c>
      <c r="AH177" s="514">
        <v>-4676.25</v>
      </c>
      <c r="AI177" s="514">
        <f t="shared" si="40"/>
        <v>803347.5</v>
      </c>
      <c r="AJ177" s="514">
        <v>0</v>
      </c>
      <c r="AK177" s="514">
        <f t="shared" si="41"/>
        <v>25055</v>
      </c>
      <c r="AL177" s="514">
        <f t="shared" si="42"/>
        <v>859386.49999999988</v>
      </c>
      <c r="AM177" s="515">
        <f t="shared" si="43"/>
        <v>-56038.999999999884</v>
      </c>
      <c r="AN177" s="299">
        <f t="shared" si="44"/>
        <v>-6.9756861134191467E-2</v>
      </c>
      <c r="AO177" s="296">
        <f t="shared" si="48"/>
        <v>859386.49999999988</v>
      </c>
      <c r="AP177" s="274">
        <f t="shared" si="53"/>
        <v>177</v>
      </c>
      <c r="AQ177" s="275">
        <f t="shared" si="54"/>
        <v>58335.536584931513</v>
      </c>
      <c r="AR177" s="275">
        <f t="shared" si="49"/>
        <v>-114374.5365849314</v>
      </c>
      <c r="AS177" s="280">
        <f t="shared" si="52"/>
        <v>-0.14237243108982278</v>
      </c>
    </row>
    <row r="178" spans="2:45" x14ac:dyDescent="0.3">
      <c r="B178" s="287">
        <f t="shared" si="45"/>
        <v>174</v>
      </c>
      <c r="C178" s="272" t="s">
        <v>174</v>
      </c>
      <c r="D178" s="288" t="str">
        <f t="shared" si="46"/>
        <v>Jul-25</v>
      </c>
      <c r="E178" s="288" t="s">
        <v>107</v>
      </c>
      <c r="F178" s="289">
        <v>45841</v>
      </c>
      <c r="G178" s="290" t="s">
        <v>1398</v>
      </c>
      <c r="H178" s="291" t="s">
        <v>2598</v>
      </c>
      <c r="I178" s="290" t="s">
        <v>401</v>
      </c>
      <c r="J178" s="387">
        <v>6252000023</v>
      </c>
      <c r="K178" s="289">
        <v>45841</v>
      </c>
      <c r="L178" s="291" t="s">
        <v>1410</v>
      </c>
      <c r="M178" s="289">
        <v>45842</v>
      </c>
      <c r="N178" s="291" t="s">
        <v>255</v>
      </c>
      <c r="O178" s="290" t="s">
        <v>1411</v>
      </c>
      <c r="P178" s="291" t="s">
        <v>501</v>
      </c>
      <c r="Q178" s="291" t="s">
        <v>2608</v>
      </c>
      <c r="R178" s="458">
        <v>20250</v>
      </c>
      <c r="S178" s="404">
        <v>33.1</v>
      </c>
      <c r="T178" s="459">
        <f t="shared" si="38"/>
        <v>670275</v>
      </c>
      <c r="U178" s="409" t="s">
        <v>107</v>
      </c>
      <c r="V178" s="288" t="s">
        <v>313</v>
      </c>
      <c r="W178" s="296" t="str">
        <f t="shared" si="47"/>
        <v>Dec-25</v>
      </c>
      <c r="X178" s="293" t="s">
        <v>2619</v>
      </c>
      <c r="Y178" s="293" t="s">
        <v>2385</v>
      </c>
      <c r="Z178" s="318">
        <v>46016</v>
      </c>
      <c r="AA178" s="293" t="s">
        <v>2381</v>
      </c>
      <c r="AB178" s="293" t="s">
        <v>2629</v>
      </c>
      <c r="AC178" s="298" t="s">
        <v>500</v>
      </c>
      <c r="AD178" s="298" t="s">
        <v>2630</v>
      </c>
      <c r="AE178" s="512">
        <v>23395</v>
      </c>
      <c r="AF178" s="513">
        <v>32.25</v>
      </c>
      <c r="AG178" s="514">
        <f t="shared" si="39"/>
        <v>754488.75</v>
      </c>
      <c r="AH178" s="514">
        <v>-2418.75</v>
      </c>
      <c r="AI178" s="514">
        <f t="shared" si="40"/>
        <v>752070</v>
      </c>
      <c r="AJ178" s="514">
        <v>0</v>
      </c>
      <c r="AK178" s="514">
        <f t="shared" si="41"/>
        <v>23395</v>
      </c>
      <c r="AL178" s="514">
        <f t="shared" si="42"/>
        <v>774374.5</v>
      </c>
      <c r="AM178" s="515">
        <f t="shared" si="43"/>
        <v>-22304.5</v>
      </c>
      <c r="AN178" s="299">
        <f t="shared" si="44"/>
        <v>-2.9657478692143018E-2</v>
      </c>
      <c r="AO178" s="296">
        <f t="shared" si="48"/>
        <v>774374.5</v>
      </c>
      <c r="AP178" s="274">
        <f t="shared" si="53"/>
        <v>175</v>
      </c>
      <c r="AQ178" s="275">
        <f t="shared" si="54"/>
        <v>30047.601883561645</v>
      </c>
      <c r="AR178" s="275">
        <f t="shared" si="49"/>
        <v>-52352.101883561641</v>
      </c>
      <c r="AS178" s="280">
        <f t="shared" si="52"/>
        <v>-6.9610677042777458E-2</v>
      </c>
    </row>
    <row r="179" spans="2:45" x14ac:dyDescent="0.3">
      <c r="B179" s="287">
        <f t="shared" si="45"/>
        <v>175</v>
      </c>
      <c r="C179" s="272" t="s">
        <v>174</v>
      </c>
      <c r="D179" s="288" t="str">
        <f t="shared" si="46"/>
        <v>Jul-25</v>
      </c>
      <c r="E179" s="288" t="s">
        <v>107</v>
      </c>
      <c r="F179" s="289">
        <v>45842</v>
      </c>
      <c r="G179" s="290" t="s">
        <v>1401</v>
      </c>
      <c r="H179" s="291" t="s">
        <v>2598</v>
      </c>
      <c r="I179" s="290" t="s">
        <v>401</v>
      </c>
      <c r="J179" s="387">
        <v>8252000751</v>
      </c>
      <c r="K179" s="289">
        <v>45842</v>
      </c>
      <c r="L179" s="291" t="s">
        <v>1415</v>
      </c>
      <c r="M179" s="289">
        <v>45843</v>
      </c>
      <c r="N179" s="291" t="s">
        <v>255</v>
      </c>
      <c r="O179" s="290" t="s">
        <v>910</v>
      </c>
      <c r="P179" s="291" t="s">
        <v>501</v>
      </c>
      <c r="Q179" s="291" t="s">
        <v>2608</v>
      </c>
      <c r="R179" s="458">
        <v>25560</v>
      </c>
      <c r="S179" s="404">
        <v>33.1</v>
      </c>
      <c r="T179" s="459">
        <f t="shared" si="38"/>
        <v>846036</v>
      </c>
      <c r="U179" s="409" t="s">
        <v>107</v>
      </c>
      <c r="V179" s="288" t="s">
        <v>313</v>
      </c>
      <c r="W179" s="296" t="str">
        <f t="shared" si="47"/>
        <v>Dec-25</v>
      </c>
      <c r="X179" s="293" t="s">
        <v>2619</v>
      </c>
      <c r="Y179" s="293" t="s">
        <v>2395</v>
      </c>
      <c r="Z179" s="318">
        <v>46017</v>
      </c>
      <c r="AA179" s="293" t="s">
        <v>2386</v>
      </c>
      <c r="AB179" s="293" t="s">
        <v>2629</v>
      </c>
      <c r="AC179" s="298" t="s">
        <v>500</v>
      </c>
      <c r="AD179" s="298" t="s">
        <v>2630</v>
      </c>
      <c r="AE179" s="512">
        <v>24950</v>
      </c>
      <c r="AF179" s="513">
        <v>32.25</v>
      </c>
      <c r="AG179" s="514">
        <f t="shared" si="39"/>
        <v>804637.5</v>
      </c>
      <c r="AH179" s="514">
        <v>-10320</v>
      </c>
      <c r="AI179" s="514">
        <f t="shared" si="40"/>
        <v>794317.5</v>
      </c>
      <c r="AJ179" s="514">
        <v>0</v>
      </c>
      <c r="AK179" s="514">
        <f t="shared" si="41"/>
        <v>24950</v>
      </c>
      <c r="AL179" s="514">
        <f t="shared" si="42"/>
        <v>825845</v>
      </c>
      <c r="AM179" s="515">
        <f t="shared" si="43"/>
        <v>-31527.5</v>
      </c>
      <c r="AN179" s="299">
        <f t="shared" si="44"/>
        <v>-3.9691307317288115E-2</v>
      </c>
      <c r="AO179" s="296">
        <f t="shared" si="48"/>
        <v>825845</v>
      </c>
      <c r="AP179" s="274">
        <f t="shared" si="53"/>
        <v>175</v>
      </c>
      <c r="AQ179" s="275">
        <f t="shared" si="54"/>
        <v>37926.750821917805</v>
      </c>
      <c r="AR179" s="275">
        <f t="shared" si="49"/>
        <v>-69454.250821917813</v>
      </c>
      <c r="AS179" s="280">
        <f t="shared" si="52"/>
        <v>-8.7438902985163755E-2</v>
      </c>
    </row>
    <row r="180" spans="2:45" x14ac:dyDescent="0.3">
      <c r="B180" s="287">
        <f t="shared" si="45"/>
        <v>176</v>
      </c>
      <c r="C180" s="272" t="s">
        <v>174</v>
      </c>
      <c r="D180" s="288" t="str">
        <f t="shared" si="46"/>
        <v>Jul-25</v>
      </c>
      <c r="E180" s="288" t="s">
        <v>107</v>
      </c>
      <c r="F180" s="289">
        <v>45842</v>
      </c>
      <c r="G180" s="290" t="s">
        <v>1400</v>
      </c>
      <c r="H180" s="291" t="s">
        <v>2598</v>
      </c>
      <c r="I180" s="290" t="s">
        <v>401</v>
      </c>
      <c r="J180" s="387">
        <v>5252000479</v>
      </c>
      <c r="K180" s="289">
        <v>45842</v>
      </c>
      <c r="L180" s="291" t="s">
        <v>1414</v>
      </c>
      <c r="M180" s="289">
        <v>45843</v>
      </c>
      <c r="N180" s="291" t="s">
        <v>255</v>
      </c>
      <c r="O180" s="290" t="s">
        <v>1413</v>
      </c>
      <c r="P180" s="291" t="s">
        <v>501</v>
      </c>
      <c r="Q180" s="291" t="s">
        <v>2608</v>
      </c>
      <c r="R180" s="458">
        <v>6560</v>
      </c>
      <c r="S180" s="404">
        <v>33.1</v>
      </c>
      <c r="T180" s="459">
        <f t="shared" si="38"/>
        <v>217136</v>
      </c>
      <c r="U180" s="409" t="s">
        <v>107</v>
      </c>
      <c r="V180" s="288" t="s">
        <v>313</v>
      </c>
      <c r="W180" s="296" t="str">
        <f t="shared" si="47"/>
        <v>Dec-25</v>
      </c>
      <c r="X180" s="293" t="s">
        <v>2619</v>
      </c>
      <c r="Y180" s="293" t="s">
        <v>2396</v>
      </c>
      <c r="Z180" s="318">
        <v>46018</v>
      </c>
      <c r="AA180" s="293" t="s">
        <v>2387</v>
      </c>
      <c r="AB180" s="293" t="s">
        <v>2629</v>
      </c>
      <c r="AC180" s="298" t="s">
        <v>500</v>
      </c>
      <c r="AD180" s="298" t="s">
        <v>2630</v>
      </c>
      <c r="AE180" s="512">
        <v>23410</v>
      </c>
      <c r="AF180" s="513">
        <v>32.25</v>
      </c>
      <c r="AG180" s="514">
        <f t="shared" si="39"/>
        <v>754972.5</v>
      </c>
      <c r="AH180" s="514">
        <v>-7417.5</v>
      </c>
      <c r="AI180" s="514">
        <f t="shared" si="40"/>
        <v>747555</v>
      </c>
      <c r="AJ180" s="514">
        <v>0</v>
      </c>
      <c r="AK180" s="514">
        <f t="shared" si="41"/>
        <v>23410</v>
      </c>
      <c r="AL180" s="514">
        <f t="shared" si="42"/>
        <v>774871</v>
      </c>
      <c r="AM180" s="515">
        <f t="shared" si="43"/>
        <v>-27316</v>
      </c>
      <c r="AN180" s="299">
        <f t="shared" si="44"/>
        <v>-3.6540455217341866E-2</v>
      </c>
      <c r="AO180" s="296">
        <f t="shared" si="48"/>
        <v>774871</v>
      </c>
      <c r="AP180" s="274">
        <f t="shared" si="53"/>
        <v>176</v>
      </c>
      <c r="AQ180" s="275">
        <f t="shared" si="54"/>
        <v>9789.561687671232</v>
      </c>
      <c r="AR180" s="275">
        <f t="shared" si="49"/>
        <v>-37105.56168767123</v>
      </c>
      <c r="AS180" s="280">
        <f t="shared" si="52"/>
        <v>-4.963589526880461E-2</v>
      </c>
    </row>
    <row r="181" spans="2:45" x14ac:dyDescent="0.3">
      <c r="B181" s="287">
        <f t="shared" si="45"/>
        <v>177</v>
      </c>
      <c r="C181" s="272" t="s">
        <v>174</v>
      </c>
      <c r="D181" s="288" t="str">
        <f t="shared" si="46"/>
        <v>Jul-25</v>
      </c>
      <c r="E181" s="288" t="s">
        <v>107</v>
      </c>
      <c r="F181" s="289">
        <v>45842</v>
      </c>
      <c r="G181" s="290" t="s">
        <v>1399</v>
      </c>
      <c r="H181" s="291" t="s">
        <v>2598</v>
      </c>
      <c r="I181" s="290" t="s">
        <v>401</v>
      </c>
      <c r="J181" s="387">
        <v>5252000481</v>
      </c>
      <c r="K181" s="289">
        <v>45842</v>
      </c>
      <c r="L181" s="291" t="s">
        <v>1412</v>
      </c>
      <c r="M181" s="289">
        <v>45843</v>
      </c>
      <c r="N181" s="291" t="s">
        <v>255</v>
      </c>
      <c r="O181" s="290" t="s">
        <v>1413</v>
      </c>
      <c r="P181" s="291" t="s">
        <v>501</v>
      </c>
      <c r="Q181" s="291" t="s">
        <v>2608</v>
      </c>
      <c r="R181" s="458">
        <v>11620</v>
      </c>
      <c r="S181" s="404">
        <v>33.1</v>
      </c>
      <c r="T181" s="459">
        <f t="shared" si="38"/>
        <v>384622</v>
      </c>
      <c r="U181" s="409" t="s">
        <v>107</v>
      </c>
      <c r="V181" s="288" t="s">
        <v>313</v>
      </c>
      <c r="W181" s="296" t="str">
        <f t="shared" si="47"/>
        <v>Dec-25</v>
      </c>
      <c r="X181" s="293" t="s">
        <v>2619</v>
      </c>
      <c r="Y181" s="293" t="s">
        <v>2397</v>
      </c>
      <c r="Z181" s="318">
        <v>46018</v>
      </c>
      <c r="AA181" s="293" t="s">
        <v>2388</v>
      </c>
      <c r="AB181" s="293" t="s">
        <v>2629</v>
      </c>
      <c r="AC181" s="298" t="s">
        <v>500</v>
      </c>
      <c r="AD181" s="298" t="s">
        <v>2630</v>
      </c>
      <c r="AE181" s="512">
        <v>22605</v>
      </c>
      <c r="AF181" s="513">
        <v>32.25</v>
      </c>
      <c r="AG181" s="514">
        <f t="shared" si="39"/>
        <v>729011.25</v>
      </c>
      <c r="AH181" s="514">
        <v>-5643.75</v>
      </c>
      <c r="AI181" s="514">
        <f t="shared" si="40"/>
        <v>723367.5</v>
      </c>
      <c r="AJ181" s="514">
        <v>0</v>
      </c>
      <c r="AK181" s="514">
        <f t="shared" si="41"/>
        <v>22605</v>
      </c>
      <c r="AL181" s="514">
        <f t="shared" si="42"/>
        <v>748225.5</v>
      </c>
      <c r="AM181" s="515">
        <f t="shared" si="43"/>
        <v>-24858</v>
      </c>
      <c r="AN181" s="299">
        <f t="shared" si="44"/>
        <v>-3.4364275420170246E-2</v>
      </c>
      <c r="AO181" s="296">
        <f t="shared" si="48"/>
        <v>748225.5</v>
      </c>
      <c r="AP181" s="274">
        <f t="shared" si="53"/>
        <v>176</v>
      </c>
      <c r="AQ181" s="275">
        <f t="shared" si="54"/>
        <v>17340.656526027396</v>
      </c>
      <c r="AR181" s="275">
        <f t="shared" si="49"/>
        <v>-42198.656526027393</v>
      </c>
      <c r="AS181" s="280">
        <f t="shared" si="52"/>
        <v>-5.8336400966351669E-2</v>
      </c>
    </row>
    <row r="182" spans="2:45" x14ac:dyDescent="0.3">
      <c r="B182" s="287">
        <f t="shared" si="45"/>
        <v>178</v>
      </c>
      <c r="C182" s="272" t="s">
        <v>174</v>
      </c>
      <c r="D182" s="288" t="str">
        <f t="shared" si="46"/>
        <v>Jul-25</v>
      </c>
      <c r="E182" s="288" t="s">
        <v>107</v>
      </c>
      <c r="F182" s="289">
        <v>45846</v>
      </c>
      <c r="G182" s="290" t="s">
        <v>1425</v>
      </c>
      <c r="H182" s="291" t="s">
        <v>2598</v>
      </c>
      <c r="I182" s="290" t="s">
        <v>401</v>
      </c>
      <c r="J182" s="387">
        <v>6252000028</v>
      </c>
      <c r="K182" s="289">
        <v>45846</v>
      </c>
      <c r="L182" s="291" t="s">
        <v>1426</v>
      </c>
      <c r="M182" s="289">
        <v>45846</v>
      </c>
      <c r="N182" s="291" t="s">
        <v>255</v>
      </c>
      <c r="O182" s="290" t="s">
        <v>1427</v>
      </c>
      <c r="P182" s="291" t="s">
        <v>501</v>
      </c>
      <c r="Q182" s="291" t="s">
        <v>2608</v>
      </c>
      <c r="R182" s="458">
        <v>18280</v>
      </c>
      <c r="S182" s="404">
        <v>33.1</v>
      </c>
      <c r="T182" s="459">
        <f t="shared" si="38"/>
        <v>605068</v>
      </c>
      <c r="U182" s="298" t="s">
        <v>2756</v>
      </c>
      <c r="V182" s="288" t="s">
        <v>313</v>
      </c>
      <c r="W182" s="296" t="str">
        <f t="shared" si="47"/>
        <v>Dec-25</v>
      </c>
      <c r="X182" s="293" t="s">
        <v>2619</v>
      </c>
      <c r="Y182" s="293" t="s">
        <v>2398</v>
      </c>
      <c r="Z182" s="318">
        <v>46018</v>
      </c>
      <c r="AA182" s="293" t="s">
        <v>2389</v>
      </c>
      <c r="AB182" s="293" t="s">
        <v>2629</v>
      </c>
      <c r="AC182" s="298" t="s">
        <v>500</v>
      </c>
      <c r="AD182" s="298" t="s">
        <v>2684</v>
      </c>
      <c r="AE182" s="512">
        <v>22920</v>
      </c>
      <c r="AF182" s="513">
        <v>32.25</v>
      </c>
      <c r="AG182" s="514">
        <f t="shared" si="39"/>
        <v>739170</v>
      </c>
      <c r="AH182" s="514">
        <v>-5160</v>
      </c>
      <c r="AI182" s="514">
        <f t="shared" si="40"/>
        <v>734010</v>
      </c>
      <c r="AJ182" s="514">
        <v>0</v>
      </c>
      <c r="AK182" s="514">
        <f t="shared" si="41"/>
        <v>22920</v>
      </c>
      <c r="AL182" s="514">
        <f t="shared" si="42"/>
        <v>758652</v>
      </c>
      <c r="AM182" s="515">
        <f t="shared" si="43"/>
        <v>-24642</v>
      </c>
      <c r="AN182" s="299">
        <f t="shared" si="44"/>
        <v>-3.3571749703682513E-2</v>
      </c>
      <c r="AO182" s="296">
        <f t="shared" si="48"/>
        <v>758652</v>
      </c>
      <c r="AP182" s="274">
        <f t="shared" si="53"/>
        <v>172</v>
      </c>
      <c r="AQ182" s="275">
        <f t="shared" si="54"/>
        <v>26659.461852054792</v>
      </c>
      <c r="AR182" s="275">
        <f t="shared" si="49"/>
        <v>-51301.461852054796</v>
      </c>
      <c r="AS182" s="280">
        <f t="shared" si="52"/>
        <v>-6.9892047590706927E-2</v>
      </c>
    </row>
    <row r="183" spans="2:45" x14ac:dyDescent="0.3">
      <c r="B183" s="287">
        <f t="shared" si="45"/>
        <v>179</v>
      </c>
      <c r="C183" s="272" t="s">
        <v>174</v>
      </c>
      <c r="D183" s="288" t="str">
        <f t="shared" si="46"/>
        <v>Jul-25</v>
      </c>
      <c r="E183" s="288" t="s">
        <v>107</v>
      </c>
      <c r="F183" s="289">
        <v>45849</v>
      </c>
      <c r="G183" s="290" t="s">
        <v>1438</v>
      </c>
      <c r="H183" s="291" t="s">
        <v>2598</v>
      </c>
      <c r="I183" s="290" t="s">
        <v>401</v>
      </c>
      <c r="J183" s="387">
        <v>5252000506</v>
      </c>
      <c r="K183" s="289">
        <v>45849</v>
      </c>
      <c r="L183" s="291" t="s">
        <v>1440</v>
      </c>
      <c r="M183" s="289">
        <v>45849</v>
      </c>
      <c r="N183" s="291" t="s">
        <v>255</v>
      </c>
      <c r="O183" s="290" t="s">
        <v>402</v>
      </c>
      <c r="P183" s="291" t="s">
        <v>501</v>
      </c>
      <c r="Q183" s="291" t="s">
        <v>2608</v>
      </c>
      <c r="R183" s="458">
        <v>14660</v>
      </c>
      <c r="S183" s="404">
        <v>33.1</v>
      </c>
      <c r="T183" s="459">
        <f t="shared" si="38"/>
        <v>485246</v>
      </c>
      <c r="U183" s="409" t="s">
        <v>107</v>
      </c>
      <c r="V183" s="288" t="s">
        <v>313</v>
      </c>
      <c r="W183" s="296" t="str">
        <f t="shared" si="47"/>
        <v>Dec-25</v>
      </c>
      <c r="X183" s="293" t="s">
        <v>2617</v>
      </c>
      <c r="Y183" s="293" t="s">
        <v>2412</v>
      </c>
      <c r="Z183" s="318">
        <v>46020</v>
      </c>
      <c r="AA183" s="293" t="s">
        <v>2411</v>
      </c>
      <c r="AB183" s="293" t="s">
        <v>2627</v>
      </c>
      <c r="AC183" s="298" t="s">
        <v>501</v>
      </c>
      <c r="AD183" s="298" t="s">
        <v>501</v>
      </c>
      <c r="AE183" s="512">
        <v>30630</v>
      </c>
      <c r="AF183" s="513">
        <v>34</v>
      </c>
      <c r="AG183" s="514">
        <f t="shared" si="39"/>
        <v>1041420</v>
      </c>
      <c r="AH183" s="514">
        <v>-3400</v>
      </c>
      <c r="AI183" s="514">
        <f t="shared" si="40"/>
        <v>1038020</v>
      </c>
      <c r="AJ183" s="514">
        <v>0</v>
      </c>
      <c r="AK183" s="514">
        <f t="shared" si="41"/>
        <v>30630</v>
      </c>
      <c r="AL183" s="514">
        <f t="shared" si="42"/>
        <v>1013853</v>
      </c>
      <c r="AM183" s="515">
        <f t="shared" si="43"/>
        <v>24167</v>
      </c>
      <c r="AN183" s="299">
        <f t="shared" si="44"/>
        <v>2.328182501300553E-2</v>
      </c>
      <c r="AO183" s="296">
        <f t="shared" si="48"/>
        <v>1013853</v>
      </c>
      <c r="AP183" s="274">
        <f t="shared" si="53"/>
        <v>171</v>
      </c>
      <c r="AQ183" s="275">
        <f t="shared" si="54"/>
        <v>21255.768961643833</v>
      </c>
      <c r="AR183" s="275">
        <f t="shared" si="49"/>
        <v>2911.2310383561671</v>
      </c>
      <c r="AS183" s="280">
        <f t="shared" si="52"/>
        <v>2.8046001409955178E-3</v>
      </c>
    </row>
    <row r="184" spans="2:45" x14ac:dyDescent="0.3">
      <c r="B184" s="287">
        <f t="shared" si="45"/>
        <v>180</v>
      </c>
      <c r="C184" s="272" t="s">
        <v>174</v>
      </c>
      <c r="D184" s="288" t="str">
        <f t="shared" si="46"/>
        <v>Jul-25</v>
      </c>
      <c r="E184" s="288" t="s">
        <v>107</v>
      </c>
      <c r="F184" s="289">
        <v>45850</v>
      </c>
      <c r="G184" s="290" t="s">
        <v>1439</v>
      </c>
      <c r="H184" s="291" t="s">
        <v>2598</v>
      </c>
      <c r="I184" s="290" t="s">
        <v>401</v>
      </c>
      <c r="J184" s="387">
        <v>7252000191</v>
      </c>
      <c r="K184" s="289">
        <v>45850</v>
      </c>
      <c r="L184" s="291" t="s">
        <v>1441</v>
      </c>
      <c r="M184" s="289">
        <v>45850</v>
      </c>
      <c r="N184" s="291" t="s">
        <v>255</v>
      </c>
      <c r="O184" s="290" t="s">
        <v>899</v>
      </c>
      <c r="P184" s="291" t="s">
        <v>501</v>
      </c>
      <c r="Q184" s="291" t="s">
        <v>2608</v>
      </c>
      <c r="R184" s="458">
        <v>4870</v>
      </c>
      <c r="S184" s="404">
        <v>33.1</v>
      </c>
      <c r="T184" s="459">
        <f t="shared" si="38"/>
        <v>161197</v>
      </c>
      <c r="U184" s="409" t="s">
        <v>107</v>
      </c>
      <c r="V184" s="288" t="s">
        <v>313</v>
      </c>
      <c r="W184" s="296" t="str">
        <f t="shared" si="47"/>
        <v>Jan-26</v>
      </c>
      <c r="X184" s="293" t="s">
        <v>2617</v>
      </c>
      <c r="Y184" s="293" t="s">
        <v>2424</v>
      </c>
      <c r="Z184" s="318">
        <v>46025</v>
      </c>
      <c r="AA184" s="293" t="s">
        <v>2425</v>
      </c>
      <c r="AB184" s="293" t="s">
        <v>2627</v>
      </c>
      <c r="AC184" s="298" t="s">
        <v>501</v>
      </c>
      <c r="AD184" s="298" t="s">
        <v>501</v>
      </c>
      <c r="AE184" s="512">
        <v>34040</v>
      </c>
      <c r="AF184" s="513">
        <v>34</v>
      </c>
      <c r="AG184" s="514">
        <f t="shared" si="39"/>
        <v>1157360</v>
      </c>
      <c r="AH184" s="514">
        <v>-4080</v>
      </c>
      <c r="AI184" s="514">
        <f t="shared" si="40"/>
        <v>1153280</v>
      </c>
      <c r="AJ184" s="514">
        <v>0</v>
      </c>
      <c r="AK184" s="514">
        <f t="shared" si="41"/>
        <v>34040</v>
      </c>
      <c r="AL184" s="514">
        <f t="shared" si="42"/>
        <v>1126724</v>
      </c>
      <c r="AM184" s="515">
        <f t="shared" si="43"/>
        <v>26556</v>
      </c>
      <c r="AN184" s="299">
        <f t="shared" si="44"/>
        <v>2.3026498335183131E-2</v>
      </c>
      <c r="AO184" s="296">
        <f t="shared" si="48"/>
        <v>1126724</v>
      </c>
      <c r="AP184" s="274">
        <f t="shared" si="53"/>
        <v>175</v>
      </c>
      <c r="AQ184" s="275">
        <f t="shared" si="54"/>
        <v>7226.2627739726031</v>
      </c>
      <c r="AR184" s="275">
        <f t="shared" si="49"/>
        <v>19329.737226027399</v>
      </c>
      <c r="AS184" s="280">
        <f t="shared" si="52"/>
        <v>1.676066282778458E-2</v>
      </c>
    </row>
    <row r="185" spans="2:45" x14ac:dyDescent="0.3">
      <c r="B185" s="287">
        <f t="shared" si="45"/>
        <v>181</v>
      </c>
      <c r="C185" s="272" t="s">
        <v>174</v>
      </c>
      <c r="D185" s="288" t="str">
        <f t="shared" si="46"/>
        <v>Jul-25</v>
      </c>
      <c r="E185" s="288" t="s">
        <v>107</v>
      </c>
      <c r="F185" s="289">
        <v>45853</v>
      </c>
      <c r="G185" s="290" t="s">
        <v>1442</v>
      </c>
      <c r="H185" s="291" t="s">
        <v>2598</v>
      </c>
      <c r="I185" s="290" t="s">
        <v>401</v>
      </c>
      <c r="J185" s="387">
        <v>8252000871</v>
      </c>
      <c r="K185" s="289">
        <v>45853</v>
      </c>
      <c r="L185" s="291" t="s">
        <v>1444</v>
      </c>
      <c r="M185" s="289">
        <v>45854</v>
      </c>
      <c r="N185" s="291" t="s">
        <v>255</v>
      </c>
      <c r="O185" s="290" t="s">
        <v>1445</v>
      </c>
      <c r="P185" s="291" t="s">
        <v>501</v>
      </c>
      <c r="Q185" s="291" t="s">
        <v>2608</v>
      </c>
      <c r="R185" s="458">
        <v>16810</v>
      </c>
      <c r="S185" s="404">
        <v>33.1</v>
      </c>
      <c r="T185" s="459">
        <f t="shared" si="38"/>
        <v>556411</v>
      </c>
      <c r="U185" s="409" t="s">
        <v>107</v>
      </c>
      <c r="V185" s="288" t="s">
        <v>313</v>
      </c>
      <c r="W185" s="296" t="str">
        <f t="shared" si="47"/>
        <v>Jan-26</v>
      </c>
      <c r="X185" s="293" t="s">
        <v>2617</v>
      </c>
      <c r="Y185" s="293" t="s">
        <v>2436</v>
      </c>
      <c r="Z185" s="318">
        <v>46028</v>
      </c>
      <c r="AA185" s="293" t="s">
        <v>2433</v>
      </c>
      <c r="AB185" s="293" t="s">
        <v>2627</v>
      </c>
      <c r="AC185" s="298" t="s">
        <v>501</v>
      </c>
      <c r="AD185" s="298" t="s">
        <v>501</v>
      </c>
      <c r="AE185" s="512">
        <v>31365</v>
      </c>
      <c r="AF185" s="513">
        <v>34</v>
      </c>
      <c r="AG185" s="514">
        <f t="shared" si="39"/>
        <v>1066410</v>
      </c>
      <c r="AH185" s="514">
        <v>-4930</v>
      </c>
      <c r="AI185" s="514">
        <f t="shared" si="40"/>
        <v>1061480</v>
      </c>
      <c r="AJ185" s="514">
        <v>0</v>
      </c>
      <c r="AK185" s="514">
        <f t="shared" si="41"/>
        <v>31365</v>
      </c>
      <c r="AL185" s="514">
        <f t="shared" si="42"/>
        <v>1038181.5</v>
      </c>
      <c r="AM185" s="515">
        <f t="shared" si="43"/>
        <v>23298.5</v>
      </c>
      <c r="AN185" s="299">
        <f t="shared" si="44"/>
        <v>2.1949071108263933E-2</v>
      </c>
      <c r="AO185" s="296">
        <f t="shared" si="48"/>
        <v>1038181.5</v>
      </c>
      <c r="AP185" s="274">
        <f t="shared" si="53"/>
        <v>175</v>
      </c>
      <c r="AQ185" s="275">
        <f t="shared" si="54"/>
        <v>24943.219143835617</v>
      </c>
      <c r="AR185" s="275">
        <f t="shared" si="49"/>
        <v>-1644.7191438356167</v>
      </c>
      <c r="AS185" s="280">
        <f t="shared" si="52"/>
        <v>-1.5494584390055551E-3</v>
      </c>
    </row>
    <row r="186" spans="2:45" x14ac:dyDescent="0.3">
      <c r="B186" s="287">
        <f t="shared" si="45"/>
        <v>182</v>
      </c>
      <c r="C186" s="272" t="s">
        <v>174</v>
      </c>
      <c r="D186" s="288" t="str">
        <f t="shared" si="46"/>
        <v>Jul-25</v>
      </c>
      <c r="E186" s="288" t="s">
        <v>107</v>
      </c>
      <c r="F186" s="289">
        <v>45854</v>
      </c>
      <c r="G186" s="290" t="s">
        <v>1443</v>
      </c>
      <c r="H186" s="291" t="s">
        <v>2598</v>
      </c>
      <c r="I186" s="290" t="s">
        <v>401</v>
      </c>
      <c r="J186" s="387">
        <v>5252000530</v>
      </c>
      <c r="K186" s="289">
        <v>45854</v>
      </c>
      <c r="L186" s="291" t="s">
        <v>1446</v>
      </c>
      <c r="M186" s="289">
        <v>45854</v>
      </c>
      <c r="N186" s="291" t="s">
        <v>255</v>
      </c>
      <c r="O186" s="290" t="s">
        <v>402</v>
      </c>
      <c r="P186" s="291" t="s">
        <v>501</v>
      </c>
      <c r="Q186" s="291" t="s">
        <v>2608</v>
      </c>
      <c r="R186" s="458">
        <v>7870</v>
      </c>
      <c r="S186" s="404">
        <v>33.1</v>
      </c>
      <c r="T186" s="459">
        <f t="shared" si="38"/>
        <v>260497</v>
      </c>
      <c r="U186" s="298" t="s">
        <v>107</v>
      </c>
      <c r="V186" s="288" t="s">
        <v>313</v>
      </c>
      <c r="W186" s="296" t="str">
        <f t="shared" si="47"/>
        <v>Jan-26</v>
      </c>
      <c r="X186" s="293" t="s">
        <v>2617</v>
      </c>
      <c r="Y186" s="293" t="s">
        <v>2438</v>
      </c>
      <c r="Z186" s="318">
        <v>46030</v>
      </c>
      <c r="AA186" s="293" t="s">
        <v>2441</v>
      </c>
      <c r="AB186" s="293" t="s">
        <v>2627</v>
      </c>
      <c r="AC186" s="298" t="s">
        <v>501</v>
      </c>
      <c r="AD186" s="298" t="s">
        <v>501</v>
      </c>
      <c r="AE186" s="512">
        <v>30430</v>
      </c>
      <c r="AF186" s="513">
        <v>35.5</v>
      </c>
      <c r="AG186" s="514">
        <f t="shared" si="39"/>
        <v>1080265</v>
      </c>
      <c r="AH186" s="514">
        <v>-1420</v>
      </c>
      <c r="AI186" s="514">
        <f t="shared" si="40"/>
        <v>1078845</v>
      </c>
      <c r="AJ186" s="514">
        <v>0</v>
      </c>
      <c r="AK186" s="514">
        <f t="shared" si="41"/>
        <v>30430</v>
      </c>
      <c r="AL186" s="514">
        <f t="shared" si="42"/>
        <v>1007233</v>
      </c>
      <c r="AM186" s="515">
        <f t="shared" si="43"/>
        <v>71612</v>
      </c>
      <c r="AN186" s="299">
        <f t="shared" si="44"/>
        <v>6.6378395413613636E-2</v>
      </c>
      <c r="AO186" s="296">
        <f t="shared" si="48"/>
        <v>1007233</v>
      </c>
      <c r="AP186" s="274">
        <f t="shared" si="53"/>
        <v>176</v>
      </c>
      <c r="AQ186" s="275">
        <f t="shared" si="54"/>
        <v>11744.489402739726</v>
      </c>
      <c r="AR186" s="275">
        <f t="shared" si="49"/>
        <v>59867.510597260276</v>
      </c>
      <c r="AS186" s="280">
        <f t="shared" si="52"/>
        <v>5.5492226035491914E-2</v>
      </c>
    </row>
    <row r="187" spans="2:45" x14ac:dyDescent="0.3">
      <c r="B187" s="287">
        <f t="shared" si="45"/>
        <v>183</v>
      </c>
      <c r="C187" s="272" t="s">
        <v>174</v>
      </c>
      <c r="D187" s="288" t="str">
        <f t="shared" si="46"/>
        <v>Jul-25</v>
      </c>
      <c r="E187" s="288" t="s">
        <v>107</v>
      </c>
      <c r="F187" s="289">
        <v>45856</v>
      </c>
      <c r="G187" s="290" t="s">
        <v>1449</v>
      </c>
      <c r="H187" s="291" t="s">
        <v>2598</v>
      </c>
      <c r="I187" s="290" t="s">
        <v>401</v>
      </c>
      <c r="J187" s="387">
        <v>7252000200</v>
      </c>
      <c r="K187" s="289">
        <v>45856</v>
      </c>
      <c r="L187" s="291" t="s">
        <v>1452</v>
      </c>
      <c r="M187" s="289">
        <v>45856</v>
      </c>
      <c r="N187" s="291" t="s">
        <v>255</v>
      </c>
      <c r="O187" s="290" t="s">
        <v>314</v>
      </c>
      <c r="P187" s="291" t="s">
        <v>501</v>
      </c>
      <c r="Q187" s="291" t="s">
        <v>2608</v>
      </c>
      <c r="R187" s="458">
        <v>3950</v>
      </c>
      <c r="S187" s="404">
        <v>33.1</v>
      </c>
      <c r="T187" s="459">
        <f t="shared" si="38"/>
        <v>130745</v>
      </c>
      <c r="U187" s="409" t="s">
        <v>107</v>
      </c>
      <c r="V187" s="288" t="s">
        <v>313</v>
      </c>
      <c r="W187" s="296" t="str">
        <f t="shared" si="47"/>
        <v>Jan-26</v>
      </c>
      <c r="X187" s="293" t="s">
        <v>2619</v>
      </c>
      <c r="Y187" s="293" t="s">
        <v>2439</v>
      </c>
      <c r="Z187" s="318">
        <v>46032</v>
      </c>
      <c r="AA187" s="293" t="s">
        <v>2442</v>
      </c>
      <c r="AB187" s="293" t="s">
        <v>2629</v>
      </c>
      <c r="AC187" s="298" t="s">
        <v>500</v>
      </c>
      <c r="AD187" s="298" t="s">
        <v>2630</v>
      </c>
      <c r="AE187" s="512">
        <v>23825</v>
      </c>
      <c r="AF187" s="513">
        <v>33.25</v>
      </c>
      <c r="AG187" s="514">
        <f t="shared" si="39"/>
        <v>792181.25</v>
      </c>
      <c r="AH187" s="514">
        <v>-1496.25</v>
      </c>
      <c r="AI187" s="514">
        <f t="shared" si="40"/>
        <v>790685</v>
      </c>
      <c r="AJ187" s="514">
        <v>0</v>
      </c>
      <c r="AK187" s="514">
        <f t="shared" si="41"/>
        <v>23825</v>
      </c>
      <c r="AL187" s="514">
        <f t="shared" si="42"/>
        <v>788607.5</v>
      </c>
      <c r="AM187" s="515">
        <f t="shared" si="43"/>
        <v>2077.5</v>
      </c>
      <c r="AN187" s="299">
        <f t="shared" si="44"/>
        <v>2.6274685873641209E-3</v>
      </c>
      <c r="AO187" s="296">
        <f t="shared" si="48"/>
        <v>788607.5</v>
      </c>
      <c r="AP187" s="274">
        <f t="shared" si="53"/>
        <v>176</v>
      </c>
      <c r="AQ187" s="275">
        <f t="shared" si="54"/>
        <v>5894.6293698630134</v>
      </c>
      <c r="AR187" s="275">
        <f t="shared" si="49"/>
        <v>-3817.1293698630134</v>
      </c>
      <c r="AS187" s="280">
        <f t="shared" si="52"/>
        <v>-4.8276233517304786E-3</v>
      </c>
    </row>
    <row r="188" spans="2:45" x14ac:dyDescent="0.3">
      <c r="B188" s="287">
        <f t="shared" si="45"/>
        <v>184</v>
      </c>
      <c r="C188" s="272" t="s">
        <v>174</v>
      </c>
      <c r="D188" s="288" t="str">
        <f t="shared" si="46"/>
        <v>Jul-25</v>
      </c>
      <c r="E188" s="288" t="s">
        <v>107</v>
      </c>
      <c r="F188" s="289">
        <v>45857</v>
      </c>
      <c r="G188" s="290" t="s">
        <v>1450</v>
      </c>
      <c r="H188" s="291" t="s">
        <v>2598</v>
      </c>
      <c r="I188" s="290" t="s">
        <v>401</v>
      </c>
      <c r="J188" s="387">
        <v>6252000029</v>
      </c>
      <c r="K188" s="289">
        <v>45857</v>
      </c>
      <c r="L188" s="291" t="s">
        <v>1453</v>
      </c>
      <c r="M188" s="289">
        <v>45857</v>
      </c>
      <c r="N188" s="291" t="s">
        <v>255</v>
      </c>
      <c r="O188" s="290" t="s">
        <v>1454</v>
      </c>
      <c r="P188" s="291" t="s">
        <v>501</v>
      </c>
      <c r="Q188" s="291" t="s">
        <v>2608</v>
      </c>
      <c r="R188" s="458">
        <v>19420</v>
      </c>
      <c r="S188" s="404">
        <v>33.1</v>
      </c>
      <c r="T188" s="459">
        <f t="shared" si="38"/>
        <v>642802</v>
      </c>
      <c r="U188" s="409" t="s">
        <v>107</v>
      </c>
      <c r="V188" s="288" t="s">
        <v>313</v>
      </c>
      <c r="W188" s="296" t="str">
        <f t="shared" si="47"/>
        <v>Jan-26</v>
      </c>
      <c r="X188" s="293" t="s">
        <v>2617</v>
      </c>
      <c r="Y188" s="293" t="s">
        <v>2440</v>
      </c>
      <c r="Z188" s="318">
        <v>46032</v>
      </c>
      <c r="AA188" s="293" t="s">
        <v>2443</v>
      </c>
      <c r="AB188" s="293" t="s">
        <v>2627</v>
      </c>
      <c r="AC188" s="298" t="s">
        <v>501</v>
      </c>
      <c r="AD188" s="298" t="s">
        <v>501</v>
      </c>
      <c r="AE188" s="512">
        <v>33955</v>
      </c>
      <c r="AF188" s="513">
        <v>35.5</v>
      </c>
      <c r="AG188" s="514">
        <f t="shared" si="39"/>
        <v>1205402.5</v>
      </c>
      <c r="AH188" s="514">
        <v>-3017.5</v>
      </c>
      <c r="AI188" s="514">
        <f t="shared" si="40"/>
        <v>1202385</v>
      </c>
      <c r="AJ188" s="514">
        <v>0</v>
      </c>
      <c r="AK188" s="514">
        <f t="shared" si="41"/>
        <v>33955</v>
      </c>
      <c r="AL188" s="514">
        <f t="shared" si="42"/>
        <v>1123910.5</v>
      </c>
      <c r="AM188" s="515">
        <f t="shared" si="43"/>
        <v>78474.5</v>
      </c>
      <c r="AN188" s="299">
        <f t="shared" si="44"/>
        <v>6.5265701085758715E-2</v>
      </c>
      <c r="AO188" s="296">
        <f t="shared" si="48"/>
        <v>1123910.5</v>
      </c>
      <c r="AP188" s="274">
        <f t="shared" si="53"/>
        <v>175</v>
      </c>
      <c r="AQ188" s="275">
        <f t="shared" si="54"/>
        <v>28816.021164383561</v>
      </c>
      <c r="AR188" s="275">
        <f t="shared" si="49"/>
        <v>49658.478835616435</v>
      </c>
      <c r="AS188" s="280">
        <f t="shared" ref="AS188:AS217" si="55">IFERROR(AR188/(AG188+AH188),0)</f>
        <v>4.1299981982157494E-2</v>
      </c>
    </row>
    <row r="189" spans="2:45" x14ac:dyDescent="0.3">
      <c r="B189" s="287">
        <f t="shared" si="45"/>
        <v>185</v>
      </c>
      <c r="C189" s="272" t="s">
        <v>174</v>
      </c>
      <c r="D189" s="288" t="str">
        <f t="shared" si="46"/>
        <v>Jul-25</v>
      </c>
      <c r="E189" s="288" t="s">
        <v>107</v>
      </c>
      <c r="F189" s="289">
        <v>45859</v>
      </c>
      <c r="G189" s="290" t="s">
        <v>1457</v>
      </c>
      <c r="H189" s="291" t="s">
        <v>2598</v>
      </c>
      <c r="I189" s="290" t="s">
        <v>401</v>
      </c>
      <c r="J189" s="387">
        <v>5252000544</v>
      </c>
      <c r="K189" s="289">
        <v>45859</v>
      </c>
      <c r="L189" s="291" t="s">
        <v>1475</v>
      </c>
      <c r="M189" s="289">
        <v>45859</v>
      </c>
      <c r="N189" s="291" t="s">
        <v>255</v>
      </c>
      <c r="O189" s="290" t="s">
        <v>314</v>
      </c>
      <c r="P189" s="291" t="s">
        <v>501</v>
      </c>
      <c r="Q189" s="291" t="s">
        <v>2608</v>
      </c>
      <c r="R189" s="458">
        <v>7190</v>
      </c>
      <c r="S189" s="404">
        <v>33.1</v>
      </c>
      <c r="T189" s="459">
        <f t="shared" si="38"/>
        <v>237989</v>
      </c>
      <c r="U189" s="409" t="s">
        <v>107</v>
      </c>
      <c r="V189" s="288" t="s">
        <v>313</v>
      </c>
      <c r="W189" s="296" t="str">
        <f t="shared" si="47"/>
        <v>Jan-26</v>
      </c>
      <c r="X189" s="293" t="s">
        <v>2619</v>
      </c>
      <c r="Y189" s="293" t="s">
        <v>2577</v>
      </c>
      <c r="Z189" s="318">
        <v>46035</v>
      </c>
      <c r="AA189" s="293" t="s">
        <v>2573</v>
      </c>
      <c r="AB189" s="293" t="s">
        <v>2629</v>
      </c>
      <c r="AC189" s="298" t="s">
        <v>500</v>
      </c>
      <c r="AD189" s="298" t="s">
        <v>2630</v>
      </c>
      <c r="AE189" s="512">
        <v>19745</v>
      </c>
      <c r="AF189" s="513">
        <v>33.25</v>
      </c>
      <c r="AG189" s="514">
        <f t="shared" si="39"/>
        <v>656521.25</v>
      </c>
      <c r="AH189" s="514">
        <v>-4821.25</v>
      </c>
      <c r="AI189" s="514">
        <f t="shared" si="40"/>
        <v>651700</v>
      </c>
      <c r="AJ189" s="514">
        <v>0</v>
      </c>
      <c r="AK189" s="514">
        <f t="shared" si="41"/>
        <v>19745</v>
      </c>
      <c r="AL189" s="514">
        <f t="shared" si="42"/>
        <v>653559.5</v>
      </c>
      <c r="AM189" s="515">
        <f t="shared" si="43"/>
        <v>-1859.5</v>
      </c>
      <c r="AN189" s="299">
        <f t="shared" si="44"/>
        <v>-2.853306736228326E-3</v>
      </c>
      <c r="AO189" s="296">
        <f t="shared" si="48"/>
        <v>653559.5</v>
      </c>
      <c r="AP189" s="274">
        <f t="shared" si="53"/>
        <v>176</v>
      </c>
      <c r="AQ189" s="275">
        <f t="shared" si="54"/>
        <v>10729.717764383562</v>
      </c>
      <c r="AR189" s="275">
        <f t="shared" si="49"/>
        <v>-12589.217764383562</v>
      </c>
      <c r="AS189" s="280">
        <f t="shared" si="55"/>
        <v>-1.931750462541593E-2</v>
      </c>
    </row>
    <row r="190" spans="2:45" x14ac:dyDescent="0.3">
      <c r="B190" s="287">
        <f t="shared" si="45"/>
        <v>186</v>
      </c>
      <c r="C190" s="272" t="s">
        <v>174</v>
      </c>
      <c r="D190" s="288" t="str">
        <f t="shared" si="46"/>
        <v>Jul-25</v>
      </c>
      <c r="E190" s="288" t="s">
        <v>107</v>
      </c>
      <c r="F190" s="289">
        <v>45859</v>
      </c>
      <c r="G190" s="290" t="s">
        <v>1456</v>
      </c>
      <c r="H190" s="291" t="s">
        <v>2598</v>
      </c>
      <c r="I190" s="290" t="s">
        <v>401</v>
      </c>
      <c r="J190" s="387">
        <v>5252000545</v>
      </c>
      <c r="K190" s="289">
        <v>45859</v>
      </c>
      <c r="L190" s="291" t="s">
        <v>1474</v>
      </c>
      <c r="M190" s="289">
        <v>45859</v>
      </c>
      <c r="N190" s="291" t="s">
        <v>255</v>
      </c>
      <c r="O190" s="290" t="s">
        <v>314</v>
      </c>
      <c r="P190" s="291" t="s">
        <v>501</v>
      </c>
      <c r="Q190" s="291" t="s">
        <v>2608</v>
      </c>
      <c r="R190" s="458">
        <v>6120</v>
      </c>
      <c r="S190" s="404">
        <v>33.1</v>
      </c>
      <c r="T190" s="459">
        <f t="shared" si="38"/>
        <v>202572</v>
      </c>
      <c r="U190" s="409" t="s">
        <v>107</v>
      </c>
      <c r="V190" s="288" t="s">
        <v>313</v>
      </c>
      <c r="W190" s="296" t="str">
        <f t="shared" si="47"/>
        <v>Jan-26</v>
      </c>
      <c r="X190" s="293" t="s">
        <v>2617</v>
      </c>
      <c r="Y190" s="293" t="s">
        <v>2578</v>
      </c>
      <c r="Z190" s="318">
        <v>46036</v>
      </c>
      <c r="AA190" s="293" t="s">
        <v>2574</v>
      </c>
      <c r="AB190" s="293" t="s">
        <v>2627</v>
      </c>
      <c r="AC190" s="298" t="s">
        <v>501</v>
      </c>
      <c r="AD190" s="298" t="s">
        <v>501</v>
      </c>
      <c r="AE190" s="512">
        <v>30865</v>
      </c>
      <c r="AF190" s="513">
        <v>35.5</v>
      </c>
      <c r="AG190" s="514">
        <f t="shared" si="39"/>
        <v>1095707.5</v>
      </c>
      <c r="AH190" s="514">
        <v>-2307.5</v>
      </c>
      <c r="AI190" s="514">
        <f t="shared" si="40"/>
        <v>1093400</v>
      </c>
      <c r="AJ190" s="514">
        <v>0</v>
      </c>
      <c r="AK190" s="514">
        <f t="shared" si="41"/>
        <v>30865</v>
      </c>
      <c r="AL190" s="514">
        <f t="shared" si="42"/>
        <v>1021631.5</v>
      </c>
      <c r="AM190" s="515">
        <f t="shared" si="43"/>
        <v>71768.5</v>
      </c>
      <c r="AN190" s="299">
        <f t="shared" si="44"/>
        <v>6.563791841960856E-2</v>
      </c>
      <c r="AO190" s="296">
        <f t="shared" si="48"/>
        <v>1021631.5</v>
      </c>
      <c r="AP190" s="274">
        <f t="shared" si="53"/>
        <v>177</v>
      </c>
      <c r="AQ190" s="275">
        <f t="shared" si="54"/>
        <v>9184.8364767123276</v>
      </c>
      <c r="AR190" s="275">
        <f t="shared" si="49"/>
        <v>62583.663523287672</v>
      </c>
      <c r="AS190" s="280">
        <f t="shared" si="55"/>
        <v>5.7237665559985065E-2</v>
      </c>
    </row>
    <row r="191" spans="2:45" x14ac:dyDescent="0.3">
      <c r="B191" s="287">
        <f t="shared" si="45"/>
        <v>187</v>
      </c>
      <c r="C191" s="272" t="s">
        <v>174</v>
      </c>
      <c r="D191" s="288" t="str">
        <f t="shared" si="46"/>
        <v>Jul-25</v>
      </c>
      <c r="E191" s="288" t="s">
        <v>107</v>
      </c>
      <c r="F191" s="289">
        <v>45861</v>
      </c>
      <c r="G191" s="290" t="s">
        <v>1458</v>
      </c>
      <c r="H191" s="291" t="s">
        <v>2598</v>
      </c>
      <c r="I191" s="290" t="s">
        <v>401</v>
      </c>
      <c r="J191" s="387">
        <v>6252000030</v>
      </c>
      <c r="K191" s="289">
        <v>45861</v>
      </c>
      <c r="L191" s="291" t="s">
        <v>1476</v>
      </c>
      <c r="M191" s="289">
        <v>45861</v>
      </c>
      <c r="N191" s="291" t="s">
        <v>255</v>
      </c>
      <c r="O191" s="290" t="s">
        <v>1427</v>
      </c>
      <c r="P191" s="291" t="s">
        <v>501</v>
      </c>
      <c r="Q191" s="291" t="s">
        <v>2608</v>
      </c>
      <c r="R191" s="458">
        <v>19450</v>
      </c>
      <c r="S191" s="404">
        <v>33.1</v>
      </c>
      <c r="T191" s="459">
        <f t="shared" si="38"/>
        <v>643795</v>
      </c>
      <c r="U191" s="409" t="s">
        <v>107</v>
      </c>
      <c r="V191" s="288" t="s">
        <v>313</v>
      </c>
      <c r="W191" s="296" t="str">
        <f t="shared" si="47"/>
        <v>Jan-26</v>
      </c>
      <c r="X191" s="293" t="s">
        <v>2619</v>
      </c>
      <c r="Y191" s="293" t="s">
        <v>2579</v>
      </c>
      <c r="Z191" s="318">
        <v>46037</v>
      </c>
      <c r="AA191" s="293" t="s">
        <v>2575</v>
      </c>
      <c r="AB191" s="293" t="s">
        <v>2629</v>
      </c>
      <c r="AC191" s="298" t="s">
        <v>500</v>
      </c>
      <c r="AD191" s="298" t="s">
        <v>2630</v>
      </c>
      <c r="AE191" s="512">
        <v>24770</v>
      </c>
      <c r="AF191" s="513">
        <v>33.25</v>
      </c>
      <c r="AG191" s="514">
        <f t="shared" si="39"/>
        <v>823602.5</v>
      </c>
      <c r="AH191" s="514">
        <v>-2327.5</v>
      </c>
      <c r="AI191" s="514">
        <f t="shared" si="40"/>
        <v>821275</v>
      </c>
      <c r="AJ191" s="514">
        <v>0</v>
      </c>
      <c r="AK191" s="514">
        <f t="shared" si="41"/>
        <v>24770</v>
      </c>
      <c r="AL191" s="514">
        <f t="shared" si="42"/>
        <v>819887</v>
      </c>
      <c r="AM191" s="515">
        <f t="shared" si="43"/>
        <v>1388</v>
      </c>
      <c r="AN191" s="299">
        <f t="shared" si="44"/>
        <v>1.6900550972573133E-3</v>
      </c>
      <c r="AO191" s="296">
        <f t="shared" si="48"/>
        <v>819887</v>
      </c>
      <c r="AP191" s="274">
        <f t="shared" si="53"/>
        <v>176</v>
      </c>
      <c r="AQ191" s="275">
        <f t="shared" si="54"/>
        <v>29025.453479452055</v>
      </c>
      <c r="AR191" s="275">
        <f t="shared" si="49"/>
        <v>-27637.453479452055</v>
      </c>
      <c r="AS191" s="280">
        <f t="shared" si="55"/>
        <v>-3.365188697994223E-2</v>
      </c>
    </row>
    <row r="192" spans="2:45" x14ac:dyDescent="0.3">
      <c r="B192" s="287">
        <f t="shared" si="45"/>
        <v>188</v>
      </c>
      <c r="C192" s="272" t="s">
        <v>174</v>
      </c>
      <c r="D192" s="288" t="str">
        <f t="shared" si="46"/>
        <v>Jul-25</v>
      </c>
      <c r="E192" s="288" t="s">
        <v>107</v>
      </c>
      <c r="F192" s="289">
        <v>45863</v>
      </c>
      <c r="G192" s="290" t="s">
        <v>1459</v>
      </c>
      <c r="H192" s="291" t="s">
        <v>2598</v>
      </c>
      <c r="I192" s="290" t="s">
        <v>401</v>
      </c>
      <c r="J192" s="387">
        <v>8252000971</v>
      </c>
      <c r="K192" s="289">
        <v>45863</v>
      </c>
      <c r="L192" s="291" t="s">
        <v>1477</v>
      </c>
      <c r="M192" s="289">
        <v>45864</v>
      </c>
      <c r="N192" s="291" t="s">
        <v>255</v>
      </c>
      <c r="O192" s="290" t="s">
        <v>1478</v>
      </c>
      <c r="P192" s="291" t="s">
        <v>501</v>
      </c>
      <c r="Q192" s="291" t="s">
        <v>2608</v>
      </c>
      <c r="R192" s="458">
        <v>20340</v>
      </c>
      <c r="S192" s="404">
        <v>33.1</v>
      </c>
      <c r="T192" s="459">
        <f t="shared" si="38"/>
        <v>673254</v>
      </c>
      <c r="U192" s="409" t="s">
        <v>107</v>
      </c>
      <c r="V192" s="288" t="s">
        <v>313</v>
      </c>
      <c r="W192" s="296" t="str">
        <f t="shared" si="47"/>
        <v>Jan-26</v>
      </c>
      <c r="X192" s="293" t="s">
        <v>2619</v>
      </c>
      <c r="Y192" s="293" t="s">
        <v>2580</v>
      </c>
      <c r="Z192" s="318">
        <v>46037</v>
      </c>
      <c r="AA192" s="293" t="s">
        <v>2576</v>
      </c>
      <c r="AB192" s="293" t="s">
        <v>2629</v>
      </c>
      <c r="AC192" s="298" t="s">
        <v>500</v>
      </c>
      <c r="AD192" s="298" t="s">
        <v>2630</v>
      </c>
      <c r="AE192" s="512">
        <v>25160</v>
      </c>
      <c r="AF192" s="513">
        <v>33.25</v>
      </c>
      <c r="AG192" s="514">
        <f t="shared" si="39"/>
        <v>836570</v>
      </c>
      <c r="AH192" s="514">
        <v>-2660</v>
      </c>
      <c r="AI192" s="514">
        <f t="shared" si="40"/>
        <v>833910</v>
      </c>
      <c r="AJ192" s="514">
        <v>0</v>
      </c>
      <c r="AK192" s="514">
        <f t="shared" si="41"/>
        <v>25160</v>
      </c>
      <c r="AL192" s="514">
        <f t="shared" si="42"/>
        <v>832796</v>
      </c>
      <c r="AM192" s="515">
        <f t="shared" si="43"/>
        <v>1114</v>
      </c>
      <c r="AN192" s="299">
        <f t="shared" si="44"/>
        <v>1.3358755741027209E-3</v>
      </c>
      <c r="AO192" s="296">
        <f t="shared" si="48"/>
        <v>832796</v>
      </c>
      <c r="AP192" s="274">
        <f t="shared" si="53"/>
        <v>174</v>
      </c>
      <c r="AQ192" s="275">
        <f t="shared" si="54"/>
        <v>30008.683084931512</v>
      </c>
      <c r="AR192" s="275">
        <f t="shared" si="49"/>
        <v>-28894.683084931512</v>
      </c>
      <c r="AS192" s="280">
        <f t="shared" si="55"/>
        <v>-3.4649642149550325E-2</v>
      </c>
    </row>
    <row r="193" spans="2:45" x14ac:dyDescent="0.3">
      <c r="B193" s="287">
        <f t="shared" si="45"/>
        <v>189</v>
      </c>
      <c r="C193" s="272" t="s">
        <v>174</v>
      </c>
      <c r="D193" s="288" t="str">
        <f t="shared" si="46"/>
        <v>Jul-25</v>
      </c>
      <c r="E193" s="288" t="s">
        <v>107</v>
      </c>
      <c r="F193" s="289">
        <v>45865</v>
      </c>
      <c r="G193" s="290" t="s">
        <v>1492</v>
      </c>
      <c r="H193" s="291" t="s">
        <v>2598</v>
      </c>
      <c r="I193" s="290" t="s">
        <v>401</v>
      </c>
      <c r="J193" s="387">
        <v>42522001600</v>
      </c>
      <c r="K193" s="289">
        <v>45865</v>
      </c>
      <c r="L193" s="291" t="s">
        <v>1493</v>
      </c>
      <c r="M193" s="289">
        <v>45866</v>
      </c>
      <c r="N193" s="291" t="s">
        <v>255</v>
      </c>
      <c r="O193" s="290" t="s">
        <v>1494</v>
      </c>
      <c r="P193" s="291" t="s">
        <v>501</v>
      </c>
      <c r="Q193" s="291" t="s">
        <v>2608</v>
      </c>
      <c r="R193" s="458">
        <v>33330</v>
      </c>
      <c r="S193" s="404">
        <v>33.1</v>
      </c>
      <c r="T193" s="459">
        <f t="shared" si="38"/>
        <v>1103223</v>
      </c>
      <c r="U193" s="409" t="s">
        <v>107</v>
      </c>
      <c r="V193" s="288" t="s">
        <v>313</v>
      </c>
      <c r="W193" s="296" t="str">
        <f t="shared" si="47"/>
        <v>Jan-26</v>
      </c>
      <c r="X193" s="293" t="s">
        <v>2617</v>
      </c>
      <c r="Y193" s="293" t="s">
        <v>2659</v>
      </c>
      <c r="Z193" s="318">
        <v>46046</v>
      </c>
      <c r="AA193" s="293" t="s">
        <v>2657</v>
      </c>
      <c r="AB193" s="293" t="s">
        <v>1497</v>
      </c>
      <c r="AC193" s="298" t="s">
        <v>500</v>
      </c>
      <c r="AD193" s="298" t="s">
        <v>2683</v>
      </c>
      <c r="AE193" s="512">
        <v>28195</v>
      </c>
      <c r="AF193" s="513">
        <v>36</v>
      </c>
      <c r="AG193" s="514">
        <f t="shared" si="39"/>
        <v>1015020</v>
      </c>
      <c r="AH193" s="514">
        <v>-3420</v>
      </c>
      <c r="AI193" s="514">
        <f t="shared" si="40"/>
        <v>1011600</v>
      </c>
      <c r="AJ193" s="514">
        <v>0</v>
      </c>
      <c r="AK193" s="514">
        <f t="shared" si="41"/>
        <v>28195</v>
      </c>
      <c r="AL193" s="514">
        <f t="shared" si="42"/>
        <v>933254.5</v>
      </c>
      <c r="AM193" s="515">
        <f t="shared" si="43"/>
        <v>78345.5</v>
      </c>
      <c r="AN193" s="299">
        <f t="shared" si="44"/>
        <v>7.7447113483590346E-2</v>
      </c>
      <c r="AO193" s="296">
        <f t="shared" si="48"/>
        <v>933254.5</v>
      </c>
      <c r="AP193" s="274">
        <f t="shared" si="53"/>
        <v>181</v>
      </c>
      <c r="AQ193" s="275">
        <f t="shared" si="54"/>
        <v>51151.765590410956</v>
      </c>
      <c r="AR193" s="275">
        <f t="shared" si="49"/>
        <v>27193.734409589044</v>
      </c>
      <c r="AS193" s="280">
        <f t="shared" si="55"/>
        <v>2.6881904319483042E-2</v>
      </c>
    </row>
    <row r="194" spans="2:45" x14ac:dyDescent="0.3">
      <c r="B194" s="287">
        <f t="shared" si="45"/>
        <v>190</v>
      </c>
      <c r="C194" s="272" t="s">
        <v>174</v>
      </c>
      <c r="D194" s="288" t="str">
        <f t="shared" si="46"/>
        <v>Jul-25</v>
      </c>
      <c r="E194" s="288" t="s">
        <v>107</v>
      </c>
      <c r="F194" s="289">
        <v>45867</v>
      </c>
      <c r="G194" s="290" t="s">
        <v>1500</v>
      </c>
      <c r="H194" s="291" t="s">
        <v>2598</v>
      </c>
      <c r="I194" s="290" t="s">
        <v>401</v>
      </c>
      <c r="J194" s="387">
        <v>5252000598</v>
      </c>
      <c r="K194" s="289">
        <v>45867</v>
      </c>
      <c r="L194" s="291" t="s">
        <v>1511</v>
      </c>
      <c r="M194" s="289">
        <v>45868</v>
      </c>
      <c r="N194" s="291" t="s">
        <v>255</v>
      </c>
      <c r="O194" s="290" t="s">
        <v>1512</v>
      </c>
      <c r="P194" s="291" t="s">
        <v>501</v>
      </c>
      <c r="Q194" s="291" t="s">
        <v>2608</v>
      </c>
      <c r="R194" s="458">
        <v>25260</v>
      </c>
      <c r="S194" s="404">
        <v>33.1</v>
      </c>
      <c r="T194" s="459">
        <f t="shared" si="38"/>
        <v>836106</v>
      </c>
      <c r="U194" s="298" t="s">
        <v>2756</v>
      </c>
      <c r="V194" s="288" t="s">
        <v>313</v>
      </c>
      <c r="W194" s="296" t="str">
        <f t="shared" si="47"/>
        <v>Jan-26</v>
      </c>
      <c r="X194" s="293" t="s">
        <v>2619</v>
      </c>
      <c r="Y194" s="293" t="s">
        <v>2738</v>
      </c>
      <c r="Z194" s="318">
        <v>46049</v>
      </c>
      <c r="AA194" s="293" t="s">
        <v>2739</v>
      </c>
      <c r="AB194" s="293" t="s">
        <v>2353</v>
      </c>
      <c r="AC194" s="298" t="s">
        <v>501</v>
      </c>
      <c r="AD194" s="298" t="s">
        <v>501</v>
      </c>
      <c r="AE194" s="512">
        <v>24470</v>
      </c>
      <c r="AF194" s="513">
        <v>35</v>
      </c>
      <c r="AG194" s="514">
        <f t="shared" si="39"/>
        <v>856450</v>
      </c>
      <c r="AH194" s="514">
        <v>0</v>
      </c>
      <c r="AI194" s="514">
        <f t="shared" si="40"/>
        <v>856450</v>
      </c>
      <c r="AJ194" s="514">
        <v>0</v>
      </c>
      <c r="AK194" s="514">
        <f t="shared" si="41"/>
        <v>24470</v>
      </c>
      <c r="AL194" s="514">
        <f t="shared" si="42"/>
        <v>809957</v>
      </c>
      <c r="AM194" s="515">
        <f t="shared" si="43"/>
        <v>46493</v>
      </c>
      <c r="AN194" s="299">
        <f t="shared" si="44"/>
        <v>5.4285714285714284E-2</v>
      </c>
      <c r="AO194" s="296">
        <f t="shared" si="48"/>
        <v>809957</v>
      </c>
      <c r="AP194" s="274">
        <f t="shared" si="53"/>
        <v>182</v>
      </c>
      <c r="AQ194" s="275">
        <f t="shared" si="54"/>
        <v>38980.865210958902</v>
      </c>
      <c r="AR194" s="275">
        <f t="shared" si="49"/>
        <v>7512.134789041098</v>
      </c>
      <c r="AS194" s="280">
        <f t="shared" si="55"/>
        <v>8.7712473454855493E-3</v>
      </c>
    </row>
    <row r="195" spans="2:45" x14ac:dyDescent="0.3">
      <c r="B195" s="287">
        <f t="shared" si="45"/>
        <v>191</v>
      </c>
      <c r="C195" s="272" t="s">
        <v>174</v>
      </c>
      <c r="D195" s="288" t="str">
        <f t="shared" si="46"/>
        <v>Jul-25</v>
      </c>
      <c r="E195" s="288" t="s">
        <v>107</v>
      </c>
      <c r="F195" s="289">
        <v>45868</v>
      </c>
      <c r="G195" s="290" t="s">
        <v>1501</v>
      </c>
      <c r="H195" s="291" t="s">
        <v>2598</v>
      </c>
      <c r="I195" s="290" t="s">
        <v>401</v>
      </c>
      <c r="J195" s="387">
        <v>8252001042</v>
      </c>
      <c r="K195" s="289">
        <v>45868</v>
      </c>
      <c r="L195" s="291" t="s">
        <v>1513</v>
      </c>
      <c r="M195" s="289">
        <v>45869</v>
      </c>
      <c r="N195" s="291" t="s">
        <v>255</v>
      </c>
      <c r="O195" s="290" t="s">
        <v>1514</v>
      </c>
      <c r="P195" s="291" t="s">
        <v>501</v>
      </c>
      <c r="Q195" s="291" t="s">
        <v>2608</v>
      </c>
      <c r="R195" s="458">
        <v>20350</v>
      </c>
      <c r="S195" s="404">
        <v>33.1</v>
      </c>
      <c r="T195" s="459">
        <f t="shared" si="38"/>
        <v>673585</v>
      </c>
      <c r="U195" s="409" t="s">
        <v>107</v>
      </c>
      <c r="V195" s="288" t="s">
        <v>313</v>
      </c>
      <c r="W195" s="296" t="str">
        <f t="shared" si="47"/>
        <v>Jan-26</v>
      </c>
      <c r="X195" s="293" t="s">
        <v>2619</v>
      </c>
      <c r="Y195" s="293" t="s">
        <v>2744</v>
      </c>
      <c r="Z195" s="318">
        <v>46049</v>
      </c>
      <c r="AA195" s="293" t="s">
        <v>2740</v>
      </c>
      <c r="AB195" s="293" t="s">
        <v>2353</v>
      </c>
      <c r="AC195" s="298" t="s">
        <v>500</v>
      </c>
      <c r="AD195" s="298" t="s">
        <v>2684</v>
      </c>
      <c r="AE195" s="512">
        <v>24625</v>
      </c>
      <c r="AF195" s="513">
        <v>35</v>
      </c>
      <c r="AG195" s="514">
        <f t="shared" si="39"/>
        <v>861875</v>
      </c>
      <c r="AH195" s="514">
        <v>-4025</v>
      </c>
      <c r="AI195" s="514">
        <f t="shared" si="40"/>
        <v>857850</v>
      </c>
      <c r="AJ195" s="514">
        <v>0</v>
      </c>
      <c r="AK195" s="514">
        <f t="shared" si="41"/>
        <v>24625</v>
      </c>
      <c r="AL195" s="514">
        <f t="shared" si="42"/>
        <v>815087.5</v>
      </c>
      <c r="AM195" s="515">
        <f t="shared" si="43"/>
        <v>42762.5</v>
      </c>
      <c r="AN195" s="299">
        <f t="shared" si="44"/>
        <v>4.9848458355190299E-2</v>
      </c>
      <c r="AO195" s="296">
        <f t="shared" si="48"/>
        <v>815087.5</v>
      </c>
      <c r="AP195" s="274">
        <f t="shared" si="53"/>
        <v>181</v>
      </c>
      <c r="AQ195" s="275">
        <f t="shared" si="54"/>
        <v>31231.276020547946</v>
      </c>
      <c r="AR195" s="275">
        <f t="shared" si="49"/>
        <v>11531.223979452054</v>
      </c>
      <c r="AS195" s="280">
        <f t="shared" si="55"/>
        <v>1.3442004988578485E-2</v>
      </c>
    </row>
    <row r="196" spans="2:45" x14ac:dyDescent="0.3">
      <c r="B196" s="287">
        <f t="shared" si="45"/>
        <v>192</v>
      </c>
      <c r="C196" s="272" t="s">
        <v>174</v>
      </c>
      <c r="D196" s="288" t="str">
        <f t="shared" si="46"/>
        <v>Jul-25</v>
      </c>
      <c r="E196" s="288" t="s">
        <v>107</v>
      </c>
      <c r="F196" s="289">
        <v>45868</v>
      </c>
      <c r="G196" s="290" t="s">
        <v>1502</v>
      </c>
      <c r="H196" s="291" t="s">
        <v>2598</v>
      </c>
      <c r="I196" s="290" t="s">
        <v>401</v>
      </c>
      <c r="J196" s="387">
        <v>8252001034</v>
      </c>
      <c r="K196" s="289">
        <v>45868</v>
      </c>
      <c r="L196" s="291" t="s">
        <v>1515</v>
      </c>
      <c r="M196" s="289">
        <v>45869</v>
      </c>
      <c r="N196" s="291" t="s">
        <v>255</v>
      </c>
      <c r="O196" s="290" t="s">
        <v>1516</v>
      </c>
      <c r="P196" s="291" t="s">
        <v>501</v>
      </c>
      <c r="Q196" s="291" t="s">
        <v>2608</v>
      </c>
      <c r="R196" s="458">
        <v>20480</v>
      </c>
      <c r="S196" s="404">
        <v>33.1</v>
      </c>
      <c r="T196" s="459">
        <f t="shared" si="38"/>
        <v>677888</v>
      </c>
      <c r="U196" s="298" t="s">
        <v>107</v>
      </c>
      <c r="V196" s="288" t="s">
        <v>313</v>
      </c>
      <c r="W196" s="296" t="str">
        <f t="shared" si="47"/>
        <v>Jan-26</v>
      </c>
      <c r="X196" s="293" t="s">
        <v>2619</v>
      </c>
      <c r="Y196" s="293" t="s">
        <v>2745</v>
      </c>
      <c r="Z196" s="318">
        <v>46050</v>
      </c>
      <c r="AA196" s="293" t="s">
        <v>2741</v>
      </c>
      <c r="AB196" s="293" t="s">
        <v>2353</v>
      </c>
      <c r="AC196" s="298" t="s">
        <v>500</v>
      </c>
      <c r="AD196" s="298" t="s">
        <v>2684</v>
      </c>
      <c r="AE196" s="512">
        <v>30355</v>
      </c>
      <c r="AF196" s="513">
        <v>35</v>
      </c>
      <c r="AG196" s="514">
        <f t="shared" si="39"/>
        <v>1062425</v>
      </c>
      <c r="AH196" s="514">
        <v>-1925</v>
      </c>
      <c r="AI196" s="514">
        <f t="shared" si="40"/>
        <v>1060500</v>
      </c>
      <c r="AJ196" s="514">
        <v>0</v>
      </c>
      <c r="AK196" s="514">
        <f t="shared" si="41"/>
        <v>30355</v>
      </c>
      <c r="AL196" s="514">
        <f t="shared" si="42"/>
        <v>1004750.5</v>
      </c>
      <c r="AM196" s="515">
        <f t="shared" si="43"/>
        <v>55749.5</v>
      </c>
      <c r="AN196" s="299">
        <f t="shared" si="44"/>
        <v>5.256907119283357E-2</v>
      </c>
      <c r="AO196" s="296">
        <f t="shared" si="48"/>
        <v>1004750.5</v>
      </c>
      <c r="AP196" s="274">
        <f t="shared" si="53"/>
        <v>182</v>
      </c>
      <c r="AQ196" s="275">
        <f t="shared" si="54"/>
        <v>31604.43861917808</v>
      </c>
      <c r="AR196" s="275">
        <f t="shared" si="49"/>
        <v>24145.06138082192</v>
      </c>
      <c r="AS196" s="280">
        <f t="shared" si="55"/>
        <v>2.2767620349667061E-2</v>
      </c>
    </row>
    <row r="197" spans="2:45" x14ac:dyDescent="0.3">
      <c r="B197" s="287">
        <f t="shared" si="45"/>
        <v>193</v>
      </c>
      <c r="C197" s="272" t="s">
        <v>174</v>
      </c>
      <c r="D197" s="288" t="str">
        <f t="shared" si="46"/>
        <v>Jul-25</v>
      </c>
      <c r="E197" s="288" t="s">
        <v>107</v>
      </c>
      <c r="F197" s="289">
        <v>45868</v>
      </c>
      <c r="G197" s="290" t="s">
        <v>1517</v>
      </c>
      <c r="H197" s="291" t="s">
        <v>2598</v>
      </c>
      <c r="I197" s="290" t="s">
        <v>401</v>
      </c>
      <c r="J197" s="387">
        <v>5252000604</v>
      </c>
      <c r="K197" s="289">
        <v>45868</v>
      </c>
      <c r="L197" s="291" t="s">
        <v>1518</v>
      </c>
      <c r="M197" s="289">
        <v>45870</v>
      </c>
      <c r="N197" s="291" t="s">
        <v>255</v>
      </c>
      <c r="O197" s="290" t="s">
        <v>1494</v>
      </c>
      <c r="P197" s="291" t="s">
        <v>501</v>
      </c>
      <c r="Q197" s="291" t="s">
        <v>2608</v>
      </c>
      <c r="R197" s="458">
        <v>21260</v>
      </c>
      <c r="S197" s="404">
        <v>33.1</v>
      </c>
      <c r="T197" s="459">
        <f t="shared" ref="T197:T260" si="56">R197*S197</f>
        <v>703706</v>
      </c>
      <c r="U197" s="298" t="s">
        <v>107</v>
      </c>
      <c r="V197" s="288" t="s">
        <v>313</v>
      </c>
      <c r="W197" s="296" t="str">
        <f t="shared" si="47"/>
        <v>Feb-26</v>
      </c>
      <c r="X197" s="293" t="s">
        <v>2617</v>
      </c>
      <c r="Y197" s="293" t="s">
        <v>2787</v>
      </c>
      <c r="Z197" s="318">
        <v>46056</v>
      </c>
      <c r="AA197" s="293" t="s">
        <v>2788</v>
      </c>
      <c r="AB197" s="293" t="s">
        <v>1497</v>
      </c>
      <c r="AC197" s="298" t="s">
        <v>500</v>
      </c>
      <c r="AD197" s="298" t="s">
        <v>2683</v>
      </c>
      <c r="AE197" s="512">
        <v>22945</v>
      </c>
      <c r="AF197" s="513">
        <v>36</v>
      </c>
      <c r="AG197" s="514">
        <f t="shared" ref="AG197:AG216" si="57">AE197*AF197</f>
        <v>826020</v>
      </c>
      <c r="AH197" s="514">
        <v>-1980</v>
      </c>
      <c r="AI197" s="514">
        <f t="shared" ref="AI197:AI260" si="58">AG197+AH197</f>
        <v>824040</v>
      </c>
      <c r="AJ197" s="514">
        <v>0</v>
      </c>
      <c r="AK197" s="514">
        <f t="shared" ref="AK197:AK260" si="59">AE197-AJ197</f>
        <v>22945</v>
      </c>
      <c r="AL197" s="514">
        <f t="shared" ref="AL197:AL217" si="60">AE197*S197</f>
        <v>759479.5</v>
      </c>
      <c r="AM197" s="515">
        <f t="shared" ref="AM197:AM217" si="61">(AG197+AH197)-AL197</f>
        <v>64560.5</v>
      </c>
      <c r="AN197" s="299">
        <f t="shared" ref="AN197:AN217" si="62">IFERROR(AM197/(AG197+AH197),0)</f>
        <v>7.8346318139896121E-2</v>
      </c>
      <c r="AO197" s="296">
        <f t="shared" si="48"/>
        <v>759479.5</v>
      </c>
      <c r="AP197" s="274">
        <f t="shared" si="53"/>
        <v>188</v>
      </c>
      <c r="AQ197" s="275">
        <f t="shared" si="54"/>
        <v>33889.709775342468</v>
      </c>
      <c r="AR197" s="275">
        <f t="shared" si="49"/>
        <v>30670.790224657532</v>
      </c>
      <c r="AS197" s="280">
        <f t="shared" si="55"/>
        <v>3.7220025999535861E-2</v>
      </c>
    </row>
    <row r="198" spans="2:45" x14ac:dyDescent="0.3">
      <c r="B198" s="287">
        <f t="shared" ref="B198:B261" si="63">B197+1</f>
        <v>194</v>
      </c>
      <c r="C198" s="272" t="s">
        <v>174</v>
      </c>
      <c r="D198" s="288" t="str">
        <f t="shared" ref="D198:D261" si="64">TEXT(F198,"mmm-yy")</f>
        <v>Jul-25</v>
      </c>
      <c r="E198" s="288" t="s">
        <v>107</v>
      </c>
      <c r="F198" s="289">
        <v>45868</v>
      </c>
      <c r="G198" s="290" t="s">
        <v>1519</v>
      </c>
      <c r="H198" s="291" t="s">
        <v>2598</v>
      </c>
      <c r="I198" s="290" t="s">
        <v>401</v>
      </c>
      <c r="J198" s="387">
        <v>5252000605</v>
      </c>
      <c r="K198" s="289">
        <v>45868</v>
      </c>
      <c r="L198" s="291" t="s">
        <v>1520</v>
      </c>
      <c r="M198" s="289">
        <v>45870</v>
      </c>
      <c r="N198" s="291" t="s">
        <v>255</v>
      </c>
      <c r="O198" s="290" t="s">
        <v>1494</v>
      </c>
      <c r="P198" s="291" t="s">
        <v>501</v>
      </c>
      <c r="Q198" s="291" t="s">
        <v>2608</v>
      </c>
      <c r="R198" s="458">
        <v>11950</v>
      </c>
      <c r="S198" s="404">
        <v>33.1</v>
      </c>
      <c r="T198" s="459">
        <f t="shared" si="56"/>
        <v>395545</v>
      </c>
      <c r="U198" s="298" t="s">
        <v>107</v>
      </c>
      <c r="V198" s="288" t="s">
        <v>313</v>
      </c>
      <c r="W198" s="296" t="str">
        <f t="shared" ref="W198:W261" si="65">TEXT(Z198,"mmm-yy")</f>
        <v>Feb-26</v>
      </c>
      <c r="X198" s="293" t="s">
        <v>2619</v>
      </c>
      <c r="Y198" s="293" t="s">
        <v>2805</v>
      </c>
      <c r="Z198" s="318">
        <v>46067</v>
      </c>
      <c r="AA198" s="293" t="s">
        <v>2842</v>
      </c>
      <c r="AB198" s="293" t="s">
        <v>2353</v>
      </c>
      <c r="AC198" s="298" t="s">
        <v>500</v>
      </c>
      <c r="AD198" s="298" t="s">
        <v>2684</v>
      </c>
      <c r="AE198" s="512">
        <v>23510</v>
      </c>
      <c r="AF198" s="513">
        <v>35.5</v>
      </c>
      <c r="AG198" s="514">
        <f t="shared" si="57"/>
        <v>834605</v>
      </c>
      <c r="AH198" s="514">
        <v>-1775</v>
      </c>
      <c r="AI198" s="514">
        <f t="shared" si="58"/>
        <v>832830</v>
      </c>
      <c r="AJ198" s="514">
        <v>0</v>
      </c>
      <c r="AK198" s="514">
        <f t="shared" si="59"/>
        <v>23510</v>
      </c>
      <c r="AL198" s="514">
        <f t="shared" si="60"/>
        <v>778181</v>
      </c>
      <c r="AM198" s="515">
        <f t="shared" si="61"/>
        <v>54649</v>
      </c>
      <c r="AN198" s="299">
        <f t="shared" si="62"/>
        <v>6.5618433533854451E-2</v>
      </c>
      <c r="AO198" s="296">
        <f t="shared" ref="AO198:AO261" si="66">AE198*S198</f>
        <v>778181</v>
      </c>
      <c r="AP198" s="274">
        <f t="shared" si="53"/>
        <v>199</v>
      </c>
      <c r="AQ198" s="275">
        <f t="shared" si="54"/>
        <v>20163.583678082192</v>
      </c>
      <c r="AR198" s="275">
        <f t="shared" ref="AR198:AR261" si="67">AM198-AQ198</f>
        <v>34485.416321917808</v>
      </c>
      <c r="AS198" s="280">
        <f t="shared" si="55"/>
        <v>4.1407509722173559E-2</v>
      </c>
    </row>
    <row r="199" spans="2:45" x14ac:dyDescent="0.3">
      <c r="B199" s="287">
        <f t="shared" si="63"/>
        <v>195</v>
      </c>
      <c r="C199" s="272" t="s">
        <v>174</v>
      </c>
      <c r="D199" s="288" t="str">
        <f t="shared" si="64"/>
        <v>Aug-25</v>
      </c>
      <c r="E199" s="288" t="s">
        <v>107</v>
      </c>
      <c r="F199" s="289">
        <v>45876</v>
      </c>
      <c r="G199" s="290" t="s">
        <v>1585</v>
      </c>
      <c r="H199" s="291" t="s">
        <v>2596</v>
      </c>
      <c r="I199" s="290" t="s">
        <v>251</v>
      </c>
      <c r="J199" s="387" t="s">
        <v>1596</v>
      </c>
      <c r="K199" s="289">
        <v>45876</v>
      </c>
      <c r="L199" s="291" t="s">
        <v>1597</v>
      </c>
      <c r="M199" s="289">
        <v>45877</v>
      </c>
      <c r="N199" s="291" t="s">
        <v>255</v>
      </c>
      <c r="O199" s="290" t="s">
        <v>1598</v>
      </c>
      <c r="P199" s="291" t="s">
        <v>500</v>
      </c>
      <c r="Q199" s="291" t="s">
        <v>2607</v>
      </c>
      <c r="R199" s="458">
        <v>7920</v>
      </c>
      <c r="S199" s="404">
        <v>34</v>
      </c>
      <c r="T199" s="459">
        <f t="shared" si="56"/>
        <v>269280</v>
      </c>
      <c r="U199" s="298" t="s">
        <v>107</v>
      </c>
      <c r="V199" s="288" t="s">
        <v>313</v>
      </c>
      <c r="W199" s="296" t="str">
        <f t="shared" si="65"/>
        <v>Feb-26</v>
      </c>
      <c r="X199" s="293" t="s">
        <v>2630</v>
      </c>
      <c r="Y199" s="293" t="s">
        <v>2820</v>
      </c>
      <c r="Z199" s="318">
        <v>46054</v>
      </c>
      <c r="AA199" s="293" t="s">
        <v>2789</v>
      </c>
      <c r="AB199" s="293" t="s">
        <v>2353</v>
      </c>
      <c r="AC199" s="298" t="s">
        <v>500</v>
      </c>
      <c r="AD199" s="298" t="s">
        <v>2684</v>
      </c>
      <c r="AE199" s="512">
        <v>24425</v>
      </c>
      <c r="AF199" s="513">
        <v>35</v>
      </c>
      <c r="AG199" s="514">
        <f t="shared" si="57"/>
        <v>854875</v>
      </c>
      <c r="AH199" s="514">
        <v>-4725</v>
      </c>
      <c r="AI199" s="514">
        <f t="shared" si="58"/>
        <v>850150</v>
      </c>
      <c r="AJ199" s="514">
        <v>0</v>
      </c>
      <c r="AK199" s="514">
        <f t="shared" si="59"/>
        <v>24425</v>
      </c>
      <c r="AL199" s="514">
        <f t="shared" si="60"/>
        <v>830450</v>
      </c>
      <c r="AM199" s="515">
        <f t="shared" si="61"/>
        <v>19700</v>
      </c>
      <c r="AN199" s="299">
        <f t="shared" si="62"/>
        <v>2.3172381344468623E-2</v>
      </c>
      <c r="AO199" s="296">
        <f t="shared" si="66"/>
        <v>830450</v>
      </c>
      <c r="AP199" s="274">
        <f t="shared" si="53"/>
        <v>178</v>
      </c>
      <c r="AQ199" s="275">
        <f t="shared" si="54"/>
        <v>12278.430246575343</v>
      </c>
      <c r="AR199" s="275">
        <f t="shared" si="67"/>
        <v>7421.5697534246574</v>
      </c>
      <c r="AS199" s="280">
        <f t="shared" si="55"/>
        <v>8.7297179949710722E-3</v>
      </c>
    </row>
    <row r="200" spans="2:45" x14ac:dyDescent="0.3">
      <c r="B200" s="287">
        <f t="shared" si="63"/>
        <v>196</v>
      </c>
      <c r="C200" s="272" t="s">
        <v>174</v>
      </c>
      <c r="D200" s="288" t="str">
        <f t="shared" si="64"/>
        <v>Aug-25</v>
      </c>
      <c r="E200" s="288" t="s">
        <v>107</v>
      </c>
      <c r="F200" s="289">
        <v>45876</v>
      </c>
      <c r="G200" s="290" t="s">
        <v>1586</v>
      </c>
      <c r="H200" s="291" t="s">
        <v>2596</v>
      </c>
      <c r="I200" s="290" t="s">
        <v>251</v>
      </c>
      <c r="J200" s="387" t="s">
        <v>1599</v>
      </c>
      <c r="K200" s="289">
        <v>45876</v>
      </c>
      <c r="L200" s="291" t="s">
        <v>1600</v>
      </c>
      <c r="M200" s="289">
        <v>45877</v>
      </c>
      <c r="N200" s="291" t="s">
        <v>255</v>
      </c>
      <c r="O200" s="290" t="s">
        <v>1598</v>
      </c>
      <c r="P200" s="291" t="s">
        <v>500</v>
      </c>
      <c r="Q200" s="291" t="s">
        <v>2607</v>
      </c>
      <c r="R200" s="458">
        <v>4990</v>
      </c>
      <c r="S200" s="404">
        <v>34</v>
      </c>
      <c r="T200" s="459">
        <f t="shared" si="56"/>
        <v>169660</v>
      </c>
      <c r="U200" s="298" t="s">
        <v>107</v>
      </c>
      <c r="V200" s="288" t="s">
        <v>313</v>
      </c>
      <c r="W200" s="296" t="str">
        <f t="shared" si="65"/>
        <v>Feb-26</v>
      </c>
      <c r="X200" s="293" t="s">
        <v>2630</v>
      </c>
      <c r="Y200" s="293" t="s">
        <v>2821</v>
      </c>
      <c r="Z200" s="318">
        <v>46070</v>
      </c>
      <c r="AA200" s="293" t="s">
        <v>2814</v>
      </c>
      <c r="AB200" s="293" t="s">
        <v>2353</v>
      </c>
      <c r="AC200" s="298" t="s">
        <v>500</v>
      </c>
      <c r="AD200" s="298" t="s">
        <v>2684</v>
      </c>
      <c r="AE200" s="512">
        <v>24680</v>
      </c>
      <c r="AF200" s="513">
        <v>35.5</v>
      </c>
      <c r="AG200" s="514">
        <f t="shared" si="57"/>
        <v>876140</v>
      </c>
      <c r="AH200" s="514">
        <v>-710</v>
      </c>
      <c r="AI200" s="514">
        <f t="shared" si="58"/>
        <v>875430</v>
      </c>
      <c r="AJ200" s="514">
        <v>0</v>
      </c>
      <c r="AK200" s="514">
        <f t="shared" si="59"/>
        <v>24680</v>
      </c>
      <c r="AL200" s="514">
        <f t="shared" si="60"/>
        <v>839120</v>
      </c>
      <c r="AM200" s="515">
        <f t="shared" si="61"/>
        <v>36310</v>
      </c>
      <c r="AN200" s="299">
        <f t="shared" si="62"/>
        <v>4.1476759992232388E-2</v>
      </c>
      <c r="AO200" s="296">
        <f t="shared" si="66"/>
        <v>839120</v>
      </c>
      <c r="AP200" s="274">
        <f t="shared" si="53"/>
        <v>194</v>
      </c>
      <c r="AQ200" s="275">
        <f t="shared" si="54"/>
        <v>8431.4047671232875</v>
      </c>
      <c r="AR200" s="275">
        <f t="shared" si="67"/>
        <v>27878.595232876713</v>
      </c>
      <c r="AS200" s="280">
        <f t="shared" si="55"/>
        <v>3.1845601856089818E-2</v>
      </c>
    </row>
    <row r="201" spans="2:45" x14ac:dyDescent="0.3">
      <c r="B201" s="287">
        <f t="shared" si="63"/>
        <v>197</v>
      </c>
      <c r="C201" s="272" t="s">
        <v>174</v>
      </c>
      <c r="D201" s="288" t="str">
        <f t="shared" si="64"/>
        <v>Aug-25</v>
      </c>
      <c r="E201" s="288" t="s">
        <v>107</v>
      </c>
      <c r="F201" s="289">
        <v>45877</v>
      </c>
      <c r="G201" s="290" t="s">
        <v>1587</v>
      </c>
      <c r="H201" s="291" t="s">
        <v>2596</v>
      </c>
      <c r="I201" s="290" t="s">
        <v>251</v>
      </c>
      <c r="J201" s="387" t="s">
        <v>1601</v>
      </c>
      <c r="K201" s="289">
        <v>45877</v>
      </c>
      <c r="L201" s="291" t="s">
        <v>1602</v>
      </c>
      <c r="M201" s="289">
        <v>45878</v>
      </c>
      <c r="N201" s="291" t="s">
        <v>255</v>
      </c>
      <c r="O201" s="290" t="s">
        <v>1598</v>
      </c>
      <c r="P201" s="291" t="s">
        <v>500</v>
      </c>
      <c r="Q201" s="291" t="s">
        <v>2607</v>
      </c>
      <c r="R201" s="458">
        <v>6740</v>
      </c>
      <c r="S201" s="404">
        <v>34</v>
      </c>
      <c r="T201" s="459">
        <f t="shared" si="56"/>
        <v>229160</v>
      </c>
      <c r="U201" s="298" t="s">
        <v>107</v>
      </c>
      <c r="V201" s="288" t="s">
        <v>313</v>
      </c>
      <c r="W201" s="296" t="str">
        <f t="shared" si="65"/>
        <v>Feb-26</v>
      </c>
      <c r="X201" s="293" t="s">
        <v>2617</v>
      </c>
      <c r="Y201" s="293" t="s">
        <v>2822</v>
      </c>
      <c r="Z201" s="318">
        <v>46072</v>
      </c>
      <c r="AA201" s="293" t="s">
        <v>2815</v>
      </c>
      <c r="AB201" s="293" t="s">
        <v>1465</v>
      </c>
      <c r="AC201" s="298" t="s">
        <v>501</v>
      </c>
      <c r="AD201" s="298" t="s">
        <v>2827</v>
      </c>
      <c r="AE201" s="512">
        <v>19910</v>
      </c>
      <c r="AF201" s="513">
        <v>34.1</v>
      </c>
      <c r="AG201" s="514">
        <f t="shared" si="57"/>
        <v>678931</v>
      </c>
      <c r="AH201" s="514">
        <v>-4092</v>
      </c>
      <c r="AI201" s="514">
        <f t="shared" si="58"/>
        <v>674839</v>
      </c>
      <c r="AJ201" s="514">
        <v>0</v>
      </c>
      <c r="AK201" s="514">
        <f t="shared" si="59"/>
        <v>19910</v>
      </c>
      <c r="AL201" s="514">
        <f t="shared" si="60"/>
        <v>676940</v>
      </c>
      <c r="AM201" s="515">
        <f t="shared" si="61"/>
        <v>-2101</v>
      </c>
      <c r="AN201" s="299">
        <f t="shared" si="62"/>
        <v>-3.1133351806875418E-3</v>
      </c>
      <c r="AO201" s="296">
        <f t="shared" si="66"/>
        <v>676940</v>
      </c>
      <c r="AP201" s="274">
        <f t="shared" si="53"/>
        <v>195</v>
      </c>
      <c r="AQ201" s="275">
        <f t="shared" si="54"/>
        <v>11447.012876712328</v>
      </c>
      <c r="AR201" s="275">
        <f t="shared" si="67"/>
        <v>-13548.012876712328</v>
      </c>
      <c r="AS201" s="280">
        <f t="shared" si="55"/>
        <v>-2.0075918666100104E-2</v>
      </c>
    </row>
    <row r="202" spans="2:45" x14ac:dyDescent="0.3">
      <c r="B202" s="287">
        <f t="shared" si="63"/>
        <v>198</v>
      </c>
      <c r="C202" s="272" t="s">
        <v>174</v>
      </c>
      <c r="D202" s="288" t="str">
        <f t="shared" si="64"/>
        <v>Aug-25</v>
      </c>
      <c r="E202" s="288" t="s">
        <v>107</v>
      </c>
      <c r="F202" s="289">
        <v>45882</v>
      </c>
      <c r="G202" s="290" t="s">
        <v>1609</v>
      </c>
      <c r="H202" s="291" t="s">
        <v>2596</v>
      </c>
      <c r="I202" s="290" t="s">
        <v>251</v>
      </c>
      <c r="J202" s="387" t="s">
        <v>1619</v>
      </c>
      <c r="K202" s="289">
        <v>45882</v>
      </c>
      <c r="L202" s="291" t="s">
        <v>1620</v>
      </c>
      <c r="M202" s="289">
        <v>45882</v>
      </c>
      <c r="N202" s="291" t="s">
        <v>255</v>
      </c>
      <c r="O202" s="290" t="s">
        <v>1621</v>
      </c>
      <c r="P202" s="291" t="s">
        <v>501</v>
      </c>
      <c r="Q202" s="291" t="s">
        <v>2608</v>
      </c>
      <c r="R202" s="458">
        <v>13110</v>
      </c>
      <c r="S202" s="404">
        <v>33.5</v>
      </c>
      <c r="T202" s="459">
        <f t="shared" si="56"/>
        <v>439185</v>
      </c>
      <c r="U202" s="298" t="s">
        <v>107</v>
      </c>
      <c r="V202" s="288" t="s">
        <v>313</v>
      </c>
      <c r="W202" s="296" t="str">
        <f t="shared" si="65"/>
        <v>Feb-26</v>
      </c>
      <c r="X202" s="293" t="s">
        <v>2617</v>
      </c>
      <c r="Y202" s="293" t="s">
        <v>2823</v>
      </c>
      <c r="Z202" s="318">
        <v>46072</v>
      </c>
      <c r="AA202" s="293" t="s">
        <v>2816</v>
      </c>
      <c r="AB202" s="293" t="s">
        <v>1465</v>
      </c>
      <c r="AC202" s="298" t="s">
        <v>501</v>
      </c>
      <c r="AD202" s="298" t="s">
        <v>2827</v>
      </c>
      <c r="AE202" s="512">
        <v>25185</v>
      </c>
      <c r="AF202" s="513">
        <v>34.1</v>
      </c>
      <c r="AG202" s="514">
        <f t="shared" si="57"/>
        <v>858808.5</v>
      </c>
      <c r="AH202" s="514">
        <v>0</v>
      </c>
      <c r="AI202" s="514">
        <f t="shared" si="58"/>
        <v>858808.5</v>
      </c>
      <c r="AJ202" s="514">
        <v>0</v>
      </c>
      <c r="AK202" s="514">
        <f t="shared" si="59"/>
        <v>25185</v>
      </c>
      <c r="AL202" s="514">
        <f t="shared" si="60"/>
        <v>843697.5</v>
      </c>
      <c r="AM202" s="515">
        <f t="shared" si="61"/>
        <v>15111</v>
      </c>
      <c r="AN202" s="299">
        <f t="shared" si="62"/>
        <v>1.7595307917888565E-2</v>
      </c>
      <c r="AO202" s="296">
        <f t="shared" si="66"/>
        <v>843697.5</v>
      </c>
      <c r="AP202" s="274">
        <f t="shared" si="53"/>
        <v>190</v>
      </c>
      <c r="AQ202" s="275">
        <f t="shared" si="54"/>
        <v>21375.675410958906</v>
      </c>
      <c r="AR202" s="275">
        <f t="shared" si="67"/>
        <v>-6264.6754109589056</v>
      </c>
      <c r="AS202" s="280">
        <f t="shared" si="55"/>
        <v>-7.294612723277547E-3</v>
      </c>
    </row>
    <row r="203" spans="2:45" x14ac:dyDescent="0.3">
      <c r="B203" s="287">
        <f t="shared" si="63"/>
        <v>199</v>
      </c>
      <c r="C203" s="272" t="s">
        <v>174</v>
      </c>
      <c r="D203" s="288" t="str">
        <f t="shared" si="64"/>
        <v>Aug-25</v>
      </c>
      <c r="E203" s="288" t="s">
        <v>107</v>
      </c>
      <c r="F203" s="289">
        <v>45885</v>
      </c>
      <c r="G203" s="290" t="s">
        <v>1633</v>
      </c>
      <c r="H203" s="291" t="s">
        <v>2596</v>
      </c>
      <c r="I203" s="290" t="s">
        <v>2616</v>
      </c>
      <c r="J203" s="387" t="s">
        <v>1636</v>
      </c>
      <c r="K203" s="289">
        <v>45885</v>
      </c>
      <c r="L203" s="291" t="s">
        <v>1637</v>
      </c>
      <c r="M203" s="289">
        <v>45887</v>
      </c>
      <c r="N203" s="291" t="s">
        <v>255</v>
      </c>
      <c r="O203" s="290" t="s">
        <v>1621</v>
      </c>
      <c r="P203" s="291" t="s">
        <v>500</v>
      </c>
      <c r="Q203" s="291" t="s">
        <v>2607</v>
      </c>
      <c r="R203" s="458">
        <v>9500</v>
      </c>
      <c r="S203" s="404">
        <v>33.5</v>
      </c>
      <c r="T203" s="459">
        <f t="shared" si="56"/>
        <v>318250</v>
      </c>
      <c r="U203" s="298" t="s">
        <v>107</v>
      </c>
      <c r="V203" s="288" t="s">
        <v>313</v>
      </c>
      <c r="W203" s="296" t="str">
        <f t="shared" si="65"/>
        <v>Feb-26</v>
      </c>
      <c r="X203" s="293" t="s">
        <v>2617</v>
      </c>
      <c r="Y203" s="293" t="s">
        <v>2824</v>
      </c>
      <c r="Z203" s="318">
        <v>46073</v>
      </c>
      <c r="AA203" s="293" t="s">
        <v>2817</v>
      </c>
      <c r="AB203" s="293" t="s">
        <v>1465</v>
      </c>
      <c r="AC203" s="298" t="s">
        <v>501</v>
      </c>
      <c r="AD203" s="298" t="s">
        <v>2827</v>
      </c>
      <c r="AE203" s="512">
        <v>26595</v>
      </c>
      <c r="AF203" s="513">
        <v>34.1</v>
      </c>
      <c r="AG203" s="514">
        <f t="shared" si="57"/>
        <v>906889.5</v>
      </c>
      <c r="AH203" s="514">
        <v>-3921.5</v>
      </c>
      <c r="AI203" s="514">
        <f t="shared" si="58"/>
        <v>902968</v>
      </c>
      <c r="AJ203" s="514">
        <v>0</v>
      </c>
      <c r="AK203" s="514">
        <f t="shared" si="59"/>
        <v>26595</v>
      </c>
      <c r="AL203" s="514">
        <f t="shared" si="60"/>
        <v>890932.5</v>
      </c>
      <c r="AM203" s="515">
        <f t="shared" si="61"/>
        <v>12035.5</v>
      </c>
      <c r="AN203" s="299">
        <f t="shared" si="62"/>
        <v>1.3328822283846161E-2</v>
      </c>
      <c r="AO203" s="296">
        <f t="shared" si="66"/>
        <v>890932.5</v>
      </c>
      <c r="AP203" s="274">
        <f t="shared" ref="AP203:AP219" si="68">(Z203-K203)</f>
        <v>188</v>
      </c>
      <c r="AQ203" s="275">
        <f t="shared" ref="AQ203:AQ217" si="69">T203*9.35%*AP203/365</f>
        <v>15326.571232876713</v>
      </c>
      <c r="AR203" s="275">
        <f t="shared" si="67"/>
        <v>-3291.0712328767131</v>
      </c>
      <c r="AS203" s="280">
        <f t="shared" si="55"/>
        <v>-3.6447263168536571E-3</v>
      </c>
    </row>
    <row r="204" spans="2:45" x14ac:dyDescent="0.3">
      <c r="B204" s="287">
        <f t="shared" si="63"/>
        <v>200</v>
      </c>
      <c r="C204" s="272" t="s">
        <v>174</v>
      </c>
      <c r="D204" s="288" t="str">
        <f t="shared" si="64"/>
        <v>Aug-25</v>
      </c>
      <c r="E204" s="288" t="s">
        <v>107</v>
      </c>
      <c r="F204" s="289">
        <v>45886</v>
      </c>
      <c r="G204" s="290" t="s">
        <v>1634</v>
      </c>
      <c r="H204" s="291" t="s">
        <v>2596</v>
      </c>
      <c r="I204" s="290" t="s">
        <v>2616</v>
      </c>
      <c r="J204" s="387" t="s">
        <v>1638</v>
      </c>
      <c r="K204" s="289">
        <v>45886</v>
      </c>
      <c r="L204" s="291" t="s">
        <v>1639</v>
      </c>
      <c r="M204" s="289">
        <v>45887</v>
      </c>
      <c r="N204" s="291" t="s">
        <v>255</v>
      </c>
      <c r="O204" s="290" t="s">
        <v>1640</v>
      </c>
      <c r="P204" s="291" t="s">
        <v>500</v>
      </c>
      <c r="Q204" s="291" t="s">
        <v>2607</v>
      </c>
      <c r="R204" s="458">
        <v>6660</v>
      </c>
      <c r="S204" s="404">
        <v>33.5</v>
      </c>
      <c r="T204" s="459">
        <f t="shared" si="56"/>
        <v>223110</v>
      </c>
      <c r="U204" s="298" t="s">
        <v>107</v>
      </c>
      <c r="V204" s="288" t="s">
        <v>313</v>
      </c>
      <c r="W204" s="296" t="str">
        <f t="shared" si="65"/>
        <v>Feb-26</v>
      </c>
      <c r="X204" s="293" t="s">
        <v>2617</v>
      </c>
      <c r="Y204" s="293" t="s">
        <v>2825</v>
      </c>
      <c r="Z204" s="318">
        <v>46074</v>
      </c>
      <c r="AA204" s="293" t="s">
        <v>2818</v>
      </c>
      <c r="AB204" s="293" t="s">
        <v>1465</v>
      </c>
      <c r="AC204" s="298" t="s">
        <v>501</v>
      </c>
      <c r="AD204" s="298" t="s">
        <v>2827</v>
      </c>
      <c r="AE204" s="512">
        <v>28240</v>
      </c>
      <c r="AF204" s="513">
        <v>34.1</v>
      </c>
      <c r="AG204" s="514">
        <f t="shared" si="57"/>
        <v>962984</v>
      </c>
      <c r="AH204" s="514">
        <v>-5797</v>
      </c>
      <c r="AI204" s="514">
        <f t="shared" si="58"/>
        <v>957187</v>
      </c>
      <c r="AJ204" s="514">
        <v>0</v>
      </c>
      <c r="AK204" s="514">
        <f t="shared" si="59"/>
        <v>28240</v>
      </c>
      <c r="AL204" s="514">
        <f t="shared" si="60"/>
        <v>946040</v>
      </c>
      <c r="AM204" s="515">
        <f t="shared" si="61"/>
        <v>11147</v>
      </c>
      <c r="AN204" s="299">
        <f t="shared" si="62"/>
        <v>1.1645582315681262E-2</v>
      </c>
      <c r="AO204" s="296">
        <f t="shared" si="66"/>
        <v>946040</v>
      </c>
      <c r="AP204" s="274">
        <f t="shared" si="68"/>
        <v>188</v>
      </c>
      <c r="AQ204" s="275">
        <f t="shared" si="69"/>
        <v>10744.733095890411</v>
      </c>
      <c r="AR204" s="275">
        <f t="shared" si="67"/>
        <v>402.26690410958872</v>
      </c>
      <c r="AS204" s="280">
        <f t="shared" si="55"/>
        <v>4.2025947292387874E-4</v>
      </c>
    </row>
    <row r="205" spans="2:45" x14ac:dyDescent="0.3">
      <c r="B205" s="287">
        <f t="shared" si="63"/>
        <v>201</v>
      </c>
      <c r="C205" s="272" t="s">
        <v>174</v>
      </c>
      <c r="D205" s="288" t="str">
        <f t="shared" si="64"/>
        <v>Aug-25</v>
      </c>
      <c r="E205" s="288" t="s">
        <v>107</v>
      </c>
      <c r="F205" s="289">
        <v>45889</v>
      </c>
      <c r="G205" s="290" t="s">
        <v>1635</v>
      </c>
      <c r="H205" s="291" t="s">
        <v>2596</v>
      </c>
      <c r="I205" s="290" t="s">
        <v>2616</v>
      </c>
      <c r="J205" s="387" t="s">
        <v>1641</v>
      </c>
      <c r="K205" s="289">
        <v>45889</v>
      </c>
      <c r="L205" s="291" t="s">
        <v>1642</v>
      </c>
      <c r="M205" s="289">
        <v>45890</v>
      </c>
      <c r="N205" s="291" t="s">
        <v>255</v>
      </c>
      <c r="O205" s="290" t="s">
        <v>299</v>
      </c>
      <c r="P205" s="291" t="s">
        <v>501</v>
      </c>
      <c r="Q205" s="291" t="s">
        <v>2608</v>
      </c>
      <c r="R205" s="458">
        <v>14900</v>
      </c>
      <c r="S205" s="404">
        <v>33.5</v>
      </c>
      <c r="T205" s="459">
        <f t="shared" si="56"/>
        <v>499150</v>
      </c>
      <c r="U205" s="298" t="s">
        <v>107</v>
      </c>
      <c r="V205" s="288" t="s">
        <v>313</v>
      </c>
      <c r="W205" s="296" t="str">
        <f t="shared" si="65"/>
        <v>Feb-26</v>
      </c>
      <c r="X205" s="293" t="s">
        <v>2617</v>
      </c>
      <c r="Y205" s="293" t="s">
        <v>2826</v>
      </c>
      <c r="Z205" s="318">
        <v>46075</v>
      </c>
      <c r="AA205" s="293" t="s">
        <v>2819</v>
      </c>
      <c r="AB205" s="293" t="s">
        <v>1465</v>
      </c>
      <c r="AC205" s="298" t="s">
        <v>501</v>
      </c>
      <c r="AD205" s="298" t="s">
        <v>2827</v>
      </c>
      <c r="AE205" s="512">
        <v>27950</v>
      </c>
      <c r="AF205" s="513">
        <v>34.1</v>
      </c>
      <c r="AG205" s="514">
        <f t="shared" si="57"/>
        <v>953095</v>
      </c>
      <c r="AH205" s="514">
        <v>-1023</v>
      </c>
      <c r="AI205" s="514">
        <f t="shared" si="58"/>
        <v>952072</v>
      </c>
      <c r="AJ205" s="514">
        <v>0</v>
      </c>
      <c r="AK205" s="514">
        <f t="shared" si="59"/>
        <v>27950</v>
      </c>
      <c r="AL205" s="514">
        <f t="shared" si="60"/>
        <v>936325</v>
      </c>
      <c r="AM205" s="515">
        <f t="shared" si="61"/>
        <v>15747</v>
      </c>
      <c r="AN205" s="299">
        <f t="shared" si="62"/>
        <v>1.6539715483702915E-2</v>
      </c>
      <c r="AO205" s="296">
        <f t="shared" si="66"/>
        <v>936325</v>
      </c>
      <c r="AP205" s="274">
        <f t="shared" si="68"/>
        <v>186</v>
      </c>
      <c r="AQ205" s="275">
        <f t="shared" si="69"/>
        <v>23782.788082191782</v>
      </c>
      <c r="AR205" s="275">
        <f t="shared" si="67"/>
        <v>-8035.7880821917825</v>
      </c>
      <c r="AS205" s="280">
        <f t="shared" si="55"/>
        <v>-8.4403155246575712E-3</v>
      </c>
    </row>
    <row r="206" spans="2:45" x14ac:dyDescent="0.3">
      <c r="B206" s="287">
        <f t="shared" si="63"/>
        <v>202</v>
      </c>
      <c r="C206" s="272" t="s">
        <v>174</v>
      </c>
      <c r="D206" s="288" t="str">
        <f t="shared" si="64"/>
        <v>Sep-25</v>
      </c>
      <c r="E206" s="288" t="s">
        <v>107</v>
      </c>
      <c r="F206" s="289">
        <v>45903</v>
      </c>
      <c r="G206" s="290" t="s">
        <v>1668</v>
      </c>
      <c r="H206" s="291" t="s">
        <v>2598</v>
      </c>
      <c r="I206" s="290" t="s">
        <v>401</v>
      </c>
      <c r="J206" s="387">
        <v>6252000050</v>
      </c>
      <c r="K206" s="289">
        <v>45903</v>
      </c>
      <c r="L206" s="291" t="s">
        <v>1669</v>
      </c>
      <c r="M206" s="289">
        <v>45904</v>
      </c>
      <c r="N206" s="291" t="s">
        <v>255</v>
      </c>
      <c r="O206" s="296" t="s">
        <v>1427</v>
      </c>
      <c r="P206" s="291" t="s">
        <v>501</v>
      </c>
      <c r="Q206" s="291" t="s">
        <v>2608</v>
      </c>
      <c r="R206" s="458">
        <v>24020</v>
      </c>
      <c r="S206" s="404">
        <v>32.65</v>
      </c>
      <c r="T206" s="459">
        <f t="shared" si="56"/>
        <v>784253</v>
      </c>
      <c r="U206" s="298" t="s">
        <v>107</v>
      </c>
      <c r="V206" s="288" t="s">
        <v>313</v>
      </c>
      <c r="W206" s="296" t="str">
        <f t="shared" si="65"/>
        <v>Feb-26</v>
      </c>
      <c r="X206" s="293" t="s">
        <v>2617</v>
      </c>
      <c r="Y206" s="293" t="s">
        <v>2836</v>
      </c>
      <c r="Z206" s="318">
        <v>46076</v>
      </c>
      <c r="AA206" s="293" t="s">
        <v>2843</v>
      </c>
      <c r="AB206" s="293" t="s">
        <v>1465</v>
      </c>
      <c r="AC206" s="298" t="s">
        <v>501</v>
      </c>
      <c r="AD206" s="298" t="s">
        <v>501</v>
      </c>
      <c r="AE206" s="512">
        <v>27105</v>
      </c>
      <c r="AF206" s="513">
        <v>34.1</v>
      </c>
      <c r="AG206" s="514">
        <f t="shared" si="57"/>
        <v>924280.5</v>
      </c>
      <c r="AH206" s="514">
        <v>0</v>
      </c>
      <c r="AI206" s="514">
        <f t="shared" si="58"/>
        <v>924280.5</v>
      </c>
      <c r="AJ206" s="514">
        <v>0</v>
      </c>
      <c r="AK206" s="514">
        <f t="shared" si="59"/>
        <v>27105</v>
      </c>
      <c r="AL206" s="514">
        <f t="shared" si="60"/>
        <v>884978.25</v>
      </c>
      <c r="AM206" s="515">
        <f t="shared" si="61"/>
        <v>39302.25</v>
      </c>
      <c r="AN206" s="299">
        <f t="shared" si="62"/>
        <v>4.2521994134897358E-2</v>
      </c>
      <c r="AO206" s="296">
        <f t="shared" si="66"/>
        <v>884978.25</v>
      </c>
      <c r="AP206" s="274">
        <f t="shared" si="68"/>
        <v>173</v>
      </c>
      <c r="AQ206" s="275">
        <f t="shared" si="69"/>
        <v>34755.299730136983</v>
      </c>
      <c r="AR206" s="275">
        <f t="shared" si="67"/>
        <v>4546.9502698630167</v>
      </c>
      <c r="AS206" s="280">
        <f t="shared" si="55"/>
        <v>4.91944844650841E-3</v>
      </c>
    </row>
    <row r="207" spans="2:45" x14ac:dyDescent="0.3">
      <c r="B207" s="287">
        <f t="shared" si="63"/>
        <v>203</v>
      </c>
      <c r="C207" s="272" t="s">
        <v>174</v>
      </c>
      <c r="D207" s="288" t="str">
        <f t="shared" si="64"/>
        <v>Sep-25</v>
      </c>
      <c r="E207" s="288" t="s">
        <v>107</v>
      </c>
      <c r="F207" s="289">
        <v>45904</v>
      </c>
      <c r="G207" s="290" t="s">
        <v>1670</v>
      </c>
      <c r="H207" s="291" t="s">
        <v>2599</v>
      </c>
      <c r="I207" s="290" t="s">
        <v>1672</v>
      </c>
      <c r="J207" s="387">
        <v>2526026655</v>
      </c>
      <c r="K207" s="289">
        <v>45904</v>
      </c>
      <c r="L207" s="291" t="s">
        <v>1673</v>
      </c>
      <c r="M207" s="289">
        <v>45904</v>
      </c>
      <c r="N207" s="291" t="s">
        <v>255</v>
      </c>
      <c r="O207" s="296" t="s">
        <v>299</v>
      </c>
      <c r="P207" s="291" t="s">
        <v>500</v>
      </c>
      <c r="Q207" s="291" t="s">
        <v>2607</v>
      </c>
      <c r="R207" s="458">
        <v>6980</v>
      </c>
      <c r="S207" s="404">
        <v>32.9</v>
      </c>
      <c r="T207" s="459">
        <f t="shared" si="56"/>
        <v>229642</v>
      </c>
      <c r="U207" s="298" t="s">
        <v>107</v>
      </c>
      <c r="V207" s="288" t="s">
        <v>313</v>
      </c>
      <c r="W207" s="296" t="str">
        <f t="shared" si="65"/>
        <v>Feb-26</v>
      </c>
      <c r="X207" s="293" t="s">
        <v>2617</v>
      </c>
      <c r="Y207" s="293" t="s">
        <v>2837</v>
      </c>
      <c r="Z207" s="318">
        <v>46077</v>
      </c>
      <c r="AA207" s="293" t="s">
        <v>2844</v>
      </c>
      <c r="AB207" s="293" t="s">
        <v>1465</v>
      </c>
      <c r="AC207" s="298" t="s">
        <v>501</v>
      </c>
      <c r="AD207" s="298" t="s">
        <v>501</v>
      </c>
      <c r="AE207" s="512">
        <v>26150</v>
      </c>
      <c r="AF207" s="513">
        <v>34.1</v>
      </c>
      <c r="AG207" s="514">
        <f t="shared" si="57"/>
        <v>891715</v>
      </c>
      <c r="AH207" s="514">
        <v>-8866</v>
      </c>
      <c r="AI207" s="514">
        <f t="shared" si="58"/>
        <v>882849</v>
      </c>
      <c r="AJ207" s="514">
        <v>0</v>
      </c>
      <c r="AK207" s="514">
        <f t="shared" si="59"/>
        <v>26150</v>
      </c>
      <c r="AL207" s="514">
        <f t="shared" si="60"/>
        <v>860335</v>
      </c>
      <c r="AM207" s="515">
        <f t="shared" si="61"/>
        <v>22514</v>
      </c>
      <c r="AN207" s="299">
        <f t="shared" si="62"/>
        <v>2.5501529706665579E-2</v>
      </c>
      <c r="AO207" s="296">
        <f t="shared" si="66"/>
        <v>860335</v>
      </c>
      <c r="AP207" s="274">
        <f t="shared" si="68"/>
        <v>173</v>
      </c>
      <c r="AQ207" s="275">
        <f t="shared" si="69"/>
        <v>10176.9155369863</v>
      </c>
      <c r="AR207" s="275">
        <f t="shared" si="67"/>
        <v>12337.0844630137</v>
      </c>
      <c r="AS207" s="280">
        <f t="shared" si="55"/>
        <v>1.397417277814632E-2</v>
      </c>
    </row>
    <row r="208" spans="2:45" x14ac:dyDescent="0.3">
      <c r="B208" s="287">
        <f t="shared" si="63"/>
        <v>204</v>
      </c>
      <c r="C208" s="272" t="s">
        <v>174</v>
      </c>
      <c r="D208" s="288" t="str">
        <f t="shared" si="64"/>
        <v>Sep-25</v>
      </c>
      <c r="E208" s="288" t="s">
        <v>107</v>
      </c>
      <c r="F208" s="289">
        <v>45905</v>
      </c>
      <c r="G208" s="290" t="s">
        <v>1704</v>
      </c>
      <c r="H208" s="291" t="s">
        <v>2599</v>
      </c>
      <c r="I208" s="290" t="s">
        <v>1672</v>
      </c>
      <c r="J208" s="387">
        <v>2526026917</v>
      </c>
      <c r="K208" s="289">
        <v>45905</v>
      </c>
      <c r="L208" s="291" t="s">
        <v>1916</v>
      </c>
      <c r="M208" s="289">
        <v>45906</v>
      </c>
      <c r="N208" s="291" t="s">
        <v>255</v>
      </c>
      <c r="O208" s="296" t="s">
        <v>299</v>
      </c>
      <c r="P208" s="291" t="s">
        <v>500</v>
      </c>
      <c r="Q208" s="291" t="s">
        <v>2607</v>
      </c>
      <c r="R208" s="458">
        <v>9240</v>
      </c>
      <c r="S208" s="404">
        <v>32.9</v>
      </c>
      <c r="T208" s="459">
        <f t="shared" si="56"/>
        <v>303996</v>
      </c>
      <c r="U208" s="298" t="s">
        <v>107</v>
      </c>
      <c r="V208" s="288" t="s">
        <v>313</v>
      </c>
      <c r="W208" s="296" t="str">
        <f t="shared" si="65"/>
        <v>Feb-26</v>
      </c>
      <c r="X208" s="293" t="s">
        <v>2617</v>
      </c>
      <c r="Y208" s="293" t="s">
        <v>2838</v>
      </c>
      <c r="Z208" s="318">
        <v>46077</v>
      </c>
      <c r="AA208" s="293" t="s">
        <v>2845</v>
      </c>
      <c r="AB208" s="293" t="s">
        <v>1465</v>
      </c>
      <c r="AC208" s="298" t="s">
        <v>501</v>
      </c>
      <c r="AD208" s="298" t="s">
        <v>501</v>
      </c>
      <c r="AE208" s="512">
        <v>25060</v>
      </c>
      <c r="AF208" s="513">
        <v>34.1</v>
      </c>
      <c r="AG208" s="514">
        <f t="shared" si="57"/>
        <v>854546</v>
      </c>
      <c r="AH208" s="514">
        <v>-6479</v>
      </c>
      <c r="AI208" s="514">
        <f t="shared" si="58"/>
        <v>848067</v>
      </c>
      <c r="AJ208" s="514">
        <v>0</v>
      </c>
      <c r="AK208" s="514">
        <f t="shared" si="59"/>
        <v>25060</v>
      </c>
      <c r="AL208" s="514">
        <f t="shared" si="60"/>
        <v>824474</v>
      </c>
      <c r="AM208" s="515">
        <f t="shared" si="61"/>
        <v>23593</v>
      </c>
      <c r="AN208" s="299">
        <f t="shared" si="62"/>
        <v>2.7819735940674498E-2</v>
      </c>
      <c r="AO208" s="296">
        <f t="shared" si="66"/>
        <v>824474</v>
      </c>
      <c r="AP208" s="274">
        <f t="shared" si="68"/>
        <v>172</v>
      </c>
      <c r="AQ208" s="275">
        <f t="shared" si="69"/>
        <v>13394.147046575343</v>
      </c>
      <c r="AR208" s="275">
        <f t="shared" si="67"/>
        <v>10198.852953424657</v>
      </c>
      <c r="AS208" s="280">
        <f t="shared" si="55"/>
        <v>1.2025999070149713E-2</v>
      </c>
    </row>
    <row r="209" spans="2:45" x14ac:dyDescent="0.3">
      <c r="B209" s="287">
        <f t="shared" si="63"/>
        <v>205</v>
      </c>
      <c r="C209" s="272" t="s">
        <v>174</v>
      </c>
      <c r="D209" s="288" t="str">
        <f t="shared" si="64"/>
        <v>Sep-25</v>
      </c>
      <c r="E209" s="288" t="s">
        <v>107</v>
      </c>
      <c r="F209" s="289">
        <v>45906</v>
      </c>
      <c r="G209" s="290" t="s">
        <v>1674</v>
      </c>
      <c r="H209" s="291" t="s">
        <v>2598</v>
      </c>
      <c r="I209" s="290" t="s">
        <v>401</v>
      </c>
      <c r="J209" s="387">
        <v>8252001502</v>
      </c>
      <c r="K209" s="289">
        <v>45906</v>
      </c>
      <c r="L209" s="291" t="s">
        <v>1675</v>
      </c>
      <c r="M209" s="289">
        <v>45907</v>
      </c>
      <c r="N209" s="291" t="s">
        <v>255</v>
      </c>
      <c r="O209" s="296" t="s">
        <v>1676</v>
      </c>
      <c r="P209" s="291" t="s">
        <v>501</v>
      </c>
      <c r="Q209" s="291" t="s">
        <v>2608</v>
      </c>
      <c r="R209" s="458">
        <v>25250</v>
      </c>
      <c r="S209" s="404">
        <v>32.65</v>
      </c>
      <c r="T209" s="459">
        <f t="shared" si="56"/>
        <v>824412.5</v>
      </c>
      <c r="U209" s="298" t="s">
        <v>107</v>
      </c>
      <c r="V209" s="288" t="s">
        <v>313</v>
      </c>
      <c r="W209" s="296" t="str">
        <f t="shared" si="65"/>
        <v>Feb-26</v>
      </c>
      <c r="X209" s="293" t="s">
        <v>2617</v>
      </c>
      <c r="Y209" s="293" t="s">
        <v>2840</v>
      </c>
      <c r="Z209" s="318">
        <v>46079</v>
      </c>
      <c r="AA209" s="293" t="s">
        <v>2847</v>
      </c>
      <c r="AB209" s="293" t="s">
        <v>1465</v>
      </c>
      <c r="AC209" s="298" t="s">
        <v>501</v>
      </c>
      <c r="AD209" s="298" t="s">
        <v>501</v>
      </c>
      <c r="AE209" s="512">
        <v>27030</v>
      </c>
      <c r="AF209" s="513">
        <v>34.1</v>
      </c>
      <c r="AG209" s="514">
        <f t="shared" si="57"/>
        <v>921723</v>
      </c>
      <c r="AH209" s="514">
        <v>0</v>
      </c>
      <c r="AI209" s="514">
        <f t="shared" si="58"/>
        <v>921723</v>
      </c>
      <c r="AJ209" s="514">
        <v>0</v>
      </c>
      <c r="AK209" s="514">
        <f t="shared" si="59"/>
        <v>27030</v>
      </c>
      <c r="AL209" s="514">
        <f t="shared" si="60"/>
        <v>882529.5</v>
      </c>
      <c r="AM209" s="515">
        <f t="shared" si="61"/>
        <v>39193.5</v>
      </c>
      <c r="AN209" s="299">
        <f t="shared" si="62"/>
        <v>4.2521994134897358E-2</v>
      </c>
      <c r="AO209" s="296">
        <f t="shared" si="66"/>
        <v>882529.5</v>
      </c>
      <c r="AP209" s="274">
        <f t="shared" si="68"/>
        <v>173</v>
      </c>
      <c r="AQ209" s="275">
        <f t="shared" si="69"/>
        <v>36535.025736301373</v>
      </c>
      <c r="AR209" s="275">
        <f t="shared" si="67"/>
        <v>2658.4742636986266</v>
      </c>
      <c r="AS209" s="280">
        <f t="shared" si="55"/>
        <v>2.8842442509285616E-3</v>
      </c>
    </row>
    <row r="210" spans="2:45" x14ac:dyDescent="0.3">
      <c r="B210" s="287">
        <f t="shared" si="63"/>
        <v>206</v>
      </c>
      <c r="C210" s="272" t="s">
        <v>174</v>
      </c>
      <c r="D210" s="288" t="str">
        <f t="shared" si="64"/>
        <v>Sep-25</v>
      </c>
      <c r="E210" s="288" t="s">
        <v>107</v>
      </c>
      <c r="F210" s="289">
        <v>45906</v>
      </c>
      <c r="G210" s="290" t="s">
        <v>1677</v>
      </c>
      <c r="H210" s="291" t="s">
        <v>2598</v>
      </c>
      <c r="I210" s="290" t="s">
        <v>401</v>
      </c>
      <c r="J210" s="387">
        <v>8252001503</v>
      </c>
      <c r="K210" s="289">
        <v>45906</v>
      </c>
      <c r="L210" s="291" t="s">
        <v>1678</v>
      </c>
      <c r="M210" s="289">
        <v>45907</v>
      </c>
      <c r="N210" s="291" t="s">
        <v>255</v>
      </c>
      <c r="O210" s="296" t="s">
        <v>1679</v>
      </c>
      <c r="P210" s="291" t="s">
        <v>501</v>
      </c>
      <c r="Q210" s="291" t="s">
        <v>2608</v>
      </c>
      <c r="R210" s="458">
        <v>20010</v>
      </c>
      <c r="S210" s="404">
        <v>32.65</v>
      </c>
      <c r="T210" s="459">
        <f t="shared" si="56"/>
        <v>653326.5</v>
      </c>
      <c r="U210" s="298" t="s">
        <v>107</v>
      </c>
      <c r="V210" s="288" t="s">
        <v>313</v>
      </c>
      <c r="W210" s="296" t="str">
        <f t="shared" si="65"/>
        <v>Feb-26</v>
      </c>
      <c r="X210" s="293" t="s">
        <v>2617</v>
      </c>
      <c r="Y210" s="293" t="s">
        <v>2839</v>
      </c>
      <c r="Z210" s="318">
        <v>46079</v>
      </c>
      <c r="AA210" s="293" t="s">
        <v>2846</v>
      </c>
      <c r="AB210" s="293" t="s">
        <v>1465</v>
      </c>
      <c r="AC210" s="298" t="s">
        <v>501</v>
      </c>
      <c r="AD210" s="298" t="s">
        <v>501</v>
      </c>
      <c r="AE210" s="512">
        <v>27400</v>
      </c>
      <c r="AF210" s="513">
        <v>34.1</v>
      </c>
      <c r="AG210" s="514">
        <f t="shared" si="57"/>
        <v>934340</v>
      </c>
      <c r="AH210" s="514">
        <v>-2387</v>
      </c>
      <c r="AI210" s="514">
        <f t="shared" si="58"/>
        <v>931953</v>
      </c>
      <c r="AJ210" s="514">
        <v>0</v>
      </c>
      <c r="AK210" s="514">
        <f t="shared" si="59"/>
        <v>27400</v>
      </c>
      <c r="AL210" s="514">
        <f t="shared" si="60"/>
        <v>894610</v>
      </c>
      <c r="AM210" s="515">
        <f t="shared" si="61"/>
        <v>37343</v>
      </c>
      <c r="AN210" s="299">
        <f t="shared" si="62"/>
        <v>4.0069617244646458E-2</v>
      </c>
      <c r="AO210" s="296">
        <f t="shared" si="66"/>
        <v>894610</v>
      </c>
      <c r="AP210" s="274">
        <f t="shared" si="68"/>
        <v>173</v>
      </c>
      <c r="AQ210" s="275">
        <f t="shared" si="69"/>
        <v>28953.103563698631</v>
      </c>
      <c r="AR210" s="275">
        <f t="shared" si="67"/>
        <v>8389.8964363013692</v>
      </c>
      <c r="AS210" s="280">
        <f t="shared" si="55"/>
        <v>9.0024887910671123E-3</v>
      </c>
    </row>
    <row r="211" spans="2:45" x14ac:dyDescent="0.3">
      <c r="B211" s="287">
        <f t="shared" si="63"/>
        <v>207</v>
      </c>
      <c r="C211" s="272" t="s">
        <v>174</v>
      </c>
      <c r="D211" s="288" t="str">
        <f t="shared" si="64"/>
        <v>Sep-25</v>
      </c>
      <c r="E211" s="288" t="s">
        <v>107</v>
      </c>
      <c r="F211" s="289">
        <v>45907</v>
      </c>
      <c r="G211" s="290" t="s">
        <v>1680</v>
      </c>
      <c r="H211" s="291" t="s">
        <v>2598</v>
      </c>
      <c r="I211" s="290" t="s">
        <v>401</v>
      </c>
      <c r="J211" s="387">
        <v>8252001504</v>
      </c>
      <c r="K211" s="289">
        <v>45907</v>
      </c>
      <c r="L211" s="291" t="s">
        <v>1681</v>
      </c>
      <c r="M211" s="289">
        <v>45907</v>
      </c>
      <c r="N211" s="291" t="s">
        <v>255</v>
      </c>
      <c r="O211" s="296" t="s">
        <v>1676</v>
      </c>
      <c r="P211" s="291" t="s">
        <v>501</v>
      </c>
      <c r="Q211" s="291" t="s">
        <v>2608</v>
      </c>
      <c r="R211" s="458">
        <v>24790</v>
      </c>
      <c r="S211" s="404">
        <v>32.65</v>
      </c>
      <c r="T211" s="459">
        <f t="shared" si="56"/>
        <v>809393.5</v>
      </c>
      <c r="U211" s="298" t="s">
        <v>107</v>
      </c>
      <c r="V211" s="288" t="s">
        <v>313</v>
      </c>
      <c r="W211" s="296" t="str">
        <f t="shared" si="65"/>
        <v>Feb-26</v>
      </c>
      <c r="X211" s="293" t="s">
        <v>2617</v>
      </c>
      <c r="Y211" s="293" t="s">
        <v>2841</v>
      </c>
      <c r="Z211" s="318">
        <v>46080</v>
      </c>
      <c r="AA211" s="293" t="s">
        <v>2848</v>
      </c>
      <c r="AB211" s="293" t="s">
        <v>1465</v>
      </c>
      <c r="AC211" s="298" t="s">
        <v>501</v>
      </c>
      <c r="AD211" s="298" t="s">
        <v>501</v>
      </c>
      <c r="AE211" s="512">
        <v>18195</v>
      </c>
      <c r="AF211" s="513">
        <v>34.1</v>
      </c>
      <c r="AG211" s="514">
        <f t="shared" si="57"/>
        <v>620449.5</v>
      </c>
      <c r="AH211" s="514">
        <v>0</v>
      </c>
      <c r="AI211" s="514">
        <f t="shared" si="58"/>
        <v>620449.5</v>
      </c>
      <c r="AJ211" s="514">
        <v>0</v>
      </c>
      <c r="AK211" s="514">
        <f t="shared" si="59"/>
        <v>18195</v>
      </c>
      <c r="AL211" s="514">
        <f t="shared" si="60"/>
        <v>594066.75</v>
      </c>
      <c r="AM211" s="515">
        <f t="shared" si="61"/>
        <v>26382.75</v>
      </c>
      <c r="AN211" s="299">
        <f t="shared" si="62"/>
        <v>4.2521994134897358E-2</v>
      </c>
      <c r="AO211" s="296">
        <f t="shared" si="66"/>
        <v>594066.75</v>
      </c>
      <c r="AP211" s="274">
        <f t="shared" si="68"/>
        <v>173</v>
      </c>
      <c r="AQ211" s="275">
        <f t="shared" si="69"/>
        <v>35869.437148630132</v>
      </c>
      <c r="AR211" s="275">
        <f t="shared" si="67"/>
        <v>-9486.6871486301316</v>
      </c>
      <c r="AS211" s="280">
        <f t="shared" si="55"/>
        <v>-1.5290023037539931E-2</v>
      </c>
    </row>
    <row r="212" spans="2:45" x14ac:dyDescent="0.3">
      <c r="B212" s="287">
        <f t="shared" si="63"/>
        <v>208</v>
      </c>
      <c r="C212" s="272" t="s">
        <v>174</v>
      </c>
      <c r="D212" s="288" t="str">
        <f t="shared" si="64"/>
        <v>Sep-25</v>
      </c>
      <c r="E212" s="288" t="s">
        <v>107</v>
      </c>
      <c r="F212" s="289">
        <v>45908</v>
      </c>
      <c r="G212" s="290" t="s">
        <v>1689</v>
      </c>
      <c r="H212" s="291" t="s">
        <v>2599</v>
      </c>
      <c r="I212" s="290" t="s">
        <v>1672</v>
      </c>
      <c r="J212" s="387">
        <v>2526027299</v>
      </c>
      <c r="K212" s="289">
        <v>45908</v>
      </c>
      <c r="L212" s="291" t="s">
        <v>1707</v>
      </c>
      <c r="M212" s="289">
        <v>45908</v>
      </c>
      <c r="N212" s="291" t="s">
        <v>255</v>
      </c>
      <c r="O212" s="296" t="s">
        <v>299</v>
      </c>
      <c r="P212" s="291" t="s">
        <v>500</v>
      </c>
      <c r="Q212" s="291" t="s">
        <v>2607</v>
      </c>
      <c r="R212" s="458">
        <v>6210</v>
      </c>
      <c r="S212" s="404">
        <v>32.9</v>
      </c>
      <c r="T212" s="459">
        <f t="shared" si="56"/>
        <v>204309</v>
      </c>
      <c r="U212" s="298" t="s">
        <v>107</v>
      </c>
      <c r="V212" s="288" t="s">
        <v>313</v>
      </c>
      <c r="W212" s="296" t="str">
        <f>TEXT(Z212,"mmm-yy")</f>
        <v>Mar-26</v>
      </c>
      <c r="X212" s="293" t="s">
        <v>2617</v>
      </c>
      <c r="Y212" s="293" t="s">
        <v>2865</v>
      </c>
      <c r="Z212" s="318">
        <v>46088</v>
      </c>
      <c r="AA212" s="293" t="s">
        <v>2866</v>
      </c>
      <c r="AB212" s="293" t="s">
        <v>1465</v>
      </c>
      <c r="AC212" s="298" t="s">
        <v>501</v>
      </c>
      <c r="AD212" s="298" t="s">
        <v>2827</v>
      </c>
      <c r="AE212" s="512">
        <v>13105</v>
      </c>
      <c r="AF212" s="513">
        <v>34.1</v>
      </c>
      <c r="AG212" s="514">
        <f t="shared" si="57"/>
        <v>446880.5</v>
      </c>
      <c r="AH212" s="514">
        <v>0</v>
      </c>
      <c r="AI212" s="514">
        <f t="shared" si="58"/>
        <v>446880.5</v>
      </c>
      <c r="AJ212" s="514">
        <v>0</v>
      </c>
      <c r="AK212" s="514">
        <f t="shared" si="59"/>
        <v>13105</v>
      </c>
      <c r="AL212" s="514">
        <f t="shared" si="60"/>
        <v>431154.5</v>
      </c>
      <c r="AM212" s="515">
        <f t="shared" si="61"/>
        <v>15726</v>
      </c>
      <c r="AN212" s="299">
        <f t="shared" si="62"/>
        <v>3.519061583577713E-2</v>
      </c>
      <c r="AO212" s="296">
        <f t="shared" si="66"/>
        <v>431154.5</v>
      </c>
      <c r="AP212" s="274">
        <f t="shared" si="68"/>
        <v>180</v>
      </c>
      <c r="AQ212" s="275">
        <f t="shared" si="69"/>
        <v>9420.6040273972612</v>
      </c>
      <c r="AR212" s="275">
        <f t="shared" si="67"/>
        <v>6305.3959726027388</v>
      </c>
      <c r="AS212" s="280">
        <f t="shared" si="55"/>
        <v>1.4109803342510444E-2</v>
      </c>
    </row>
    <row r="213" spans="2:45" x14ac:dyDescent="0.3">
      <c r="B213" s="287">
        <f t="shared" si="63"/>
        <v>209</v>
      </c>
      <c r="C213" s="272" t="s">
        <v>174</v>
      </c>
      <c r="D213" s="288" t="str">
        <f t="shared" si="64"/>
        <v>Sep-25</v>
      </c>
      <c r="E213" s="288" t="s">
        <v>107</v>
      </c>
      <c r="F213" s="289">
        <v>45908</v>
      </c>
      <c r="G213" s="290" t="s">
        <v>1688</v>
      </c>
      <c r="H213" s="291" t="s">
        <v>2598</v>
      </c>
      <c r="I213" s="290" t="s">
        <v>401</v>
      </c>
      <c r="J213" s="387">
        <v>6252000052</v>
      </c>
      <c r="K213" s="289">
        <v>45908</v>
      </c>
      <c r="L213" s="291" t="s">
        <v>1705</v>
      </c>
      <c r="M213" s="289">
        <v>45908</v>
      </c>
      <c r="N213" s="291" t="s">
        <v>255</v>
      </c>
      <c r="O213" s="296" t="s">
        <v>1706</v>
      </c>
      <c r="P213" s="291" t="s">
        <v>501</v>
      </c>
      <c r="Q213" s="291" t="s">
        <v>2608</v>
      </c>
      <c r="R213" s="458">
        <v>19260</v>
      </c>
      <c r="S213" s="404">
        <v>32.65</v>
      </c>
      <c r="T213" s="459">
        <f t="shared" si="56"/>
        <v>628839</v>
      </c>
      <c r="U213" s="298" t="s">
        <v>107</v>
      </c>
      <c r="V213" s="288" t="s">
        <v>313</v>
      </c>
      <c r="W213" s="296" t="str">
        <f t="shared" si="65"/>
        <v>Mar-26</v>
      </c>
      <c r="X213" s="293" t="s">
        <v>2619</v>
      </c>
      <c r="Y213" s="293" t="s">
        <v>2914</v>
      </c>
      <c r="Z213" s="318">
        <v>46094</v>
      </c>
      <c r="AA213" s="293" t="s">
        <v>2910</v>
      </c>
      <c r="AB213" s="293" t="s">
        <v>2918</v>
      </c>
      <c r="AC213" s="298" t="s">
        <v>500</v>
      </c>
      <c r="AD213" s="298" t="s">
        <v>2748</v>
      </c>
      <c r="AE213" s="512">
        <v>13700</v>
      </c>
      <c r="AF213" s="513">
        <v>24</v>
      </c>
      <c r="AG213" s="514">
        <f t="shared" si="57"/>
        <v>328800</v>
      </c>
      <c r="AH213" s="514">
        <v>0</v>
      </c>
      <c r="AI213" s="514">
        <f t="shared" si="58"/>
        <v>328800</v>
      </c>
      <c r="AJ213" s="514">
        <v>0</v>
      </c>
      <c r="AK213" s="514">
        <f t="shared" si="59"/>
        <v>13700</v>
      </c>
      <c r="AL213" s="514">
        <f t="shared" si="60"/>
        <v>447305</v>
      </c>
      <c r="AM213" s="515">
        <f t="shared" si="61"/>
        <v>-118505</v>
      </c>
      <c r="AN213" s="299">
        <f t="shared" si="62"/>
        <v>-0.36041666666666666</v>
      </c>
      <c r="AO213" s="296">
        <f t="shared" si="66"/>
        <v>447305</v>
      </c>
      <c r="AP213" s="274">
        <f t="shared" si="68"/>
        <v>186</v>
      </c>
      <c r="AQ213" s="275">
        <f t="shared" si="69"/>
        <v>29962.024791780823</v>
      </c>
      <c r="AR213" s="275">
        <f t="shared" si="67"/>
        <v>-148467.02479178083</v>
      </c>
      <c r="AS213" s="280">
        <f t="shared" si="55"/>
        <v>-0.45154204620371297</v>
      </c>
    </row>
    <row r="214" spans="2:45" x14ac:dyDescent="0.3">
      <c r="B214" s="287">
        <f t="shared" si="63"/>
        <v>210</v>
      </c>
      <c r="C214" s="272" t="s">
        <v>174</v>
      </c>
      <c r="D214" s="288" t="str">
        <f t="shared" si="64"/>
        <v>Sep-25</v>
      </c>
      <c r="E214" s="288" t="s">
        <v>107</v>
      </c>
      <c r="F214" s="289">
        <v>45908</v>
      </c>
      <c r="G214" s="290" t="s">
        <v>1691</v>
      </c>
      <c r="H214" s="291" t="s">
        <v>2598</v>
      </c>
      <c r="I214" s="290" t="s">
        <v>401</v>
      </c>
      <c r="J214" s="387">
        <v>8252001534</v>
      </c>
      <c r="K214" s="289">
        <v>45908</v>
      </c>
      <c r="L214" s="291" t="s">
        <v>1709</v>
      </c>
      <c r="M214" s="289">
        <v>45909</v>
      </c>
      <c r="N214" s="291" t="s">
        <v>255</v>
      </c>
      <c r="O214" s="296" t="s">
        <v>256</v>
      </c>
      <c r="P214" s="291" t="s">
        <v>501</v>
      </c>
      <c r="Q214" s="291" t="s">
        <v>2608</v>
      </c>
      <c r="R214" s="458">
        <v>16880</v>
      </c>
      <c r="S214" s="404">
        <v>32.65</v>
      </c>
      <c r="T214" s="459">
        <f t="shared" si="56"/>
        <v>551132</v>
      </c>
      <c r="U214" s="298" t="s">
        <v>107</v>
      </c>
      <c r="V214" s="288" t="s">
        <v>313</v>
      </c>
      <c r="W214" s="296" t="str">
        <f t="shared" si="65"/>
        <v>Mar-26</v>
      </c>
      <c r="X214" s="293" t="s">
        <v>2619</v>
      </c>
      <c r="Y214" s="293" t="s">
        <v>2915</v>
      </c>
      <c r="Z214" s="318">
        <v>46095</v>
      </c>
      <c r="AA214" s="293" t="s">
        <v>2911</v>
      </c>
      <c r="AB214" s="293" t="s">
        <v>2918</v>
      </c>
      <c r="AC214" s="298" t="s">
        <v>500</v>
      </c>
      <c r="AD214" s="298" t="s">
        <v>2748</v>
      </c>
      <c r="AE214" s="512">
        <v>17210</v>
      </c>
      <c r="AF214" s="513">
        <v>24</v>
      </c>
      <c r="AG214" s="514">
        <f t="shared" si="57"/>
        <v>413040</v>
      </c>
      <c r="AH214" s="514">
        <v>0</v>
      </c>
      <c r="AI214" s="514">
        <f t="shared" si="58"/>
        <v>413040</v>
      </c>
      <c r="AJ214" s="514">
        <v>0</v>
      </c>
      <c r="AK214" s="514">
        <f t="shared" si="59"/>
        <v>17210</v>
      </c>
      <c r="AL214" s="514">
        <f t="shared" si="60"/>
        <v>561906.5</v>
      </c>
      <c r="AM214" s="515">
        <f t="shared" si="61"/>
        <v>-148866.5</v>
      </c>
      <c r="AN214" s="299">
        <f t="shared" si="62"/>
        <v>-0.36041666666666666</v>
      </c>
      <c r="AO214" s="296">
        <f t="shared" si="66"/>
        <v>561906.5</v>
      </c>
      <c r="AP214" s="274">
        <f t="shared" si="68"/>
        <v>187</v>
      </c>
      <c r="AQ214" s="275">
        <f t="shared" si="69"/>
        <v>26400.732750684932</v>
      </c>
      <c r="AR214" s="275">
        <f t="shared" si="67"/>
        <v>-175267.23275068493</v>
      </c>
      <c r="AS214" s="280">
        <f t="shared" si="55"/>
        <v>-0.42433476842602391</v>
      </c>
    </row>
    <row r="215" spans="2:45" x14ac:dyDescent="0.3">
      <c r="B215" s="287">
        <f t="shared" si="63"/>
        <v>211</v>
      </c>
      <c r="C215" s="272" t="s">
        <v>174</v>
      </c>
      <c r="D215" s="288" t="str">
        <f>TEXT(F215,"mmm-yy")</f>
        <v>Sep-25</v>
      </c>
      <c r="E215" s="288" t="s">
        <v>107</v>
      </c>
      <c r="F215" s="289">
        <v>45909</v>
      </c>
      <c r="G215" s="290" t="s">
        <v>1693</v>
      </c>
      <c r="H215" s="291" t="s">
        <v>2598</v>
      </c>
      <c r="I215" s="290" t="s">
        <v>401</v>
      </c>
      <c r="J215" s="387">
        <v>8252001553</v>
      </c>
      <c r="K215" s="289">
        <v>45909</v>
      </c>
      <c r="L215" s="291" t="s">
        <v>1711</v>
      </c>
      <c r="M215" s="289">
        <v>45910</v>
      </c>
      <c r="N215" s="291" t="s">
        <v>255</v>
      </c>
      <c r="O215" s="296" t="s">
        <v>1676</v>
      </c>
      <c r="P215" s="291" t="s">
        <v>501</v>
      </c>
      <c r="Q215" s="291" t="s">
        <v>2608</v>
      </c>
      <c r="R215" s="458">
        <v>18130</v>
      </c>
      <c r="S215" s="404">
        <v>32.65</v>
      </c>
      <c r="T215" s="459">
        <f>R215*S215</f>
        <v>591944.5</v>
      </c>
      <c r="U215" s="298" t="s">
        <v>107</v>
      </c>
      <c r="V215" s="288" t="s">
        <v>313</v>
      </c>
      <c r="W215" s="296" t="str">
        <f>TEXT(Z215,"mmm-yy")</f>
        <v>Mar-26</v>
      </c>
      <c r="X215" s="293" t="s">
        <v>2619</v>
      </c>
      <c r="Y215" s="293" t="s">
        <v>2916</v>
      </c>
      <c r="Z215" s="318">
        <v>46095</v>
      </c>
      <c r="AA215" s="293" t="s">
        <v>2912</v>
      </c>
      <c r="AB215" s="293" t="s">
        <v>2918</v>
      </c>
      <c r="AC215" s="298" t="s">
        <v>500</v>
      </c>
      <c r="AD215" s="298" t="s">
        <v>2748</v>
      </c>
      <c r="AE215" s="512">
        <v>18040</v>
      </c>
      <c r="AF215" s="513">
        <v>24</v>
      </c>
      <c r="AG215" s="514">
        <f t="shared" si="57"/>
        <v>432960</v>
      </c>
      <c r="AH215" s="514">
        <v>0</v>
      </c>
      <c r="AI215" s="514">
        <f t="shared" si="58"/>
        <v>432960</v>
      </c>
      <c r="AJ215" s="514">
        <v>0</v>
      </c>
      <c r="AK215" s="514">
        <f t="shared" si="59"/>
        <v>18040</v>
      </c>
      <c r="AL215" s="514">
        <f t="shared" si="60"/>
        <v>589006</v>
      </c>
      <c r="AM215" s="515">
        <f t="shared" si="61"/>
        <v>-156046</v>
      </c>
      <c r="AN215" s="299">
        <f t="shared" si="62"/>
        <v>-0.36041666666666666</v>
      </c>
      <c r="AO215" s="296">
        <f t="shared" si="66"/>
        <v>589006</v>
      </c>
      <c r="AP215" s="274">
        <f t="shared" si="68"/>
        <v>186</v>
      </c>
      <c r="AQ215" s="275">
        <f t="shared" si="69"/>
        <v>28204.128217808218</v>
      </c>
      <c r="AR215" s="275">
        <f t="shared" si="67"/>
        <v>-184250.1282178082</v>
      </c>
      <c r="AS215" s="280">
        <f t="shared" si="55"/>
        <v>-0.42555923923181865</v>
      </c>
    </row>
    <row r="216" spans="2:45" x14ac:dyDescent="0.3">
      <c r="B216" s="287">
        <f t="shared" si="63"/>
        <v>212</v>
      </c>
      <c r="C216" s="272" t="s">
        <v>174</v>
      </c>
      <c r="D216" s="288" t="str">
        <f>TEXT(F216,"mmm-yy")</f>
        <v>Sep-25</v>
      </c>
      <c r="E216" s="288" t="s">
        <v>107</v>
      </c>
      <c r="F216" s="289">
        <v>45910</v>
      </c>
      <c r="G216" s="290" t="s">
        <v>1694</v>
      </c>
      <c r="H216" s="291" t="s">
        <v>2598</v>
      </c>
      <c r="I216" s="290" t="s">
        <v>401</v>
      </c>
      <c r="J216" s="387">
        <v>5252000831</v>
      </c>
      <c r="K216" s="289">
        <v>45910</v>
      </c>
      <c r="L216" s="291" t="s">
        <v>1712</v>
      </c>
      <c r="M216" s="289">
        <v>45910</v>
      </c>
      <c r="N216" s="291" t="s">
        <v>255</v>
      </c>
      <c r="O216" s="296" t="s">
        <v>559</v>
      </c>
      <c r="P216" s="291" t="s">
        <v>501</v>
      </c>
      <c r="Q216" s="291" t="s">
        <v>2608</v>
      </c>
      <c r="R216" s="458">
        <v>11560</v>
      </c>
      <c r="S216" s="404">
        <v>32.65</v>
      </c>
      <c r="T216" s="459">
        <f>R216*S216</f>
        <v>377434</v>
      </c>
      <c r="U216" s="298" t="s">
        <v>107</v>
      </c>
      <c r="V216" s="288" t="s">
        <v>313</v>
      </c>
      <c r="W216" s="296" t="str">
        <f>TEXT(Z216,"mmm-yy")</f>
        <v>Mar-26</v>
      </c>
      <c r="X216" s="293" t="s">
        <v>2619</v>
      </c>
      <c r="Y216" s="293" t="s">
        <v>2917</v>
      </c>
      <c r="Z216" s="318">
        <v>46096</v>
      </c>
      <c r="AA216" s="293" t="s">
        <v>2913</v>
      </c>
      <c r="AB216" s="293" t="s">
        <v>2918</v>
      </c>
      <c r="AC216" s="298" t="s">
        <v>500</v>
      </c>
      <c r="AD216" s="298" t="s">
        <v>2748</v>
      </c>
      <c r="AE216" s="512">
        <v>11330</v>
      </c>
      <c r="AF216" s="513">
        <v>24</v>
      </c>
      <c r="AG216" s="514">
        <f t="shared" si="57"/>
        <v>271920</v>
      </c>
      <c r="AH216" s="514">
        <v>0</v>
      </c>
      <c r="AI216" s="514">
        <f t="shared" si="58"/>
        <v>271920</v>
      </c>
      <c r="AJ216" s="514">
        <v>0</v>
      </c>
      <c r="AK216" s="514">
        <f t="shared" si="59"/>
        <v>11330</v>
      </c>
      <c r="AL216" s="514">
        <f t="shared" si="60"/>
        <v>369924.5</v>
      </c>
      <c r="AM216" s="515">
        <f t="shared" si="61"/>
        <v>-98004.5</v>
      </c>
      <c r="AN216" s="299">
        <f t="shared" si="62"/>
        <v>-0.36041666666666666</v>
      </c>
      <c r="AO216" s="296">
        <f t="shared" si="66"/>
        <v>369924.5</v>
      </c>
      <c r="AP216" s="274">
        <f t="shared" si="68"/>
        <v>186</v>
      </c>
      <c r="AQ216" s="275">
        <f t="shared" si="69"/>
        <v>17983.437517808215</v>
      </c>
      <c r="AR216" s="275">
        <f t="shared" si="67"/>
        <v>-115987.93751780821</v>
      </c>
      <c r="AS216" s="280">
        <f t="shared" si="55"/>
        <v>-0.42655169725584074</v>
      </c>
    </row>
    <row r="217" spans="2:45" x14ac:dyDescent="0.3">
      <c r="B217" s="287">
        <f t="shared" si="63"/>
        <v>213</v>
      </c>
      <c r="C217" s="272" t="s">
        <v>174</v>
      </c>
      <c r="D217" s="288" t="str">
        <f>TEXT(F217,"mmm-yy")</f>
        <v>Sep-25</v>
      </c>
      <c r="E217" s="288" t="s">
        <v>107</v>
      </c>
      <c r="F217" s="289">
        <v>45910</v>
      </c>
      <c r="G217" s="290" t="s">
        <v>1695</v>
      </c>
      <c r="H217" s="291" t="s">
        <v>2598</v>
      </c>
      <c r="I217" s="290" t="s">
        <v>401</v>
      </c>
      <c r="J217" s="387">
        <v>8252001555</v>
      </c>
      <c r="K217" s="289">
        <v>45910</v>
      </c>
      <c r="L217" s="291" t="s">
        <v>1713</v>
      </c>
      <c r="M217" s="289">
        <v>45910</v>
      </c>
      <c r="N217" s="291" t="s">
        <v>255</v>
      </c>
      <c r="O217" s="296" t="s">
        <v>402</v>
      </c>
      <c r="P217" s="291" t="s">
        <v>501</v>
      </c>
      <c r="Q217" s="291" t="s">
        <v>2608</v>
      </c>
      <c r="R217" s="458">
        <v>20730</v>
      </c>
      <c r="S217" s="404">
        <v>32.65</v>
      </c>
      <c r="T217" s="459">
        <f>R217*S217</f>
        <v>676834.5</v>
      </c>
      <c r="U217" s="298" t="s">
        <v>107</v>
      </c>
      <c r="V217" s="288" t="s">
        <v>313</v>
      </c>
      <c r="W217" s="296" t="str">
        <f>TEXT(Z217,"mmm-yy")</f>
        <v>Mar-26</v>
      </c>
      <c r="X217" s="293" t="s">
        <v>2617</v>
      </c>
      <c r="Y217" s="293" t="s">
        <v>3042</v>
      </c>
      <c r="Z217" s="318">
        <v>46105</v>
      </c>
      <c r="AA217" s="293" t="s">
        <v>3024</v>
      </c>
      <c r="AB217" s="293" t="s">
        <v>2918</v>
      </c>
      <c r="AC217" s="298" t="s">
        <v>500</v>
      </c>
      <c r="AD217" s="298" t="s">
        <v>2683</v>
      </c>
      <c r="AE217" s="512">
        <v>1670</v>
      </c>
      <c r="AF217" s="513">
        <v>32</v>
      </c>
      <c r="AG217" s="514">
        <f t="shared" ref="AG217" si="70">AE217*AF217</f>
        <v>53440</v>
      </c>
      <c r="AH217" s="514">
        <v>0</v>
      </c>
      <c r="AI217" s="514">
        <f t="shared" si="58"/>
        <v>53440</v>
      </c>
      <c r="AJ217" s="514">
        <v>0</v>
      </c>
      <c r="AK217" s="514">
        <f t="shared" si="59"/>
        <v>1670</v>
      </c>
      <c r="AL217" s="514">
        <f t="shared" si="60"/>
        <v>54525.5</v>
      </c>
      <c r="AM217" s="515">
        <f t="shared" si="61"/>
        <v>-1085.5</v>
      </c>
      <c r="AN217" s="299">
        <f t="shared" si="62"/>
        <v>-2.0312500000000001E-2</v>
      </c>
      <c r="AO217" s="296">
        <f t="shared" si="66"/>
        <v>54525.5</v>
      </c>
      <c r="AP217" s="274">
        <f t="shared" si="68"/>
        <v>195</v>
      </c>
      <c r="AQ217" s="275">
        <f t="shared" si="69"/>
        <v>33809.274030821922</v>
      </c>
      <c r="AR217" s="275">
        <f t="shared" si="67"/>
        <v>-34894.774030821922</v>
      </c>
      <c r="AS217" s="280">
        <f t="shared" si="55"/>
        <v>-0.6529710709360389</v>
      </c>
    </row>
    <row r="218" spans="2:45" x14ac:dyDescent="0.3">
      <c r="B218" s="287">
        <f t="shared" si="63"/>
        <v>214</v>
      </c>
      <c r="C218" s="272" t="s">
        <v>174</v>
      </c>
      <c r="D218" s="288" t="str">
        <f t="shared" si="64"/>
        <v>Sep-25</v>
      </c>
      <c r="E218" s="288" t="s">
        <v>107</v>
      </c>
      <c r="F218" s="289">
        <v>45909</v>
      </c>
      <c r="G218" s="290" t="s">
        <v>1690</v>
      </c>
      <c r="H218" s="291" t="s">
        <v>2599</v>
      </c>
      <c r="I218" s="290" t="s">
        <v>1672</v>
      </c>
      <c r="J218" s="387">
        <v>2526027456</v>
      </c>
      <c r="K218" s="289">
        <v>45909</v>
      </c>
      <c r="L218" s="291" t="s">
        <v>1708</v>
      </c>
      <c r="M218" s="289">
        <v>45909</v>
      </c>
      <c r="N218" s="291" t="s">
        <v>255</v>
      </c>
      <c r="O218" s="296" t="s">
        <v>299</v>
      </c>
      <c r="P218" s="291" t="s">
        <v>500</v>
      </c>
      <c r="Q218" s="291" t="s">
        <v>2607</v>
      </c>
      <c r="R218" s="458">
        <v>6460</v>
      </c>
      <c r="S218" s="404">
        <v>32.9</v>
      </c>
      <c r="T218" s="459">
        <f t="shared" si="56"/>
        <v>212534</v>
      </c>
      <c r="U218" s="298" t="s">
        <v>107</v>
      </c>
      <c r="V218" s="288" t="s">
        <v>3288</v>
      </c>
      <c r="W218" s="296" t="str">
        <f t="shared" si="65"/>
        <v>Apr-26</v>
      </c>
      <c r="X218" s="293" t="s">
        <v>2617</v>
      </c>
      <c r="Y218" s="293" t="s">
        <v>3275</v>
      </c>
      <c r="Z218" s="318">
        <v>46114</v>
      </c>
      <c r="AA218" s="293" t="s">
        <v>3277</v>
      </c>
      <c r="AB218" s="293" t="s">
        <v>2918</v>
      </c>
      <c r="AC218" s="298" t="s">
        <v>501</v>
      </c>
      <c r="AD218" s="298" t="s">
        <v>2683</v>
      </c>
      <c r="AE218" s="512">
        <v>3225</v>
      </c>
      <c r="AF218" s="513">
        <v>5.5</v>
      </c>
      <c r="AG218" s="514">
        <f t="shared" ref="AG218" si="71">AE218*AF218</f>
        <v>17737.5</v>
      </c>
      <c r="AH218" s="514">
        <v>0</v>
      </c>
      <c r="AI218" s="514">
        <f t="shared" ref="AI218" si="72">AG218+AH218</f>
        <v>17737.5</v>
      </c>
      <c r="AJ218" s="514">
        <v>0</v>
      </c>
      <c r="AK218" s="514">
        <f t="shared" si="59"/>
        <v>3225</v>
      </c>
      <c r="AL218" s="514">
        <f t="shared" ref="AL218" si="73">AE218*S218</f>
        <v>106102.5</v>
      </c>
      <c r="AM218" s="515">
        <f t="shared" ref="AM218" si="74">(AG218+AH218)-AL218</f>
        <v>-88365</v>
      </c>
      <c r="AN218" s="299">
        <f t="shared" ref="AN218" si="75">IFERROR(AM218/(AG218+AH218),0)</f>
        <v>-4.9818181818181815</v>
      </c>
      <c r="AO218" s="296">
        <f t="shared" ref="AO218" si="76">AE218*S218</f>
        <v>106102.5</v>
      </c>
      <c r="AP218" s="274">
        <f t="shared" si="68"/>
        <v>205</v>
      </c>
      <c r="AQ218" s="275">
        <f t="shared" ref="AQ218" si="77">T218*9.35%*AP218/365</f>
        <v>11160.946424657533</v>
      </c>
      <c r="AR218" s="275">
        <f t="shared" ref="AR218" si="78">AM218-AQ218</f>
        <v>-99525.946424657537</v>
      </c>
      <c r="AS218" s="280">
        <f t="shared" ref="AS218" si="79">IFERROR(AR218/(AG218+AH218),0)</f>
        <v>-5.6110470147798468</v>
      </c>
    </row>
    <row r="219" spans="2:45" x14ac:dyDescent="0.3">
      <c r="B219" s="287">
        <f t="shared" si="63"/>
        <v>215</v>
      </c>
      <c r="C219" s="272" t="s">
        <v>174</v>
      </c>
      <c r="D219" s="288" t="str">
        <f t="shared" si="64"/>
        <v>Sep-25</v>
      </c>
      <c r="E219" s="288" t="s">
        <v>107</v>
      </c>
      <c r="F219" s="289">
        <v>45910</v>
      </c>
      <c r="G219" s="290" t="s">
        <v>1696</v>
      </c>
      <c r="H219" s="291" t="s">
        <v>2596</v>
      </c>
      <c r="I219" s="290" t="s">
        <v>251</v>
      </c>
      <c r="J219" s="387" t="s">
        <v>1714</v>
      </c>
      <c r="K219" s="289">
        <v>45910</v>
      </c>
      <c r="L219" s="291" t="s">
        <v>1715</v>
      </c>
      <c r="M219" s="289">
        <v>45911</v>
      </c>
      <c r="N219" s="291" t="s">
        <v>255</v>
      </c>
      <c r="O219" s="296" t="s">
        <v>1621</v>
      </c>
      <c r="P219" s="291" t="s">
        <v>500</v>
      </c>
      <c r="Q219" s="291" t="s">
        <v>2607</v>
      </c>
      <c r="R219" s="458">
        <v>5060</v>
      </c>
      <c r="S219" s="404">
        <v>32</v>
      </c>
      <c r="T219" s="459">
        <f t="shared" si="56"/>
        <v>161920</v>
      </c>
      <c r="U219" s="298" t="s">
        <v>107</v>
      </c>
      <c r="V219" s="288" t="s">
        <v>3288</v>
      </c>
      <c r="W219" s="296" t="str">
        <f t="shared" si="65"/>
        <v>May-26</v>
      </c>
      <c r="X219" s="293" t="s">
        <v>2617</v>
      </c>
      <c r="Y219" s="293"/>
      <c r="Z219" s="318">
        <v>46154</v>
      </c>
      <c r="AA219" s="293" t="s">
        <v>3621</v>
      </c>
      <c r="AB219" s="293" t="s">
        <v>2325</v>
      </c>
      <c r="AC219" s="298" t="s">
        <v>500</v>
      </c>
      <c r="AD219" s="298" t="s">
        <v>501</v>
      </c>
      <c r="AE219" s="512">
        <v>108400</v>
      </c>
      <c r="AF219" s="513">
        <v>32</v>
      </c>
      <c r="AG219" s="514">
        <f t="shared" ref="AG219" si="80">AE219*AF219</f>
        <v>3468800</v>
      </c>
      <c r="AH219" s="514">
        <v>0</v>
      </c>
      <c r="AI219" s="514">
        <f t="shared" ref="AI219" si="81">AG219+AH219</f>
        <v>3468800</v>
      </c>
      <c r="AJ219" s="514">
        <v>0</v>
      </c>
      <c r="AK219" s="514">
        <f t="shared" ref="AK219" si="82">AE219-AJ219</f>
        <v>108400</v>
      </c>
      <c r="AL219" s="514">
        <f t="shared" ref="AL219" si="83">AE219*S219</f>
        <v>3468800</v>
      </c>
      <c r="AM219" s="515">
        <f t="shared" ref="AM219" si="84">(AG219+AH219)-AL219</f>
        <v>0</v>
      </c>
      <c r="AN219" s="299">
        <f t="shared" ref="AN219" si="85">IFERROR(AM219/(AG219+AH219),0)</f>
        <v>0</v>
      </c>
      <c r="AO219" s="296">
        <f t="shared" ref="AO219" si="86">AE219*S219</f>
        <v>3468800</v>
      </c>
      <c r="AP219" s="274">
        <f t="shared" si="68"/>
        <v>244</v>
      </c>
      <c r="AQ219" s="275">
        <f t="shared" ref="AQ219" si="87">T219*9.35%*AP219/365</f>
        <v>10120.665424657534</v>
      </c>
      <c r="AR219" s="275">
        <f t="shared" ref="AR219" si="88">AM219-AQ219</f>
        <v>-10120.665424657534</v>
      </c>
      <c r="AS219" s="280">
        <f t="shared" ref="AS219" si="89">IFERROR(AR219/(AG219+AH219),0)</f>
        <v>-2.917627255724612E-3</v>
      </c>
    </row>
    <row r="220" spans="2:45" x14ac:dyDescent="0.3">
      <c r="B220" s="287">
        <f t="shared" si="63"/>
        <v>216</v>
      </c>
      <c r="C220" s="272" t="s">
        <v>174</v>
      </c>
      <c r="D220" s="288" t="str">
        <f t="shared" si="64"/>
        <v>Sep-25</v>
      </c>
      <c r="E220" s="288" t="s">
        <v>107</v>
      </c>
      <c r="F220" s="289">
        <v>45910</v>
      </c>
      <c r="G220" s="290" t="s">
        <v>1692</v>
      </c>
      <c r="H220" s="291" t="s">
        <v>2599</v>
      </c>
      <c r="I220" s="290" t="s">
        <v>1672</v>
      </c>
      <c r="J220" s="387">
        <v>2526027633</v>
      </c>
      <c r="K220" s="289">
        <v>45910</v>
      </c>
      <c r="L220" s="291" t="s">
        <v>1710</v>
      </c>
      <c r="M220" s="289">
        <v>45910</v>
      </c>
      <c r="N220" s="291" t="s">
        <v>255</v>
      </c>
      <c r="O220" s="296" t="s">
        <v>1448</v>
      </c>
      <c r="P220" s="291" t="s">
        <v>500</v>
      </c>
      <c r="Q220" s="291" t="s">
        <v>2607</v>
      </c>
      <c r="R220" s="458">
        <v>3980</v>
      </c>
      <c r="S220" s="404">
        <v>32.9</v>
      </c>
      <c r="T220" s="459">
        <f t="shared" si="56"/>
        <v>130942</v>
      </c>
      <c r="U220" s="298"/>
      <c r="V220" s="288" t="s">
        <v>3288</v>
      </c>
      <c r="W220" s="296" t="str">
        <f t="shared" si="65"/>
        <v>Jan-00</v>
      </c>
      <c r="X220" s="293"/>
      <c r="Y220" s="293"/>
      <c r="Z220" s="318"/>
      <c r="AA220" s="293"/>
      <c r="AB220" s="293"/>
      <c r="AC220" s="298"/>
      <c r="AD220" s="298"/>
      <c r="AE220" s="512"/>
      <c r="AF220" s="513"/>
      <c r="AG220" s="514"/>
      <c r="AH220" s="514"/>
      <c r="AI220" s="514">
        <f t="shared" si="58"/>
        <v>0</v>
      </c>
      <c r="AJ220" s="514">
        <v>0</v>
      </c>
      <c r="AK220" s="514">
        <f t="shared" si="59"/>
        <v>0</v>
      </c>
      <c r="AL220" s="514"/>
      <c r="AM220" s="515"/>
      <c r="AN220" s="299"/>
      <c r="AO220" s="296">
        <f t="shared" si="66"/>
        <v>0</v>
      </c>
      <c r="AP220" s="274"/>
      <c r="AQ220" s="305"/>
      <c r="AR220" s="275">
        <f t="shared" si="67"/>
        <v>0</v>
      </c>
      <c r="AS220" s="280"/>
    </row>
    <row r="221" spans="2:45" x14ac:dyDescent="0.3">
      <c r="B221" s="287">
        <f t="shared" si="63"/>
        <v>217</v>
      </c>
      <c r="C221" s="272" t="s">
        <v>174</v>
      </c>
      <c r="D221" s="288" t="str">
        <f t="shared" si="64"/>
        <v>Sep-25</v>
      </c>
      <c r="E221" s="288" t="s">
        <v>107</v>
      </c>
      <c r="F221" s="289">
        <v>45911</v>
      </c>
      <c r="G221" s="290" t="s">
        <v>1697</v>
      </c>
      <c r="H221" s="291" t="s">
        <v>2599</v>
      </c>
      <c r="I221" s="290" t="s">
        <v>1672</v>
      </c>
      <c r="J221" s="387">
        <v>2526027835</v>
      </c>
      <c r="K221" s="289">
        <v>45911</v>
      </c>
      <c r="L221" s="291" t="s">
        <v>1716</v>
      </c>
      <c r="M221" s="289">
        <v>45911</v>
      </c>
      <c r="N221" s="291" t="s">
        <v>255</v>
      </c>
      <c r="O221" s="296" t="s">
        <v>299</v>
      </c>
      <c r="P221" s="291" t="s">
        <v>500</v>
      </c>
      <c r="Q221" s="291" t="s">
        <v>2607</v>
      </c>
      <c r="R221" s="458">
        <v>6470</v>
      </c>
      <c r="S221" s="404">
        <v>32.9</v>
      </c>
      <c r="T221" s="459">
        <f t="shared" si="56"/>
        <v>212863</v>
      </c>
      <c r="U221" s="298"/>
      <c r="V221" s="288" t="s">
        <v>3288</v>
      </c>
      <c r="W221" s="296" t="str">
        <f t="shared" si="65"/>
        <v>Jan-00</v>
      </c>
      <c r="X221" s="293"/>
      <c r="Y221" s="293"/>
      <c r="Z221" s="318"/>
      <c r="AA221" s="293"/>
      <c r="AB221" s="293"/>
      <c r="AC221" s="298"/>
      <c r="AD221" s="298"/>
      <c r="AE221" s="512"/>
      <c r="AF221" s="513"/>
      <c r="AG221" s="514"/>
      <c r="AH221" s="514"/>
      <c r="AI221" s="514">
        <f t="shared" si="58"/>
        <v>0</v>
      </c>
      <c r="AJ221" s="514">
        <v>0</v>
      </c>
      <c r="AK221" s="514">
        <f t="shared" si="59"/>
        <v>0</v>
      </c>
      <c r="AL221" s="514"/>
      <c r="AM221" s="515"/>
      <c r="AN221" s="299"/>
      <c r="AO221" s="296">
        <f t="shared" si="66"/>
        <v>0</v>
      </c>
      <c r="AP221" s="274"/>
      <c r="AQ221" s="305"/>
      <c r="AR221" s="275">
        <f t="shared" si="67"/>
        <v>0</v>
      </c>
      <c r="AS221" s="280"/>
    </row>
    <row r="222" spans="2:45" x14ac:dyDescent="0.3">
      <c r="B222" s="287">
        <f t="shared" si="63"/>
        <v>218</v>
      </c>
      <c r="C222" s="272" t="s">
        <v>174</v>
      </c>
      <c r="D222" s="288" t="str">
        <f t="shared" si="64"/>
        <v>Sep-25</v>
      </c>
      <c r="E222" s="288" t="s">
        <v>107</v>
      </c>
      <c r="F222" s="289">
        <v>45912</v>
      </c>
      <c r="G222" s="290" t="s">
        <v>1718</v>
      </c>
      <c r="H222" s="291" t="s">
        <v>2599</v>
      </c>
      <c r="I222" s="290" t="s">
        <v>1672</v>
      </c>
      <c r="J222" s="387">
        <v>2526028016</v>
      </c>
      <c r="K222" s="289">
        <v>45912</v>
      </c>
      <c r="L222" s="291" t="s">
        <v>1730</v>
      </c>
      <c r="M222" s="289">
        <v>45912</v>
      </c>
      <c r="N222" s="291" t="s">
        <v>255</v>
      </c>
      <c r="O222" s="296" t="s">
        <v>299</v>
      </c>
      <c r="P222" s="291" t="s">
        <v>500</v>
      </c>
      <c r="Q222" s="291" t="s">
        <v>2607</v>
      </c>
      <c r="R222" s="458">
        <v>5970</v>
      </c>
      <c r="S222" s="404">
        <v>32.9</v>
      </c>
      <c r="T222" s="459">
        <f t="shared" si="56"/>
        <v>196413</v>
      </c>
      <c r="U222" s="298"/>
      <c r="V222" s="288" t="s">
        <v>3288</v>
      </c>
      <c r="W222" s="296" t="str">
        <f t="shared" si="65"/>
        <v>Jan-00</v>
      </c>
      <c r="X222" s="293"/>
      <c r="Y222" s="293"/>
      <c r="Z222" s="318"/>
      <c r="AA222" s="293"/>
      <c r="AB222" s="293"/>
      <c r="AC222" s="298"/>
      <c r="AD222" s="298"/>
      <c r="AE222" s="512"/>
      <c r="AF222" s="513"/>
      <c r="AG222" s="514"/>
      <c r="AH222" s="514"/>
      <c r="AI222" s="514">
        <f t="shared" si="58"/>
        <v>0</v>
      </c>
      <c r="AJ222" s="514">
        <v>0</v>
      </c>
      <c r="AK222" s="514">
        <f t="shared" si="59"/>
        <v>0</v>
      </c>
      <c r="AL222" s="514"/>
      <c r="AM222" s="515"/>
      <c r="AN222" s="299"/>
      <c r="AO222" s="296">
        <f t="shared" si="66"/>
        <v>0</v>
      </c>
      <c r="AP222" s="274"/>
      <c r="AQ222" s="305"/>
      <c r="AR222" s="275">
        <f t="shared" si="67"/>
        <v>0</v>
      </c>
      <c r="AS222" s="280"/>
    </row>
    <row r="223" spans="2:45" x14ac:dyDescent="0.3">
      <c r="B223" s="287">
        <f t="shared" si="63"/>
        <v>219</v>
      </c>
      <c r="C223" s="272" t="s">
        <v>174</v>
      </c>
      <c r="D223" s="288" t="str">
        <f t="shared" si="64"/>
        <v>Sep-25</v>
      </c>
      <c r="E223" s="288" t="s">
        <v>107</v>
      </c>
      <c r="F223" s="289">
        <v>45912</v>
      </c>
      <c r="G223" s="290" t="s">
        <v>1719</v>
      </c>
      <c r="H223" s="291" t="s">
        <v>2598</v>
      </c>
      <c r="I223" s="290" t="s">
        <v>401</v>
      </c>
      <c r="J223" s="387">
        <v>8252001585</v>
      </c>
      <c r="K223" s="289">
        <v>45912</v>
      </c>
      <c r="L223" s="291" t="s">
        <v>1731</v>
      </c>
      <c r="M223" s="289">
        <v>45912</v>
      </c>
      <c r="N223" s="291" t="s">
        <v>255</v>
      </c>
      <c r="O223" s="296" t="s">
        <v>1732</v>
      </c>
      <c r="P223" s="291" t="s">
        <v>501</v>
      </c>
      <c r="Q223" s="291" t="s">
        <v>2608</v>
      </c>
      <c r="R223" s="458">
        <v>20620</v>
      </c>
      <c r="S223" s="404">
        <v>32.65</v>
      </c>
      <c r="T223" s="459">
        <f t="shared" si="56"/>
        <v>673243</v>
      </c>
      <c r="U223" s="298"/>
      <c r="V223" s="288" t="s">
        <v>3288</v>
      </c>
      <c r="W223" s="296" t="str">
        <f t="shared" si="65"/>
        <v>Jan-00</v>
      </c>
      <c r="X223" s="293"/>
      <c r="Y223" s="293"/>
      <c r="Z223" s="318"/>
      <c r="AA223" s="293"/>
      <c r="AB223" s="293"/>
      <c r="AC223" s="298"/>
      <c r="AD223" s="298"/>
      <c r="AE223" s="512"/>
      <c r="AF223" s="513"/>
      <c r="AG223" s="514"/>
      <c r="AH223" s="514"/>
      <c r="AI223" s="514">
        <f t="shared" si="58"/>
        <v>0</v>
      </c>
      <c r="AJ223" s="514">
        <v>0</v>
      </c>
      <c r="AK223" s="514">
        <f t="shared" si="59"/>
        <v>0</v>
      </c>
      <c r="AL223" s="514"/>
      <c r="AM223" s="515"/>
      <c r="AN223" s="299"/>
      <c r="AO223" s="296">
        <f t="shared" si="66"/>
        <v>0</v>
      </c>
      <c r="AP223" s="274"/>
      <c r="AQ223" s="305"/>
      <c r="AR223" s="275">
        <f t="shared" si="67"/>
        <v>0</v>
      </c>
      <c r="AS223" s="280"/>
    </row>
    <row r="224" spans="2:45" x14ac:dyDescent="0.3">
      <c r="B224" s="287">
        <f t="shared" si="63"/>
        <v>220</v>
      </c>
      <c r="C224" s="272" t="s">
        <v>174</v>
      </c>
      <c r="D224" s="288" t="str">
        <f t="shared" si="64"/>
        <v>Sep-25</v>
      </c>
      <c r="E224" s="288" t="s">
        <v>107</v>
      </c>
      <c r="F224" s="289">
        <v>45913</v>
      </c>
      <c r="G224" s="290" t="s">
        <v>1720</v>
      </c>
      <c r="H224" s="291" t="s">
        <v>2599</v>
      </c>
      <c r="I224" s="290" t="s">
        <v>1672</v>
      </c>
      <c r="J224" s="387">
        <v>2526028218</v>
      </c>
      <c r="K224" s="289">
        <v>45913</v>
      </c>
      <c r="L224" s="291" t="s">
        <v>1733</v>
      </c>
      <c r="M224" s="289">
        <v>45913</v>
      </c>
      <c r="N224" s="291" t="s">
        <v>255</v>
      </c>
      <c r="O224" s="296" t="s">
        <v>299</v>
      </c>
      <c r="P224" s="291" t="s">
        <v>500</v>
      </c>
      <c r="Q224" s="291" t="s">
        <v>2607</v>
      </c>
      <c r="R224" s="458">
        <v>5930</v>
      </c>
      <c r="S224" s="404">
        <v>32.9</v>
      </c>
      <c r="T224" s="459">
        <f t="shared" si="56"/>
        <v>195097</v>
      </c>
      <c r="U224" s="298"/>
      <c r="V224" s="288" t="s">
        <v>3288</v>
      </c>
      <c r="W224" s="296" t="str">
        <f t="shared" si="65"/>
        <v>Jan-00</v>
      </c>
      <c r="X224" s="293"/>
      <c r="Y224" s="293"/>
      <c r="Z224" s="318"/>
      <c r="AA224" s="293"/>
      <c r="AB224" s="293"/>
      <c r="AC224" s="298"/>
      <c r="AD224" s="298"/>
      <c r="AE224" s="512"/>
      <c r="AF224" s="513"/>
      <c r="AG224" s="514"/>
      <c r="AH224" s="514"/>
      <c r="AI224" s="514">
        <f t="shared" si="58"/>
        <v>0</v>
      </c>
      <c r="AJ224" s="514">
        <v>0</v>
      </c>
      <c r="AK224" s="514">
        <f t="shared" si="59"/>
        <v>0</v>
      </c>
      <c r="AL224" s="514"/>
      <c r="AM224" s="515"/>
      <c r="AN224" s="299"/>
      <c r="AO224" s="296">
        <f t="shared" si="66"/>
        <v>0</v>
      </c>
      <c r="AP224" s="274"/>
      <c r="AQ224" s="305"/>
      <c r="AR224" s="275">
        <f t="shared" si="67"/>
        <v>0</v>
      </c>
      <c r="AS224" s="280"/>
    </row>
    <row r="225" spans="2:45" x14ac:dyDescent="0.3">
      <c r="B225" s="287">
        <f t="shared" si="63"/>
        <v>221</v>
      </c>
      <c r="C225" s="272" t="s">
        <v>174</v>
      </c>
      <c r="D225" s="288" t="str">
        <f t="shared" si="64"/>
        <v>Sep-25</v>
      </c>
      <c r="E225" s="288" t="s">
        <v>107</v>
      </c>
      <c r="F225" s="289">
        <v>45913</v>
      </c>
      <c r="G225" s="290" t="s">
        <v>1721</v>
      </c>
      <c r="H225" s="291" t="s">
        <v>2598</v>
      </c>
      <c r="I225" s="290" t="s">
        <v>401</v>
      </c>
      <c r="J225" s="387">
        <v>5252000841</v>
      </c>
      <c r="K225" s="289">
        <v>45913</v>
      </c>
      <c r="L225" s="291" t="s">
        <v>1734</v>
      </c>
      <c r="M225" s="289">
        <v>45913</v>
      </c>
      <c r="N225" s="291" t="s">
        <v>255</v>
      </c>
      <c r="O225" s="296" t="s">
        <v>1706</v>
      </c>
      <c r="P225" s="291" t="s">
        <v>501</v>
      </c>
      <c r="Q225" s="291" t="s">
        <v>2608</v>
      </c>
      <c r="R225" s="458">
        <v>22410</v>
      </c>
      <c r="S225" s="404">
        <v>32.65</v>
      </c>
      <c r="T225" s="459">
        <f t="shared" si="56"/>
        <v>731686.5</v>
      </c>
      <c r="U225" s="298"/>
      <c r="V225" s="288" t="s">
        <v>3288</v>
      </c>
      <c r="W225" s="296" t="str">
        <f t="shared" si="65"/>
        <v>Jan-00</v>
      </c>
      <c r="X225" s="293"/>
      <c r="Y225" s="293"/>
      <c r="Z225" s="318"/>
      <c r="AA225" s="293"/>
      <c r="AB225" s="293"/>
      <c r="AC225" s="298"/>
      <c r="AD225" s="298"/>
      <c r="AE225" s="512"/>
      <c r="AF225" s="513"/>
      <c r="AG225" s="514"/>
      <c r="AH225" s="514"/>
      <c r="AI225" s="514">
        <f t="shared" si="58"/>
        <v>0</v>
      </c>
      <c r="AJ225" s="514">
        <v>0</v>
      </c>
      <c r="AK225" s="514">
        <f t="shared" si="59"/>
        <v>0</v>
      </c>
      <c r="AL225" s="514"/>
      <c r="AM225" s="515"/>
      <c r="AN225" s="299"/>
      <c r="AO225" s="296">
        <f t="shared" si="66"/>
        <v>0</v>
      </c>
      <c r="AP225" s="274"/>
      <c r="AQ225" s="305"/>
      <c r="AR225" s="275">
        <f t="shared" si="67"/>
        <v>0</v>
      </c>
      <c r="AS225" s="280"/>
    </row>
    <row r="226" spans="2:45" x14ac:dyDescent="0.3">
      <c r="B226" s="287">
        <f t="shared" si="63"/>
        <v>222</v>
      </c>
      <c r="C226" s="272" t="s">
        <v>174</v>
      </c>
      <c r="D226" s="288" t="str">
        <f t="shared" si="64"/>
        <v>Sep-25</v>
      </c>
      <c r="E226" s="288" t="s">
        <v>107</v>
      </c>
      <c r="F226" s="289">
        <v>45915</v>
      </c>
      <c r="G226" s="290" t="s">
        <v>1809</v>
      </c>
      <c r="H226" s="291" t="s">
        <v>2599</v>
      </c>
      <c r="I226" s="290" t="s">
        <v>1672</v>
      </c>
      <c r="J226" s="387">
        <v>2526028440</v>
      </c>
      <c r="K226" s="289">
        <v>45915</v>
      </c>
      <c r="L226" s="291" t="s">
        <v>1841</v>
      </c>
      <c r="M226" s="289">
        <v>45916</v>
      </c>
      <c r="N226" s="291" t="s">
        <v>255</v>
      </c>
      <c r="O226" s="296" t="s">
        <v>299</v>
      </c>
      <c r="P226" s="291" t="s">
        <v>500</v>
      </c>
      <c r="Q226" s="291" t="s">
        <v>2607</v>
      </c>
      <c r="R226" s="458">
        <v>7310</v>
      </c>
      <c r="S226" s="404">
        <v>32.9</v>
      </c>
      <c r="T226" s="459">
        <f t="shared" si="56"/>
        <v>240499</v>
      </c>
      <c r="U226" s="298"/>
      <c r="V226" s="288" t="s">
        <v>3288</v>
      </c>
      <c r="W226" s="296" t="str">
        <f t="shared" si="65"/>
        <v>Jan-00</v>
      </c>
      <c r="X226" s="293"/>
      <c r="Y226" s="293"/>
      <c r="Z226" s="318"/>
      <c r="AA226" s="293"/>
      <c r="AB226" s="293"/>
      <c r="AC226" s="298"/>
      <c r="AD226" s="298"/>
      <c r="AE226" s="512"/>
      <c r="AF226" s="513"/>
      <c r="AG226" s="514"/>
      <c r="AH226" s="514"/>
      <c r="AI226" s="514">
        <f t="shared" si="58"/>
        <v>0</v>
      </c>
      <c r="AJ226" s="514">
        <v>0</v>
      </c>
      <c r="AK226" s="514">
        <f t="shared" si="59"/>
        <v>0</v>
      </c>
      <c r="AL226" s="514"/>
      <c r="AM226" s="515"/>
      <c r="AN226" s="299"/>
      <c r="AO226" s="296">
        <f t="shared" si="66"/>
        <v>0</v>
      </c>
      <c r="AP226" s="274"/>
      <c r="AQ226" s="305"/>
      <c r="AR226" s="275">
        <f t="shared" si="67"/>
        <v>0</v>
      </c>
      <c r="AS226" s="280"/>
    </row>
    <row r="227" spans="2:45" x14ac:dyDescent="0.3">
      <c r="B227" s="287">
        <f t="shared" si="63"/>
        <v>223</v>
      </c>
      <c r="C227" s="272" t="s">
        <v>174</v>
      </c>
      <c r="D227" s="288" t="str">
        <f t="shared" si="64"/>
        <v>Sep-25</v>
      </c>
      <c r="E227" s="288" t="s">
        <v>107</v>
      </c>
      <c r="F227" s="289">
        <v>45916</v>
      </c>
      <c r="G227" s="290" t="s">
        <v>1810</v>
      </c>
      <c r="H227" s="291" t="s">
        <v>2599</v>
      </c>
      <c r="I227" s="290" t="s">
        <v>1672</v>
      </c>
      <c r="J227" s="387">
        <v>2526028655</v>
      </c>
      <c r="K227" s="289">
        <v>45916</v>
      </c>
      <c r="L227" s="291" t="s">
        <v>1842</v>
      </c>
      <c r="M227" s="289">
        <v>45916</v>
      </c>
      <c r="N227" s="291" t="s">
        <v>255</v>
      </c>
      <c r="O227" s="296" t="s">
        <v>256</v>
      </c>
      <c r="P227" s="291" t="s">
        <v>500</v>
      </c>
      <c r="Q227" s="291" t="s">
        <v>2607</v>
      </c>
      <c r="R227" s="458">
        <v>5850</v>
      </c>
      <c r="S227" s="404">
        <v>32.9</v>
      </c>
      <c r="T227" s="459">
        <f t="shared" si="56"/>
        <v>192465</v>
      </c>
      <c r="U227" s="298"/>
      <c r="V227" s="288" t="s">
        <v>3288</v>
      </c>
      <c r="W227" s="296" t="str">
        <f t="shared" si="65"/>
        <v>Jan-00</v>
      </c>
      <c r="X227" s="293"/>
      <c r="Y227" s="293"/>
      <c r="Z227" s="318"/>
      <c r="AA227" s="293"/>
      <c r="AB227" s="293"/>
      <c r="AC227" s="298"/>
      <c r="AD227" s="298"/>
      <c r="AE227" s="512"/>
      <c r="AF227" s="513"/>
      <c r="AG227" s="514"/>
      <c r="AH227" s="514"/>
      <c r="AI227" s="514">
        <f t="shared" si="58"/>
        <v>0</v>
      </c>
      <c r="AJ227" s="514">
        <v>0</v>
      </c>
      <c r="AK227" s="514">
        <f t="shared" si="59"/>
        <v>0</v>
      </c>
      <c r="AL227" s="514"/>
      <c r="AM227" s="515"/>
      <c r="AN227" s="299"/>
      <c r="AO227" s="296">
        <f t="shared" si="66"/>
        <v>0</v>
      </c>
      <c r="AP227" s="274"/>
      <c r="AQ227" s="305"/>
      <c r="AR227" s="275">
        <f t="shared" si="67"/>
        <v>0</v>
      </c>
      <c r="AS227" s="280"/>
    </row>
    <row r="228" spans="2:45" x14ac:dyDescent="0.3">
      <c r="B228" s="287">
        <f t="shared" si="63"/>
        <v>224</v>
      </c>
      <c r="C228" s="272" t="s">
        <v>174</v>
      </c>
      <c r="D228" s="288" t="str">
        <f t="shared" si="64"/>
        <v>Sep-25</v>
      </c>
      <c r="E228" s="288" t="s">
        <v>107</v>
      </c>
      <c r="F228" s="289">
        <v>45916</v>
      </c>
      <c r="G228" s="290" t="s">
        <v>1812</v>
      </c>
      <c r="H228" s="291" t="s">
        <v>2598</v>
      </c>
      <c r="I228" s="290" t="s">
        <v>401</v>
      </c>
      <c r="J228" s="387">
        <v>5252000851</v>
      </c>
      <c r="K228" s="289">
        <v>45916</v>
      </c>
      <c r="L228" s="291" t="s">
        <v>1843</v>
      </c>
      <c r="M228" s="289">
        <v>45918</v>
      </c>
      <c r="N228" s="291" t="s">
        <v>255</v>
      </c>
      <c r="O228" s="296" t="s">
        <v>1423</v>
      </c>
      <c r="P228" s="291" t="s">
        <v>501</v>
      </c>
      <c r="Q228" s="291" t="s">
        <v>2608</v>
      </c>
      <c r="R228" s="458">
        <v>14120</v>
      </c>
      <c r="S228" s="404">
        <v>32.65</v>
      </c>
      <c r="T228" s="459">
        <f t="shared" si="56"/>
        <v>461018</v>
      </c>
      <c r="U228" s="298"/>
      <c r="V228" s="288" t="s">
        <v>3288</v>
      </c>
      <c r="W228" s="296" t="str">
        <f t="shared" si="65"/>
        <v>Jan-00</v>
      </c>
      <c r="X228" s="293"/>
      <c r="Y228" s="293"/>
      <c r="Z228" s="318"/>
      <c r="AA228" s="293"/>
      <c r="AB228" s="293"/>
      <c r="AC228" s="298"/>
      <c r="AD228" s="298"/>
      <c r="AE228" s="512"/>
      <c r="AF228" s="513"/>
      <c r="AG228" s="514"/>
      <c r="AH228" s="514"/>
      <c r="AI228" s="514">
        <f t="shared" si="58"/>
        <v>0</v>
      </c>
      <c r="AJ228" s="514">
        <v>0</v>
      </c>
      <c r="AK228" s="514">
        <f t="shared" si="59"/>
        <v>0</v>
      </c>
      <c r="AL228" s="514"/>
      <c r="AM228" s="515"/>
      <c r="AN228" s="299"/>
      <c r="AO228" s="296">
        <f t="shared" si="66"/>
        <v>0</v>
      </c>
      <c r="AP228" s="274"/>
      <c r="AQ228" s="305"/>
      <c r="AR228" s="275">
        <f t="shared" si="67"/>
        <v>0</v>
      </c>
      <c r="AS228" s="280"/>
    </row>
    <row r="229" spans="2:45" x14ac:dyDescent="0.3">
      <c r="B229" s="287">
        <f t="shared" si="63"/>
        <v>225</v>
      </c>
      <c r="C229" s="272" t="s">
        <v>174</v>
      </c>
      <c r="D229" s="288" t="str">
        <f t="shared" si="64"/>
        <v>Sep-25</v>
      </c>
      <c r="E229" s="288" t="s">
        <v>107</v>
      </c>
      <c r="F229" s="289">
        <v>45917</v>
      </c>
      <c r="G229" s="290" t="s">
        <v>1811</v>
      </c>
      <c r="H229" s="291" t="s">
        <v>1671</v>
      </c>
      <c r="I229" s="290" t="s">
        <v>1672</v>
      </c>
      <c r="J229" s="387">
        <v>2526028874</v>
      </c>
      <c r="K229" s="289">
        <v>45917</v>
      </c>
      <c r="L229" s="291" t="s">
        <v>2728</v>
      </c>
      <c r="M229" s="289">
        <v>45917</v>
      </c>
      <c r="N229" s="291" t="s">
        <v>255</v>
      </c>
      <c r="O229" s="296" t="s">
        <v>299</v>
      </c>
      <c r="P229" s="291" t="s">
        <v>501</v>
      </c>
      <c r="Q229" s="291" t="s">
        <v>501</v>
      </c>
      <c r="R229" s="458">
        <v>6530</v>
      </c>
      <c r="S229" s="404">
        <v>32.9</v>
      </c>
      <c r="T229" s="459">
        <f t="shared" si="56"/>
        <v>214837</v>
      </c>
      <c r="U229" s="298"/>
      <c r="V229" s="288" t="s">
        <v>3288</v>
      </c>
      <c r="W229" s="296" t="str">
        <f t="shared" si="65"/>
        <v>Jan-00</v>
      </c>
      <c r="X229" s="293"/>
      <c r="Y229" s="293"/>
      <c r="Z229" s="318"/>
      <c r="AA229" s="293"/>
      <c r="AB229" s="293"/>
      <c r="AC229" s="298"/>
      <c r="AD229" s="298"/>
      <c r="AE229" s="512"/>
      <c r="AF229" s="513"/>
      <c r="AG229" s="514"/>
      <c r="AH229" s="514"/>
      <c r="AI229" s="514">
        <f t="shared" si="58"/>
        <v>0</v>
      </c>
      <c r="AJ229" s="514">
        <v>0</v>
      </c>
      <c r="AK229" s="514">
        <f t="shared" si="59"/>
        <v>0</v>
      </c>
      <c r="AL229" s="514"/>
      <c r="AM229" s="515"/>
      <c r="AN229" s="299"/>
      <c r="AO229" s="296">
        <f t="shared" si="66"/>
        <v>0</v>
      </c>
      <c r="AP229" s="274"/>
      <c r="AQ229" s="305"/>
      <c r="AR229" s="275">
        <f t="shared" si="67"/>
        <v>0</v>
      </c>
      <c r="AS229" s="280"/>
    </row>
    <row r="230" spans="2:45" x14ac:dyDescent="0.3">
      <c r="B230" s="287">
        <f t="shared" si="63"/>
        <v>226</v>
      </c>
      <c r="C230" s="272" t="s">
        <v>174</v>
      </c>
      <c r="D230" s="288" t="str">
        <f t="shared" si="64"/>
        <v>Sep-25</v>
      </c>
      <c r="E230" s="288" t="s">
        <v>107</v>
      </c>
      <c r="F230" s="289">
        <v>45917</v>
      </c>
      <c r="G230" s="290" t="s">
        <v>1813</v>
      </c>
      <c r="H230" s="291" t="s">
        <v>2598</v>
      </c>
      <c r="I230" s="290" t="s">
        <v>401</v>
      </c>
      <c r="J230" s="387">
        <v>5252000861</v>
      </c>
      <c r="K230" s="289">
        <v>45917</v>
      </c>
      <c r="L230" s="291" t="s">
        <v>1844</v>
      </c>
      <c r="M230" s="289">
        <v>45918</v>
      </c>
      <c r="N230" s="291" t="s">
        <v>255</v>
      </c>
      <c r="O230" s="296" t="s">
        <v>908</v>
      </c>
      <c r="P230" s="291" t="s">
        <v>501</v>
      </c>
      <c r="Q230" s="291" t="s">
        <v>2608</v>
      </c>
      <c r="R230" s="458">
        <v>16640</v>
      </c>
      <c r="S230" s="404">
        <v>32.65</v>
      </c>
      <c r="T230" s="459">
        <f t="shared" si="56"/>
        <v>543296</v>
      </c>
      <c r="U230" s="298"/>
      <c r="V230" s="288" t="s">
        <v>3288</v>
      </c>
      <c r="W230" s="296" t="str">
        <f t="shared" si="65"/>
        <v>Jan-00</v>
      </c>
      <c r="X230" s="293"/>
      <c r="Y230" s="293"/>
      <c r="Z230" s="318"/>
      <c r="AA230" s="293"/>
      <c r="AB230" s="293"/>
      <c r="AC230" s="298"/>
      <c r="AD230" s="298"/>
      <c r="AE230" s="512"/>
      <c r="AF230" s="513"/>
      <c r="AG230" s="514"/>
      <c r="AH230" s="514"/>
      <c r="AI230" s="514">
        <f t="shared" si="58"/>
        <v>0</v>
      </c>
      <c r="AJ230" s="514">
        <v>0</v>
      </c>
      <c r="AK230" s="514">
        <f t="shared" si="59"/>
        <v>0</v>
      </c>
      <c r="AL230" s="514"/>
      <c r="AM230" s="515"/>
      <c r="AN230" s="299"/>
      <c r="AO230" s="296">
        <f t="shared" si="66"/>
        <v>0</v>
      </c>
      <c r="AP230" s="274"/>
      <c r="AQ230" s="305"/>
      <c r="AR230" s="275">
        <f t="shared" si="67"/>
        <v>0</v>
      </c>
      <c r="AS230" s="280"/>
    </row>
    <row r="231" spans="2:45" x14ac:dyDescent="0.3">
      <c r="B231" s="287">
        <f t="shared" si="63"/>
        <v>227</v>
      </c>
      <c r="C231" s="272" t="s">
        <v>174</v>
      </c>
      <c r="D231" s="288" t="str">
        <f t="shared" si="64"/>
        <v>Sep-25</v>
      </c>
      <c r="E231" s="288" t="s">
        <v>107</v>
      </c>
      <c r="F231" s="289">
        <v>45918</v>
      </c>
      <c r="G231" s="290" t="s">
        <v>1814</v>
      </c>
      <c r="H231" s="291" t="s">
        <v>2596</v>
      </c>
      <c r="I231" s="290" t="s">
        <v>251</v>
      </c>
      <c r="J231" s="387" t="s">
        <v>1845</v>
      </c>
      <c r="K231" s="289">
        <v>45918</v>
      </c>
      <c r="L231" s="291" t="s">
        <v>1846</v>
      </c>
      <c r="M231" s="289">
        <v>45919</v>
      </c>
      <c r="N231" s="291" t="s">
        <v>255</v>
      </c>
      <c r="O231" s="296" t="s">
        <v>1640</v>
      </c>
      <c r="P231" s="291" t="s">
        <v>500</v>
      </c>
      <c r="Q231" s="291" t="s">
        <v>2607</v>
      </c>
      <c r="R231" s="458">
        <v>1880</v>
      </c>
      <c r="S231" s="404">
        <v>36</v>
      </c>
      <c r="T231" s="459">
        <f t="shared" si="56"/>
        <v>67680</v>
      </c>
      <c r="U231" s="298"/>
      <c r="V231" s="288" t="s">
        <v>3288</v>
      </c>
      <c r="W231" s="296" t="str">
        <f t="shared" si="65"/>
        <v>Jan-00</v>
      </c>
      <c r="X231" s="293"/>
      <c r="Y231" s="293"/>
      <c r="Z231" s="318"/>
      <c r="AA231" s="293"/>
      <c r="AB231" s="293"/>
      <c r="AC231" s="298"/>
      <c r="AD231" s="298"/>
      <c r="AE231" s="512"/>
      <c r="AF231" s="513"/>
      <c r="AG231" s="514"/>
      <c r="AH231" s="514"/>
      <c r="AI231" s="514">
        <f t="shared" si="58"/>
        <v>0</v>
      </c>
      <c r="AJ231" s="514">
        <v>0</v>
      </c>
      <c r="AK231" s="514">
        <f t="shared" si="59"/>
        <v>0</v>
      </c>
      <c r="AL231" s="514"/>
      <c r="AM231" s="515"/>
      <c r="AN231" s="299"/>
      <c r="AO231" s="296">
        <f t="shared" si="66"/>
        <v>0</v>
      </c>
      <c r="AP231" s="274"/>
      <c r="AQ231" s="305"/>
      <c r="AR231" s="275">
        <f t="shared" si="67"/>
        <v>0</v>
      </c>
      <c r="AS231" s="280"/>
    </row>
    <row r="232" spans="2:45" x14ac:dyDescent="0.3">
      <c r="B232" s="287">
        <f t="shared" si="63"/>
        <v>228</v>
      </c>
      <c r="C232" s="272" t="s">
        <v>174</v>
      </c>
      <c r="D232" s="288" t="str">
        <f t="shared" si="64"/>
        <v>Sep-25</v>
      </c>
      <c r="E232" s="288" t="s">
        <v>107</v>
      </c>
      <c r="F232" s="289">
        <v>45918</v>
      </c>
      <c r="G232" s="290" t="s">
        <v>1815</v>
      </c>
      <c r="H232" s="291" t="s">
        <v>2596</v>
      </c>
      <c r="I232" s="290" t="s">
        <v>251</v>
      </c>
      <c r="J232" s="387" t="s">
        <v>1847</v>
      </c>
      <c r="K232" s="289">
        <v>45918</v>
      </c>
      <c r="L232" s="291" t="s">
        <v>1848</v>
      </c>
      <c r="M232" s="289">
        <v>45919</v>
      </c>
      <c r="N232" s="291" t="s">
        <v>255</v>
      </c>
      <c r="O232" s="296" t="s">
        <v>1640</v>
      </c>
      <c r="P232" s="291" t="s">
        <v>500</v>
      </c>
      <c r="Q232" s="291" t="s">
        <v>2607</v>
      </c>
      <c r="R232" s="458">
        <v>2830</v>
      </c>
      <c r="S232" s="404">
        <v>34</v>
      </c>
      <c r="T232" s="459">
        <f t="shared" si="56"/>
        <v>96220</v>
      </c>
      <c r="U232" s="298"/>
      <c r="V232" s="288" t="s">
        <v>3288</v>
      </c>
      <c r="W232" s="296" t="str">
        <f t="shared" si="65"/>
        <v>Jan-00</v>
      </c>
      <c r="X232" s="293"/>
      <c r="Y232" s="293"/>
      <c r="Z232" s="318"/>
      <c r="AA232" s="293"/>
      <c r="AB232" s="293"/>
      <c r="AC232" s="298"/>
      <c r="AD232" s="298"/>
      <c r="AE232" s="512"/>
      <c r="AF232" s="513"/>
      <c r="AG232" s="514"/>
      <c r="AH232" s="514"/>
      <c r="AI232" s="514">
        <f t="shared" si="58"/>
        <v>0</v>
      </c>
      <c r="AJ232" s="514">
        <v>0</v>
      </c>
      <c r="AK232" s="514">
        <f t="shared" si="59"/>
        <v>0</v>
      </c>
      <c r="AL232" s="514"/>
      <c r="AM232" s="515"/>
      <c r="AN232" s="299"/>
      <c r="AO232" s="296">
        <f t="shared" si="66"/>
        <v>0</v>
      </c>
      <c r="AP232" s="274"/>
      <c r="AQ232" s="305"/>
      <c r="AR232" s="275">
        <f t="shared" si="67"/>
        <v>0</v>
      </c>
      <c r="AS232" s="280"/>
    </row>
    <row r="233" spans="2:45" x14ac:dyDescent="0.3">
      <c r="B233" s="287">
        <f t="shared" si="63"/>
        <v>229</v>
      </c>
      <c r="C233" s="272" t="s">
        <v>174</v>
      </c>
      <c r="D233" s="288" t="str">
        <f t="shared" si="64"/>
        <v>Sep-25</v>
      </c>
      <c r="E233" s="288" t="s">
        <v>107</v>
      </c>
      <c r="F233" s="289">
        <v>45919</v>
      </c>
      <c r="G233" s="290" t="s">
        <v>1816</v>
      </c>
      <c r="H233" s="291" t="s">
        <v>2599</v>
      </c>
      <c r="I233" s="290" t="s">
        <v>1672</v>
      </c>
      <c r="J233" s="387">
        <v>2526029291</v>
      </c>
      <c r="K233" s="289">
        <v>45919</v>
      </c>
      <c r="L233" s="291" t="s">
        <v>1849</v>
      </c>
      <c r="M233" s="289">
        <v>45920</v>
      </c>
      <c r="N233" s="291" t="s">
        <v>255</v>
      </c>
      <c r="O233" s="296" t="s">
        <v>1850</v>
      </c>
      <c r="P233" s="291" t="s">
        <v>500</v>
      </c>
      <c r="Q233" s="291" t="s">
        <v>2607</v>
      </c>
      <c r="R233" s="458">
        <v>7000</v>
      </c>
      <c r="S233" s="404">
        <v>32.9</v>
      </c>
      <c r="T233" s="459">
        <f t="shared" si="56"/>
        <v>230300</v>
      </c>
      <c r="U233" s="298"/>
      <c r="V233" s="288" t="s">
        <v>3288</v>
      </c>
      <c r="W233" s="296" t="str">
        <f t="shared" si="65"/>
        <v>Jan-00</v>
      </c>
      <c r="X233" s="293"/>
      <c r="Y233" s="293"/>
      <c r="Z233" s="318"/>
      <c r="AA233" s="293"/>
      <c r="AB233" s="293"/>
      <c r="AC233" s="298"/>
      <c r="AD233" s="298"/>
      <c r="AE233" s="512"/>
      <c r="AF233" s="513"/>
      <c r="AG233" s="514"/>
      <c r="AH233" s="514"/>
      <c r="AI233" s="514">
        <f t="shared" si="58"/>
        <v>0</v>
      </c>
      <c r="AJ233" s="514">
        <v>0</v>
      </c>
      <c r="AK233" s="514">
        <f t="shared" si="59"/>
        <v>0</v>
      </c>
      <c r="AL233" s="514"/>
      <c r="AM233" s="515"/>
      <c r="AN233" s="299"/>
      <c r="AO233" s="296">
        <f t="shared" si="66"/>
        <v>0</v>
      </c>
      <c r="AP233" s="274"/>
      <c r="AQ233" s="305"/>
      <c r="AR233" s="275">
        <f t="shared" si="67"/>
        <v>0</v>
      </c>
      <c r="AS233" s="280"/>
    </row>
    <row r="234" spans="2:45" x14ac:dyDescent="0.3">
      <c r="B234" s="287">
        <f t="shared" si="63"/>
        <v>230</v>
      </c>
      <c r="C234" s="272" t="s">
        <v>174</v>
      </c>
      <c r="D234" s="288" t="str">
        <f t="shared" si="64"/>
        <v>Sep-25</v>
      </c>
      <c r="E234" s="288" t="s">
        <v>107</v>
      </c>
      <c r="F234" s="289">
        <v>45920</v>
      </c>
      <c r="G234" s="290" t="s">
        <v>1818</v>
      </c>
      <c r="H234" s="291" t="s">
        <v>2596</v>
      </c>
      <c r="I234" s="290" t="s">
        <v>251</v>
      </c>
      <c r="J234" s="387" t="s">
        <v>1852</v>
      </c>
      <c r="K234" s="289">
        <v>45920</v>
      </c>
      <c r="L234" s="291" t="s">
        <v>1853</v>
      </c>
      <c r="M234" s="289">
        <v>45920</v>
      </c>
      <c r="N234" s="291" t="s">
        <v>255</v>
      </c>
      <c r="O234" s="296" t="s">
        <v>1621</v>
      </c>
      <c r="P234" s="291" t="s">
        <v>500</v>
      </c>
      <c r="Q234" s="291" t="s">
        <v>2607</v>
      </c>
      <c r="R234" s="458">
        <v>6890</v>
      </c>
      <c r="S234" s="404">
        <v>36</v>
      </c>
      <c r="T234" s="459">
        <f t="shared" si="56"/>
        <v>248040</v>
      </c>
      <c r="U234" s="298"/>
      <c r="V234" s="288" t="s">
        <v>3288</v>
      </c>
      <c r="W234" s="296" t="str">
        <f t="shared" si="65"/>
        <v>Jan-00</v>
      </c>
      <c r="X234" s="293"/>
      <c r="Y234" s="293"/>
      <c r="Z234" s="318"/>
      <c r="AA234" s="293"/>
      <c r="AB234" s="293"/>
      <c r="AC234" s="298"/>
      <c r="AD234" s="298"/>
      <c r="AE234" s="512"/>
      <c r="AF234" s="513"/>
      <c r="AG234" s="514"/>
      <c r="AH234" s="514"/>
      <c r="AI234" s="514">
        <f t="shared" si="58"/>
        <v>0</v>
      </c>
      <c r="AJ234" s="514">
        <v>0</v>
      </c>
      <c r="AK234" s="514">
        <f t="shared" si="59"/>
        <v>0</v>
      </c>
      <c r="AL234" s="514"/>
      <c r="AM234" s="515"/>
      <c r="AN234" s="299"/>
      <c r="AO234" s="296">
        <f t="shared" si="66"/>
        <v>0</v>
      </c>
      <c r="AP234" s="274"/>
      <c r="AQ234" s="305"/>
      <c r="AR234" s="275">
        <f t="shared" si="67"/>
        <v>0</v>
      </c>
      <c r="AS234" s="280"/>
    </row>
    <row r="235" spans="2:45" x14ac:dyDescent="0.3">
      <c r="B235" s="287">
        <f t="shared" si="63"/>
        <v>231</v>
      </c>
      <c r="C235" s="272" t="s">
        <v>174</v>
      </c>
      <c r="D235" s="288" t="str">
        <f t="shared" si="64"/>
        <v>Sep-25</v>
      </c>
      <c r="E235" s="288" t="s">
        <v>107</v>
      </c>
      <c r="F235" s="289">
        <v>45920</v>
      </c>
      <c r="G235" s="290" t="s">
        <v>1817</v>
      </c>
      <c r="H235" s="291" t="s">
        <v>2598</v>
      </c>
      <c r="I235" s="290" t="s">
        <v>401</v>
      </c>
      <c r="J235" s="387">
        <v>6252000057</v>
      </c>
      <c r="K235" s="289">
        <v>45920</v>
      </c>
      <c r="L235" s="291" t="s">
        <v>1851</v>
      </c>
      <c r="M235" s="289">
        <v>45920</v>
      </c>
      <c r="N235" s="291" t="s">
        <v>255</v>
      </c>
      <c r="O235" s="296" t="s">
        <v>1494</v>
      </c>
      <c r="P235" s="291" t="s">
        <v>501</v>
      </c>
      <c r="Q235" s="291" t="s">
        <v>2608</v>
      </c>
      <c r="R235" s="458">
        <v>29060</v>
      </c>
      <c r="S235" s="404">
        <v>32.65</v>
      </c>
      <c r="T235" s="459">
        <f t="shared" si="56"/>
        <v>948809</v>
      </c>
      <c r="U235" s="298"/>
      <c r="V235" s="288" t="s">
        <v>3288</v>
      </c>
      <c r="W235" s="296" t="str">
        <f t="shared" si="65"/>
        <v>Jan-00</v>
      </c>
      <c r="X235" s="293"/>
      <c r="Y235" s="293"/>
      <c r="Z235" s="318"/>
      <c r="AA235" s="293"/>
      <c r="AB235" s="293"/>
      <c r="AC235" s="298"/>
      <c r="AD235" s="298"/>
      <c r="AE235" s="512"/>
      <c r="AF235" s="513"/>
      <c r="AG235" s="514"/>
      <c r="AH235" s="514"/>
      <c r="AI235" s="514">
        <f t="shared" si="58"/>
        <v>0</v>
      </c>
      <c r="AJ235" s="514">
        <v>0</v>
      </c>
      <c r="AK235" s="514">
        <f t="shared" si="59"/>
        <v>0</v>
      </c>
      <c r="AL235" s="514"/>
      <c r="AM235" s="515"/>
      <c r="AN235" s="299"/>
      <c r="AO235" s="296">
        <f t="shared" si="66"/>
        <v>0</v>
      </c>
      <c r="AP235" s="274"/>
      <c r="AQ235" s="305"/>
      <c r="AR235" s="275">
        <f t="shared" si="67"/>
        <v>0</v>
      </c>
      <c r="AS235" s="280"/>
    </row>
    <row r="236" spans="2:45" x14ac:dyDescent="0.3">
      <c r="B236" s="287">
        <f t="shared" si="63"/>
        <v>232</v>
      </c>
      <c r="C236" s="272" t="s">
        <v>174</v>
      </c>
      <c r="D236" s="288" t="str">
        <f t="shared" si="64"/>
        <v>Sep-25</v>
      </c>
      <c r="E236" s="288" t="s">
        <v>107</v>
      </c>
      <c r="F236" s="289">
        <v>45921</v>
      </c>
      <c r="G236" s="290" t="s">
        <v>1819</v>
      </c>
      <c r="H236" s="291" t="s">
        <v>2598</v>
      </c>
      <c r="I236" s="290" t="s">
        <v>401</v>
      </c>
      <c r="J236" s="387">
        <v>8252001676</v>
      </c>
      <c r="K236" s="289">
        <v>45921</v>
      </c>
      <c r="L236" s="291" t="s">
        <v>1854</v>
      </c>
      <c r="M236" s="289">
        <v>45921</v>
      </c>
      <c r="N236" s="291" t="s">
        <v>255</v>
      </c>
      <c r="O236" s="296" t="s">
        <v>1494</v>
      </c>
      <c r="P236" s="291" t="s">
        <v>501</v>
      </c>
      <c r="Q236" s="291" t="s">
        <v>2608</v>
      </c>
      <c r="R236" s="458">
        <v>26730</v>
      </c>
      <c r="S236" s="404">
        <v>32.65</v>
      </c>
      <c r="T236" s="459">
        <f t="shared" si="56"/>
        <v>872734.5</v>
      </c>
      <c r="U236" s="298"/>
      <c r="V236" s="288" t="s">
        <v>3288</v>
      </c>
      <c r="W236" s="296" t="str">
        <f t="shared" si="65"/>
        <v>Jan-00</v>
      </c>
      <c r="X236" s="293"/>
      <c r="Y236" s="293"/>
      <c r="Z236" s="318"/>
      <c r="AA236" s="293"/>
      <c r="AB236" s="293"/>
      <c r="AC236" s="298"/>
      <c r="AD236" s="298"/>
      <c r="AE236" s="512"/>
      <c r="AF236" s="513"/>
      <c r="AG236" s="514"/>
      <c r="AH236" s="514"/>
      <c r="AI236" s="514">
        <f t="shared" si="58"/>
        <v>0</v>
      </c>
      <c r="AJ236" s="514">
        <v>0</v>
      </c>
      <c r="AK236" s="514">
        <f t="shared" si="59"/>
        <v>0</v>
      </c>
      <c r="AL236" s="514"/>
      <c r="AM236" s="515"/>
      <c r="AN236" s="299"/>
      <c r="AO236" s="296">
        <f t="shared" si="66"/>
        <v>0</v>
      </c>
      <c r="AP236" s="274"/>
      <c r="AQ236" s="305"/>
      <c r="AR236" s="275">
        <f t="shared" si="67"/>
        <v>0</v>
      </c>
      <c r="AS236" s="280"/>
    </row>
    <row r="237" spans="2:45" x14ac:dyDescent="0.3">
      <c r="B237" s="287">
        <f t="shared" si="63"/>
        <v>233</v>
      </c>
      <c r="C237" s="272" t="s">
        <v>174</v>
      </c>
      <c r="D237" s="288" t="str">
        <f t="shared" si="64"/>
        <v>Sep-25</v>
      </c>
      <c r="E237" s="288" t="s">
        <v>107</v>
      </c>
      <c r="F237" s="289">
        <v>45922</v>
      </c>
      <c r="G237" s="290" t="s">
        <v>1858</v>
      </c>
      <c r="H237" s="291" t="s">
        <v>2596</v>
      </c>
      <c r="I237" s="290" t="s">
        <v>251</v>
      </c>
      <c r="J237" s="387" t="s">
        <v>1891</v>
      </c>
      <c r="K237" s="289">
        <v>45922</v>
      </c>
      <c r="L237" s="291" t="s">
        <v>1892</v>
      </c>
      <c r="M237" s="289">
        <v>45922</v>
      </c>
      <c r="N237" s="291" t="s">
        <v>255</v>
      </c>
      <c r="O237" s="296" t="s">
        <v>1640</v>
      </c>
      <c r="P237" s="291" t="s">
        <v>500</v>
      </c>
      <c r="Q237" s="291" t="s">
        <v>2607</v>
      </c>
      <c r="R237" s="458">
        <v>6590</v>
      </c>
      <c r="S237" s="404">
        <v>36</v>
      </c>
      <c r="T237" s="459">
        <f t="shared" si="56"/>
        <v>237240</v>
      </c>
      <c r="U237" s="298"/>
      <c r="V237" s="288" t="s">
        <v>3288</v>
      </c>
      <c r="W237" s="296" t="str">
        <f t="shared" si="65"/>
        <v>Jan-00</v>
      </c>
      <c r="X237" s="293"/>
      <c r="Y237" s="293"/>
      <c r="Z237" s="318"/>
      <c r="AA237" s="293"/>
      <c r="AB237" s="293"/>
      <c r="AC237" s="298"/>
      <c r="AD237" s="298"/>
      <c r="AE237" s="512"/>
      <c r="AF237" s="513"/>
      <c r="AG237" s="514"/>
      <c r="AH237" s="514"/>
      <c r="AI237" s="514">
        <f t="shared" si="58"/>
        <v>0</v>
      </c>
      <c r="AJ237" s="514">
        <v>0</v>
      </c>
      <c r="AK237" s="514">
        <f t="shared" si="59"/>
        <v>0</v>
      </c>
      <c r="AL237" s="514"/>
      <c r="AM237" s="515"/>
      <c r="AN237" s="299"/>
      <c r="AO237" s="296">
        <f t="shared" si="66"/>
        <v>0</v>
      </c>
      <c r="AP237" s="274"/>
      <c r="AQ237" s="305"/>
      <c r="AR237" s="275">
        <f t="shared" si="67"/>
        <v>0</v>
      </c>
      <c r="AS237" s="280"/>
    </row>
    <row r="238" spans="2:45" x14ac:dyDescent="0.3">
      <c r="B238" s="287">
        <f t="shared" si="63"/>
        <v>234</v>
      </c>
      <c r="C238" s="272" t="s">
        <v>174</v>
      </c>
      <c r="D238" s="288" t="str">
        <f t="shared" si="64"/>
        <v>Sep-25</v>
      </c>
      <c r="E238" s="288" t="s">
        <v>107</v>
      </c>
      <c r="F238" s="289">
        <v>45922</v>
      </c>
      <c r="G238" s="290" t="s">
        <v>1859</v>
      </c>
      <c r="H238" s="291" t="s">
        <v>2598</v>
      </c>
      <c r="I238" s="290" t="s">
        <v>401</v>
      </c>
      <c r="J238" s="387">
        <v>6252000060</v>
      </c>
      <c r="K238" s="289">
        <v>45922</v>
      </c>
      <c r="L238" s="291" t="s">
        <v>1893</v>
      </c>
      <c r="M238" s="289">
        <v>45922</v>
      </c>
      <c r="N238" s="291" t="s">
        <v>255</v>
      </c>
      <c r="O238" s="296" t="s">
        <v>1706</v>
      </c>
      <c r="P238" s="291" t="s">
        <v>501</v>
      </c>
      <c r="Q238" s="291" t="s">
        <v>2608</v>
      </c>
      <c r="R238" s="458">
        <v>23510</v>
      </c>
      <c r="S238" s="404">
        <v>32.65</v>
      </c>
      <c r="T238" s="459">
        <f t="shared" si="56"/>
        <v>767601.5</v>
      </c>
      <c r="U238" s="298"/>
      <c r="V238" s="288" t="s">
        <v>3288</v>
      </c>
      <c r="W238" s="296" t="str">
        <f t="shared" si="65"/>
        <v>Jan-00</v>
      </c>
      <c r="X238" s="293"/>
      <c r="Y238" s="293"/>
      <c r="Z238" s="318"/>
      <c r="AA238" s="293"/>
      <c r="AB238" s="293"/>
      <c r="AC238" s="298"/>
      <c r="AD238" s="298"/>
      <c r="AE238" s="512"/>
      <c r="AF238" s="513"/>
      <c r="AG238" s="514"/>
      <c r="AH238" s="514"/>
      <c r="AI238" s="514">
        <f t="shared" si="58"/>
        <v>0</v>
      </c>
      <c r="AJ238" s="514">
        <v>0</v>
      </c>
      <c r="AK238" s="514">
        <f t="shared" si="59"/>
        <v>0</v>
      </c>
      <c r="AL238" s="514"/>
      <c r="AM238" s="515"/>
      <c r="AN238" s="299"/>
      <c r="AO238" s="296">
        <f t="shared" si="66"/>
        <v>0</v>
      </c>
      <c r="AP238" s="274"/>
      <c r="AQ238" s="305"/>
      <c r="AR238" s="275">
        <f t="shared" si="67"/>
        <v>0</v>
      </c>
      <c r="AS238" s="280"/>
    </row>
    <row r="239" spans="2:45" x14ac:dyDescent="0.3">
      <c r="B239" s="287">
        <f t="shared" si="63"/>
        <v>235</v>
      </c>
      <c r="C239" s="272" t="s">
        <v>174</v>
      </c>
      <c r="D239" s="288" t="str">
        <f t="shared" si="64"/>
        <v>Sep-25</v>
      </c>
      <c r="E239" s="288" t="s">
        <v>107</v>
      </c>
      <c r="F239" s="289">
        <v>45923</v>
      </c>
      <c r="G239" s="290" t="s">
        <v>1860</v>
      </c>
      <c r="H239" s="291" t="s">
        <v>2596</v>
      </c>
      <c r="I239" s="290" t="s">
        <v>251</v>
      </c>
      <c r="J239" s="387" t="s">
        <v>1894</v>
      </c>
      <c r="K239" s="289">
        <v>45923</v>
      </c>
      <c r="L239" s="291" t="s">
        <v>1895</v>
      </c>
      <c r="M239" s="289">
        <v>45923</v>
      </c>
      <c r="N239" s="291" t="s">
        <v>255</v>
      </c>
      <c r="O239" s="296" t="s">
        <v>1621</v>
      </c>
      <c r="P239" s="291" t="s">
        <v>500</v>
      </c>
      <c r="Q239" s="291" t="s">
        <v>2607</v>
      </c>
      <c r="R239" s="458">
        <v>9750</v>
      </c>
      <c r="S239" s="404">
        <v>36</v>
      </c>
      <c r="T239" s="459">
        <f t="shared" si="56"/>
        <v>351000</v>
      </c>
      <c r="U239" s="298"/>
      <c r="V239" s="288" t="s">
        <v>3288</v>
      </c>
      <c r="W239" s="296" t="str">
        <f t="shared" si="65"/>
        <v>Jan-00</v>
      </c>
      <c r="X239" s="293"/>
      <c r="Y239" s="293"/>
      <c r="Z239" s="318"/>
      <c r="AA239" s="293"/>
      <c r="AB239" s="293"/>
      <c r="AC239" s="298"/>
      <c r="AD239" s="298"/>
      <c r="AE239" s="512"/>
      <c r="AF239" s="513"/>
      <c r="AG239" s="514"/>
      <c r="AH239" s="514"/>
      <c r="AI239" s="514">
        <f t="shared" si="58"/>
        <v>0</v>
      </c>
      <c r="AJ239" s="514">
        <v>0</v>
      </c>
      <c r="AK239" s="514">
        <f t="shared" si="59"/>
        <v>0</v>
      </c>
      <c r="AL239" s="514"/>
      <c r="AM239" s="515"/>
      <c r="AN239" s="299"/>
      <c r="AO239" s="296">
        <f t="shared" si="66"/>
        <v>0</v>
      </c>
      <c r="AP239" s="274"/>
      <c r="AQ239" s="305"/>
      <c r="AR239" s="275">
        <f t="shared" si="67"/>
        <v>0</v>
      </c>
      <c r="AS239" s="280"/>
    </row>
    <row r="240" spans="2:45" x14ac:dyDescent="0.3">
      <c r="B240" s="287">
        <f t="shared" si="63"/>
        <v>236</v>
      </c>
      <c r="C240" s="272" t="s">
        <v>174</v>
      </c>
      <c r="D240" s="288" t="str">
        <f t="shared" si="64"/>
        <v>Sep-25</v>
      </c>
      <c r="E240" s="288" t="s">
        <v>107</v>
      </c>
      <c r="F240" s="289">
        <v>45923</v>
      </c>
      <c r="G240" s="290" t="s">
        <v>1861</v>
      </c>
      <c r="H240" s="291" t="s">
        <v>2596</v>
      </c>
      <c r="I240" s="290" t="s">
        <v>251</v>
      </c>
      <c r="J240" s="387" t="s">
        <v>1896</v>
      </c>
      <c r="K240" s="289">
        <v>45923</v>
      </c>
      <c r="L240" s="291" t="s">
        <v>1897</v>
      </c>
      <c r="M240" s="289">
        <v>45923</v>
      </c>
      <c r="N240" s="291" t="s">
        <v>255</v>
      </c>
      <c r="O240" s="296" t="s">
        <v>1898</v>
      </c>
      <c r="P240" s="291" t="s">
        <v>501</v>
      </c>
      <c r="Q240" s="291" t="s">
        <v>2608</v>
      </c>
      <c r="R240" s="458">
        <v>5090</v>
      </c>
      <c r="S240" s="404">
        <v>32.5</v>
      </c>
      <c r="T240" s="459">
        <f t="shared" si="56"/>
        <v>165425</v>
      </c>
      <c r="U240" s="298"/>
      <c r="V240" s="288" t="s">
        <v>3288</v>
      </c>
      <c r="W240" s="296" t="str">
        <f t="shared" si="65"/>
        <v>Jan-00</v>
      </c>
      <c r="X240" s="293"/>
      <c r="Y240" s="293"/>
      <c r="Z240" s="318"/>
      <c r="AA240" s="293"/>
      <c r="AB240" s="293"/>
      <c r="AC240" s="298"/>
      <c r="AD240" s="298"/>
      <c r="AE240" s="512"/>
      <c r="AF240" s="513"/>
      <c r="AG240" s="514"/>
      <c r="AH240" s="514"/>
      <c r="AI240" s="514">
        <f t="shared" si="58"/>
        <v>0</v>
      </c>
      <c r="AJ240" s="514">
        <v>0</v>
      </c>
      <c r="AK240" s="514">
        <f t="shared" si="59"/>
        <v>0</v>
      </c>
      <c r="AL240" s="514"/>
      <c r="AM240" s="515"/>
      <c r="AN240" s="299"/>
      <c r="AO240" s="296">
        <f t="shared" si="66"/>
        <v>0</v>
      </c>
      <c r="AP240" s="274"/>
      <c r="AQ240" s="305"/>
      <c r="AR240" s="275">
        <f t="shared" si="67"/>
        <v>0</v>
      </c>
      <c r="AS240" s="280"/>
    </row>
    <row r="241" spans="2:45" x14ac:dyDescent="0.3">
      <c r="B241" s="287">
        <f t="shared" si="63"/>
        <v>237</v>
      </c>
      <c r="C241" s="272" t="s">
        <v>174</v>
      </c>
      <c r="D241" s="288" t="str">
        <f t="shared" si="64"/>
        <v>Sep-25</v>
      </c>
      <c r="E241" s="288" t="s">
        <v>107</v>
      </c>
      <c r="F241" s="289">
        <v>45924</v>
      </c>
      <c r="G241" s="290" t="s">
        <v>1862</v>
      </c>
      <c r="H241" s="291" t="s">
        <v>2598</v>
      </c>
      <c r="I241" s="290" t="s">
        <v>401</v>
      </c>
      <c r="J241" s="387">
        <v>8252001725</v>
      </c>
      <c r="K241" s="289">
        <v>45924</v>
      </c>
      <c r="L241" s="291" t="s">
        <v>1899</v>
      </c>
      <c r="M241" s="289">
        <v>45924</v>
      </c>
      <c r="N241" s="291" t="s">
        <v>255</v>
      </c>
      <c r="O241" s="296" t="s">
        <v>314</v>
      </c>
      <c r="P241" s="291" t="s">
        <v>501</v>
      </c>
      <c r="Q241" s="291" t="s">
        <v>2608</v>
      </c>
      <c r="R241" s="458">
        <v>15170</v>
      </c>
      <c r="S241" s="404">
        <v>32.65</v>
      </c>
      <c r="T241" s="459">
        <f t="shared" si="56"/>
        <v>495300.5</v>
      </c>
      <c r="U241" s="298"/>
      <c r="V241" s="288" t="s">
        <v>3288</v>
      </c>
      <c r="W241" s="296" t="str">
        <f t="shared" si="65"/>
        <v>Jan-00</v>
      </c>
      <c r="X241" s="293"/>
      <c r="Y241" s="293"/>
      <c r="Z241" s="318"/>
      <c r="AA241" s="293"/>
      <c r="AB241" s="293"/>
      <c r="AC241" s="298"/>
      <c r="AD241" s="298"/>
      <c r="AE241" s="512"/>
      <c r="AF241" s="513"/>
      <c r="AG241" s="514"/>
      <c r="AH241" s="514"/>
      <c r="AI241" s="514">
        <f t="shared" si="58"/>
        <v>0</v>
      </c>
      <c r="AJ241" s="514">
        <v>0</v>
      </c>
      <c r="AK241" s="514">
        <f t="shared" si="59"/>
        <v>0</v>
      </c>
      <c r="AL241" s="514"/>
      <c r="AM241" s="515"/>
      <c r="AN241" s="299"/>
      <c r="AO241" s="296">
        <f t="shared" si="66"/>
        <v>0</v>
      </c>
      <c r="AP241" s="274"/>
      <c r="AQ241" s="305"/>
      <c r="AR241" s="275">
        <f t="shared" si="67"/>
        <v>0</v>
      </c>
      <c r="AS241" s="280"/>
    </row>
    <row r="242" spans="2:45" x14ac:dyDescent="0.3">
      <c r="B242" s="287">
        <f t="shared" si="63"/>
        <v>238</v>
      </c>
      <c r="C242" s="272" t="s">
        <v>174</v>
      </c>
      <c r="D242" s="288" t="str">
        <f t="shared" si="64"/>
        <v>Sep-25</v>
      </c>
      <c r="E242" s="288" t="s">
        <v>107</v>
      </c>
      <c r="F242" s="289">
        <v>45924</v>
      </c>
      <c r="G242" s="290" t="s">
        <v>1864</v>
      </c>
      <c r="H242" s="291" t="s">
        <v>2598</v>
      </c>
      <c r="I242" s="290" t="s">
        <v>401</v>
      </c>
      <c r="J242" s="387">
        <v>5252000909</v>
      </c>
      <c r="K242" s="289">
        <v>45924</v>
      </c>
      <c r="L242" s="291" t="s">
        <v>1901</v>
      </c>
      <c r="M242" s="289">
        <v>45924</v>
      </c>
      <c r="N242" s="291" t="s">
        <v>255</v>
      </c>
      <c r="O242" s="296" t="s">
        <v>697</v>
      </c>
      <c r="P242" s="291" t="s">
        <v>501</v>
      </c>
      <c r="Q242" s="291" t="s">
        <v>2608</v>
      </c>
      <c r="R242" s="458">
        <v>6330</v>
      </c>
      <c r="S242" s="404">
        <v>32.65</v>
      </c>
      <c r="T242" s="459">
        <f t="shared" si="56"/>
        <v>206674.5</v>
      </c>
      <c r="U242" s="298"/>
      <c r="V242" s="288" t="s">
        <v>3288</v>
      </c>
      <c r="W242" s="296" t="str">
        <f t="shared" si="65"/>
        <v>Jan-00</v>
      </c>
      <c r="X242" s="293"/>
      <c r="Y242" s="293"/>
      <c r="Z242" s="318"/>
      <c r="AA242" s="293"/>
      <c r="AB242" s="293"/>
      <c r="AC242" s="298"/>
      <c r="AD242" s="298"/>
      <c r="AE242" s="512"/>
      <c r="AF242" s="513"/>
      <c r="AG242" s="514"/>
      <c r="AH242" s="514"/>
      <c r="AI242" s="514">
        <f t="shared" si="58"/>
        <v>0</v>
      </c>
      <c r="AJ242" s="514">
        <v>0</v>
      </c>
      <c r="AK242" s="514">
        <f t="shared" si="59"/>
        <v>0</v>
      </c>
      <c r="AL242" s="514"/>
      <c r="AM242" s="515"/>
      <c r="AN242" s="299"/>
      <c r="AO242" s="296">
        <f t="shared" si="66"/>
        <v>0</v>
      </c>
      <c r="AP242" s="274"/>
      <c r="AQ242" s="305"/>
      <c r="AR242" s="275">
        <f t="shared" si="67"/>
        <v>0</v>
      </c>
      <c r="AS242" s="280"/>
    </row>
    <row r="243" spans="2:45" x14ac:dyDescent="0.3">
      <c r="B243" s="287">
        <f t="shared" si="63"/>
        <v>239</v>
      </c>
      <c r="C243" s="272" t="s">
        <v>174</v>
      </c>
      <c r="D243" s="288" t="str">
        <f t="shared" si="64"/>
        <v>Sep-25</v>
      </c>
      <c r="E243" s="288" t="s">
        <v>107</v>
      </c>
      <c r="F243" s="289">
        <v>45924</v>
      </c>
      <c r="G243" s="290" t="s">
        <v>1863</v>
      </c>
      <c r="H243" s="291" t="s">
        <v>2598</v>
      </c>
      <c r="I243" s="290" t="s">
        <v>401</v>
      </c>
      <c r="J243" s="387">
        <v>5252000911</v>
      </c>
      <c r="K243" s="289">
        <v>45924</v>
      </c>
      <c r="L243" s="291" t="s">
        <v>1900</v>
      </c>
      <c r="M243" s="289">
        <v>45924</v>
      </c>
      <c r="N243" s="291" t="s">
        <v>255</v>
      </c>
      <c r="O243" s="296" t="s">
        <v>697</v>
      </c>
      <c r="P243" s="291" t="s">
        <v>501</v>
      </c>
      <c r="Q243" s="291" t="s">
        <v>2608</v>
      </c>
      <c r="R243" s="458">
        <v>7940</v>
      </c>
      <c r="S243" s="404">
        <v>32.65</v>
      </c>
      <c r="T243" s="459">
        <f t="shared" si="56"/>
        <v>259241</v>
      </c>
      <c r="U243" s="298"/>
      <c r="V243" s="288" t="s">
        <v>3288</v>
      </c>
      <c r="W243" s="296" t="str">
        <f t="shared" si="65"/>
        <v>Jan-00</v>
      </c>
      <c r="X243" s="293"/>
      <c r="Y243" s="293"/>
      <c r="Z243" s="318"/>
      <c r="AA243" s="293"/>
      <c r="AB243" s="293"/>
      <c r="AC243" s="298"/>
      <c r="AD243" s="298"/>
      <c r="AE243" s="512"/>
      <c r="AF243" s="513"/>
      <c r="AG243" s="514"/>
      <c r="AH243" s="514"/>
      <c r="AI243" s="514">
        <f t="shared" si="58"/>
        <v>0</v>
      </c>
      <c r="AJ243" s="514">
        <v>0</v>
      </c>
      <c r="AK243" s="514">
        <f t="shared" si="59"/>
        <v>0</v>
      </c>
      <c r="AL243" s="514"/>
      <c r="AM243" s="515"/>
      <c r="AN243" s="299"/>
      <c r="AO243" s="296">
        <f t="shared" si="66"/>
        <v>0</v>
      </c>
      <c r="AP243" s="274"/>
      <c r="AQ243" s="305"/>
      <c r="AR243" s="275">
        <f t="shared" si="67"/>
        <v>0</v>
      </c>
      <c r="AS243" s="280"/>
    </row>
    <row r="244" spans="2:45" x14ac:dyDescent="0.3">
      <c r="B244" s="287">
        <f t="shared" si="63"/>
        <v>240</v>
      </c>
      <c r="C244" s="272" t="s">
        <v>174</v>
      </c>
      <c r="D244" s="288" t="str">
        <f t="shared" si="64"/>
        <v>Sep-25</v>
      </c>
      <c r="E244" s="288" t="s">
        <v>107</v>
      </c>
      <c r="F244" s="289">
        <v>45925</v>
      </c>
      <c r="G244" s="290" t="s">
        <v>1865</v>
      </c>
      <c r="H244" s="291" t="s">
        <v>2599</v>
      </c>
      <c r="I244" s="290" t="s">
        <v>1672</v>
      </c>
      <c r="J244" s="387">
        <v>2526030169</v>
      </c>
      <c r="K244" s="289">
        <v>45925</v>
      </c>
      <c r="L244" s="291" t="s">
        <v>1902</v>
      </c>
      <c r="M244" s="289">
        <v>45925</v>
      </c>
      <c r="N244" s="291" t="s">
        <v>255</v>
      </c>
      <c r="O244" s="296" t="s">
        <v>314</v>
      </c>
      <c r="P244" s="291" t="s">
        <v>500</v>
      </c>
      <c r="Q244" s="291" t="s">
        <v>2607</v>
      </c>
      <c r="R244" s="458">
        <v>6050</v>
      </c>
      <c r="S244" s="404">
        <v>32.299999999999997</v>
      </c>
      <c r="T244" s="459">
        <f t="shared" si="56"/>
        <v>195414.99999999997</v>
      </c>
      <c r="U244" s="298"/>
      <c r="V244" s="288" t="s">
        <v>3288</v>
      </c>
      <c r="W244" s="296" t="str">
        <f t="shared" si="65"/>
        <v>Jan-00</v>
      </c>
      <c r="X244" s="293"/>
      <c r="Y244" s="293"/>
      <c r="Z244" s="318"/>
      <c r="AA244" s="293"/>
      <c r="AB244" s="293"/>
      <c r="AC244" s="298"/>
      <c r="AD244" s="298"/>
      <c r="AE244" s="512"/>
      <c r="AF244" s="513"/>
      <c r="AG244" s="514"/>
      <c r="AH244" s="514"/>
      <c r="AI244" s="514">
        <f t="shared" si="58"/>
        <v>0</v>
      </c>
      <c r="AJ244" s="514">
        <v>0</v>
      </c>
      <c r="AK244" s="514">
        <f t="shared" si="59"/>
        <v>0</v>
      </c>
      <c r="AL244" s="514"/>
      <c r="AM244" s="515"/>
      <c r="AN244" s="299"/>
      <c r="AO244" s="296">
        <f t="shared" si="66"/>
        <v>0</v>
      </c>
      <c r="AP244" s="274"/>
      <c r="AQ244" s="305"/>
      <c r="AR244" s="275">
        <f t="shared" si="67"/>
        <v>0</v>
      </c>
      <c r="AS244" s="280"/>
    </row>
    <row r="245" spans="2:45" x14ac:dyDescent="0.3">
      <c r="B245" s="287">
        <f t="shared" si="63"/>
        <v>241</v>
      </c>
      <c r="C245" s="272" t="s">
        <v>174</v>
      </c>
      <c r="D245" s="288" t="str">
        <f t="shared" si="64"/>
        <v>Sep-25</v>
      </c>
      <c r="E245" s="288" t="s">
        <v>107</v>
      </c>
      <c r="F245" s="289">
        <v>45926</v>
      </c>
      <c r="G245" s="290" t="s">
        <v>1867</v>
      </c>
      <c r="H245" s="291" t="s">
        <v>2596</v>
      </c>
      <c r="I245" s="290" t="s">
        <v>251</v>
      </c>
      <c r="J245" s="387" t="s">
        <v>1904</v>
      </c>
      <c r="K245" s="289">
        <v>45926</v>
      </c>
      <c r="L245" s="291" t="s">
        <v>1905</v>
      </c>
      <c r="M245" s="289">
        <v>45927</v>
      </c>
      <c r="N245" s="291" t="s">
        <v>255</v>
      </c>
      <c r="O245" s="296" t="s">
        <v>1906</v>
      </c>
      <c r="P245" s="291" t="s">
        <v>501</v>
      </c>
      <c r="Q245" s="291" t="s">
        <v>2608</v>
      </c>
      <c r="R245" s="458">
        <v>12680</v>
      </c>
      <c r="S245" s="404">
        <v>34.25</v>
      </c>
      <c r="T245" s="459">
        <f t="shared" si="56"/>
        <v>434290</v>
      </c>
      <c r="U245" s="298"/>
      <c r="V245" s="288" t="s">
        <v>3288</v>
      </c>
      <c r="W245" s="296" t="str">
        <f t="shared" si="65"/>
        <v>Jan-00</v>
      </c>
      <c r="X245" s="293"/>
      <c r="Y245" s="293"/>
      <c r="Z245" s="318"/>
      <c r="AA245" s="293"/>
      <c r="AB245" s="293"/>
      <c r="AC245" s="298"/>
      <c r="AD245" s="298"/>
      <c r="AE245" s="512"/>
      <c r="AF245" s="513"/>
      <c r="AG245" s="514"/>
      <c r="AH245" s="514"/>
      <c r="AI245" s="514">
        <f t="shared" si="58"/>
        <v>0</v>
      </c>
      <c r="AJ245" s="514">
        <v>0</v>
      </c>
      <c r="AK245" s="514">
        <f t="shared" si="59"/>
        <v>0</v>
      </c>
      <c r="AL245" s="514"/>
      <c r="AM245" s="515"/>
      <c r="AN245" s="299"/>
      <c r="AO245" s="296">
        <f t="shared" si="66"/>
        <v>0</v>
      </c>
      <c r="AP245" s="274"/>
      <c r="AQ245" s="305"/>
      <c r="AR245" s="275">
        <f t="shared" si="67"/>
        <v>0</v>
      </c>
      <c r="AS245" s="280"/>
    </row>
    <row r="246" spans="2:45" x14ac:dyDescent="0.3">
      <c r="B246" s="287">
        <f t="shared" si="63"/>
        <v>242</v>
      </c>
      <c r="C246" s="272" t="s">
        <v>174</v>
      </c>
      <c r="D246" s="288" t="str">
        <f t="shared" si="64"/>
        <v>Sep-25</v>
      </c>
      <c r="E246" s="288" t="s">
        <v>107</v>
      </c>
      <c r="F246" s="289">
        <v>45926</v>
      </c>
      <c r="G246" s="290" t="s">
        <v>1866</v>
      </c>
      <c r="H246" s="291" t="s">
        <v>2598</v>
      </c>
      <c r="I246" s="290" t="s">
        <v>401</v>
      </c>
      <c r="J246" s="387">
        <v>6252000066</v>
      </c>
      <c r="K246" s="289">
        <v>45926</v>
      </c>
      <c r="L246" s="291" t="s">
        <v>1903</v>
      </c>
      <c r="M246" s="289">
        <v>45926</v>
      </c>
      <c r="N246" s="291" t="s">
        <v>255</v>
      </c>
      <c r="O246" s="296" t="s">
        <v>1676</v>
      </c>
      <c r="P246" s="291" t="s">
        <v>501</v>
      </c>
      <c r="Q246" s="291" t="s">
        <v>2608</v>
      </c>
      <c r="R246" s="458">
        <v>25980</v>
      </c>
      <c r="S246" s="404">
        <v>32.65</v>
      </c>
      <c r="T246" s="459">
        <f t="shared" si="56"/>
        <v>848247</v>
      </c>
      <c r="U246" s="298"/>
      <c r="V246" s="288" t="s">
        <v>3288</v>
      </c>
      <c r="W246" s="296" t="str">
        <f t="shared" si="65"/>
        <v>Jan-00</v>
      </c>
      <c r="X246" s="293"/>
      <c r="Y246" s="293"/>
      <c r="Z246" s="318"/>
      <c r="AA246" s="293"/>
      <c r="AB246" s="293"/>
      <c r="AC246" s="298"/>
      <c r="AD246" s="298"/>
      <c r="AE246" s="512"/>
      <c r="AF246" s="513"/>
      <c r="AG246" s="514"/>
      <c r="AH246" s="514"/>
      <c r="AI246" s="514">
        <f t="shared" si="58"/>
        <v>0</v>
      </c>
      <c r="AJ246" s="514">
        <v>0</v>
      </c>
      <c r="AK246" s="514">
        <f t="shared" si="59"/>
        <v>0</v>
      </c>
      <c r="AL246" s="514"/>
      <c r="AM246" s="515"/>
      <c r="AN246" s="299"/>
      <c r="AO246" s="296">
        <f t="shared" si="66"/>
        <v>0</v>
      </c>
      <c r="AP246" s="274"/>
      <c r="AQ246" s="305"/>
      <c r="AR246" s="275">
        <f t="shared" si="67"/>
        <v>0</v>
      </c>
      <c r="AS246" s="280"/>
    </row>
    <row r="247" spans="2:45" x14ac:dyDescent="0.3">
      <c r="B247" s="287">
        <f t="shared" si="63"/>
        <v>243</v>
      </c>
      <c r="C247" s="272" t="s">
        <v>174</v>
      </c>
      <c r="D247" s="288" t="str">
        <f t="shared" si="64"/>
        <v>Sep-25</v>
      </c>
      <c r="E247" s="288" t="s">
        <v>107</v>
      </c>
      <c r="F247" s="289">
        <v>45927</v>
      </c>
      <c r="G247" s="290" t="s">
        <v>1868</v>
      </c>
      <c r="H247" s="291" t="s">
        <v>2596</v>
      </c>
      <c r="I247" s="290" t="s">
        <v>2616</v>
      </c>
      <c r="J247" s="387" t="s">
        <v>1907</v>
      </c>
      <c r="K247" s="289">
        <v>45927</v>
      </c>
      <c r="L247" s="291" t="s">
        <v>1908</v>
      </c>
      <c r="M247" s="289">
        <v>45927</v>
      </c>
      <c r="N247" s="291" t="s">
        <v>255</v>
      </c>
      <c r="O247" s="296" t="s">
        <v>1640</v>
      </c>
      <c r="P247" s="291" t="s">
        <v>500</v>
      </c>
      <c r="Q247" s="291" t="s">
        <v>2607</v>
      </c>
      <c r="R247" s="458">
        <v>5900</v>
      </c>
      <c r="S247" s="404">
        <v>36</v>
      </c>
      <c r="T247" s="459">
        <f t="shared" si="56"/>
        <v>212400</v>
      </c>
      <c r="U247" s="298"/>
      <c r="V247" s="288" t="s">
        <v>3288</v>
      </c>
      <c r="W247" s="296" t="str">
        <f t="shared" si="65"/>
        <v>Jan-00</v>
      </c>
      <c r="X247" s="293"/>
      <c r="Y247" s="293"/>
      <c r="Z247" s="318"/>
      <c r="AA247" s="293"/>
      <c r="AB247" s="293"/>
      <c r="AC247" s="298"/>
      <c r="AD247" s="298"/>
      <c r="AE247" s="512"/>
      <c r="AF247" s="513"/>
      <c r="AG247" s="514"/>
      <c r="AH247" s="514"/>
      <c r="AI247" s="514">
        <f t="shared" si="58"/>
        <v>0</v>
      </c>
      <c r="AJ247" s="514">
        <v>0</v>
      </c>
      <c r="AK247" s="514">
        <f t="shared" si="59"/>
        <v>0</v>
      </c>
      <c r="AL247" s="514"/>
      <c r="AM247" s="515"/>
      <c r="AN247" s="299"/>
      <c r="AO247" s="296">
        <f t="shared" si="66"/>
        <v>0</v>
      </c>
      <c r="AP247" s="274"/>
      <c r="AQ247" s="305"/>
      <c r="AR247" s="275">
        <f t="shared" si="67"/>
        <v>0</v>
      </c>
      <c r="AS247" s="280"/>
    </row>
    <row r="248" spans="2:45" x14ac:dyDescent="0.3">
      <c r="B248" s="287">
        <f t="shared" si="63"/>
        <v>244</v>
      </c>
      <c r="C248" s="272" t="s">
        <v>174</v>
      </c>
      <c r="D248" s="288" t="str">
        <f t="shared" si="64"/>
        <v>Sep-25</v>
      </c>
      <c r="E248" s="288" t="s">
        <v>107</v>
      </c>
      <c r="F248" s="289">
        <v>45927</v>
      </c>
      <c r="G248" s="290" t="s">
        <v>1870</v>
      </c>
      <c r="H248" s="291" t="s">
        <v>2599</v>
      </c>
      <c r="I248" s="290" t="s">
        <v>1672</v>
      </c>
      <c r="J248" s="387">
        <v>2526030517</v>
      </c>
      <c r="K248" s="289">
        <v>45927</v>
      </c>
      <c r="L248" s="291" t="s">
        <v>1910</v>
      </c>
      <c r="M248" s="289">
        <v>45927</v>
      </c>
      <c r="N248" s="291" t="s">
        <v>255</v>
      </c>
      <c r="O248" s="296" t="s">
        <v>1857</v>
      </c>
      <c r="P248" s="291" t="s">
        <v>500</v>
      </c>
      <c r="Q248" s="291" t="s">
        <v>2607</v>
      </c>
      <c r="R248" s="458">
        <v>6290</v>
      </c>
      <c r="S248" s="404">
        <v>32.299999999999997</v>
      </c>
      <c r="T248" s="459">
        <f t="shared" si="56"/>
        <v>203166.99999999997</v>
      </c>
      <c r="U248" s="298"/>
      <c r="V248" s="288" t="s">
        <v>3288</v>
      </c>
      <c r="W248" s="296" t="str">
        <f t="shared" si="65"/>
        <v>Jan-00</v>
      </c>
      <c r="X248" s="293"/>
      <c r="Y248" s="293"/>
      <c r="Z248" s="318"/>
      <c r="AA248" s="293"/>
      <c r="AB248" s="293"/>
      <c r="AC248" s="298"/>
      <c r="AD248" s="298"/>
      <c r="AE248" s="512"/>
      <c r="AF248" s="513"/>
      <c r="AG248" s="514"/>
      <c r="AH248" s="514"/>
      <c r="AI248" s="514">
        <f t="shared" si="58"/>
        <v>0</v>
      </c>
      <c r="AJ248" s="514">
        <v>0</v>
      </c>
      <c r="AK248" s="514">
        <f t="shared" si="59"/>
        <v>0</v>
      </c>
      <c r="AL248" s="514"/>
      <c r="AM248" s="515"/>
      <c r="AN248" s="299"/>
      <c r="AO248" s="296">
        <f t="shared" si="66"/>
        <v>0</v>
      </c>
      <c r="AP248" s="274"/>
      <c r="AQ248" s="305"/>
      <c r="AR248" s="275">
        <f t="shared" si="67"/>
        <v>0</v>
      </c>
      <c r="AS248" s="280"/>
    </row>
    <row r="249" spans="2:45" x14ac:dyDescent="0.3">
      <c r="B249" s="287">
        <f t="shared" si="63"/>
        <v>245</v>
      </c>
      <c r="C249" s="272" t="s">
        <v>174</v>
      </c>
      <c r="D249" s="288" t="str">
        <f t="shared" si="64"/>
        <v>Sep-25</v>
      </c>
      <c r="E249" s="288" t="s">
        <v>107</v>
      </c>
      <c r="F249" s="289">
        <v>45927</v>
      </c>
      <c r="G249" s="290" t="s">
        <v>1869</v>
      </c>
      <c r="H249" s="291" t="s">
        <v>2598</v>
      </c>
      <c r="I249" s="290" t="s">
        <v>401</v>
      </c>
      <c r="J249" s="387">
        <v>5252000932</v>
      </c>
      <c r="K249" s="289">
        <v>45927</v>
      </c>
      <c r="L249" s="291" t="s">
        <v>1909</v>
      </c>
      <c r="M249" s="289">
        <v>45927</v>
      </c>
      <c r="N249" s="291" t="s">
        <v>255</v>
      </c>
      <c r="O249" s="296" t="s">
        <v>697</v>
      </c>
      <c r="P249" s="291" t="s">
        <v>501</v>
      </c>
      <c r="Q249" s="291" t="s">
        <v>2608</v>
      </c>
      <c r="R249" s="458">
        <v>11720</v>
      </c>
      <c r="S249" s="404">
        <v>32.65</v>
      </c>
      <c r="T249" s="459">
        <f t="shared" si="56"/>
        <v>382658</v>
      </c>
      <c r="U249" s="298"/>
      <c r="V249" s="288" t="s">
        <v>3288</v>
      </c>
      <c r="W249" s="296" t="str">
        <f t="shared" si="65"/>
        <v>Jan-00</v>
      </c>
      <c r="X249" s="293"/>
      <c r="Y249" s="293"/>
      <c r="Z249" s="318"/>
      <c r="AA249" s="293"/>
      <c r="AB249" s="293"/>
      <c r="AC249" s="298"/>
      <c r="AD249" s="298"/>
      <c r="AE249" s="512"/>
      <c r="AF249" s="513"/>
      <c r="AG249" s="514"/>
      <c r="AH249" s="514"/>
      <c r="AI249" s="514">
        <f t="shared" si="58"/>
        <v>0</v>
      </c>
      <c r="AJ249" s="514">
        <v>0</v>
      </c>
      <c r="AK249" s="514">
        <f t="shared" si="59"/>
        <v>0</v>
      </c>
      <c r="AL249" s="514"/>
      <c r="AM249" s="515"/>
      <c r="AN249" s="299"/>
      <c r="AO249" s="296">
        <f t="shared" si="66"/>
        <v>0</v>
      </c>
      <c r="AP249" s="274"/>
      <c r="AQ249" s="305"/>
      <c r="AR249" s="275">
        <f t="shared" si="67"/>
        <v>0</v>
      </c>
      <c r="AS249" s="280"/>
    </row>
    <row r="250" spans="2:45" x14ac:dyDescent="0.3">
      <c r="B250" s="287">
        <f t="shared" si="63"/>
        <v>246</v>
      </c>
      <c r="C250" s="272" t="s">
        <v>174</v>
      </c>
      <c r="D250" s="288" t="str">
        <f t="shared" si="64"/>
        <v>Sep-25</v>
      </c>
      <c r="E250" s="288" t="s">
        <v>107</v>
      </c>
      <c r="F250" s="289">
        <v>45927</v>
      </c>
      <c r="G250" s="290" t="s">
        <v>1871</v>
      </c>
      <c r="H250" s="291" t="s">
        <v>2598</v>
      </c>
      <c r="I250" s="290" t="s">
        <v>401</v>
      </c>
      <c r="J250" s="387">
        <v>4252002533</v>
      </c>
      <c r="K250" s="289">
        <v>45927</v>
      </c>
      <c r="L250" s="291" t="s">
        <v>1911</v>
      </c>
      <c r="M250" s="289">
        <v>45927</v>
      </c>
      <c r="N250" s="291" t="s">
        <v>255</v>
      </c>
      <c r="O250" s="296" t="s">
        <v>1912</v>
      </c>
      <c r="P250" s="291" t="s">
        <v>501</v>
      </c>
      <c r="Q250" s="291" t="s">
        <v>2608</v>
      </c>
      <c r="R250" s="458">
        <v>10530</v>
      </c>
      <c r="S250" s="404">
        <v>32.65</v>
      </c>
      <c r="T250" s="459">
        <f t="shared" si="56"/>
        <v>343804.5</v>
      </c>
      <c r="U250" s="298"/>
      <c r="V250" s="288" t="s">
        <v>3288</v>
      </c>
      <c r="W250" s="296" t="str">
        <f t="shared" si="65"/>
        <v>Jan-00</v>
      </c>
      <c r="X250" s="293"/>
      <c r="Y250" s="293"/>
      <c r="Z250" s="318"/>
      <c r="AA250" s="293"/>
      <c r="AB250" s="293"/>
      <c r="AC250" s="298"/>
      <c r="AD250" s="298"/>
      <c r="AE250" s="512"/>
      <c r="AF250" s="513"/>
      <c r="AG250" s="514"/>
      <c r="AH250" s="514"/>
      <c r="AI250" s="514">
        <f t="shared" si="58"/>
        <v>0</v>
      </c>
      <c r="AJ250" s="514">
        <v>0</v>
      </c>
      <c r="AK250" s="514">
        <f t="shared" si="59"/>
        <v>0</v>
      </c>
      <c r="AL250" s="514"/>
      <c r="AM250" s="515"/>
      <c r="AN250" s="299"/>
      <c r="AO250" s="296">
        <f t="shared" si="66"/>
        <v>0</v>
      </c>
      <c r="AP250" s="274"/>
      <c r="AQ250" s="305"/>
      <c r="AR250" s="275">
        <f t="shared" si="67"/>
        <v>0</v>
      </c>
      <c r="AS250" s="280"/>
    </row>
    <row r="251" spans="2:45" x14ac:dyDescent="0.3">
      <c r="B251" s="287">
        <f t="shared" si="63"/>
        <v>247</v>
      </c>
      <c r="C251" s="272" t="s">
        <v>174</v>
      </c>
      <c r="D251" s="288" t="str">
        <f t="shared" si="64"/>
        <v>Sep-25</v>
      </c>
      <c r="E251" s="288" t="s">
        <v>107</v>
      </c>
      <c r="F251" s="289">
        <v>45928</v>
      </c>
      <c r="G251" s="290" t="s">
        <v>1872</v>
      </c>
      <c r="H251" s="291" t="s">
        <v>2596</v>
      </c>
      <c r="I251" s="290" t="s">
        <v>2616</v>
      </c>
      <c r="J251" s="387" t="s">
        <v>1913</v>
      </c>
      <c r="K251" s="289">
        <v>45928</v>
      </c>
      <c r="L251" s="291" t="s">
        <v>1914</v>
      </c>
      <c r="M251" s="289">
        <v>45928</v>
      </c>
      <c r="N251" s="291" t="s">
        <v>255</v>
      </c>
      <c r="O251" s="296" t="s">
        <v>1915</v>
      </c>
      <c r="P251" s="291" t="s">
        <v>500</v>
      </c>
      <c r="Q251" s="291" t="s">
        <v>2607</v>
      </c>
      <c r="R251" s="458">
        <v>6370</v>
      </c>
      <c r="S251" s="404">
        <v>36</v>
      </c>
      <c r="T251" s="459">
        <f t="shared" si="56"/>
        <v>229320</v>
      </c>
      <c r="U251" s="298"/>
      <c r="V251" s="288" t="s">
        <v>3288</v>
      </c>
      <c r="W251" s="296" t="str">
        <f t="shared" si="65"/>
        <v>Jan-00</v>
      </c>
      <c r="X251" s="293"/>
      <c r="Y251" s="293"/>
      <c r="Z251" s="318"/>
      <c r="AA251" s="293"/>
      <c r="AB251" s="293"/>
      <c r="AC251" s="298"/>
      <c r="AD251" s="298"/>
      <c r="AE251" s="512"/>
      <c r="AF251" s="513"/>
      <c r="AG251" s="514"/>
      <c r="AH251" s="514"/>
      <c r="AI251" s="514">
        <f t="shared" si="58"/>
        <v>0</v>
      </c>
      <c r="AJ251" s="514">
        <v>0</v>
      </c>
      <c r="AK251" s="514">
        <f t="shared" si="59"/>
        <v>0</v>
      </c>
      <c r="AL251" s="514"/>
      <c r="AM251" s="515"/>
      <c r="AN251" s="299"/>
      <c r="AO251" s="296">
        <f t="shared" si="66"/>
        <v>0</v>
      </c>
      <c r="AP251" s="274"/>
      <c r="AQ251" s="305"/>
      <c r="AR251" s="275">
        <f t="shared" si="67"/>
        <v>0</v>
      </c>
      <c r="AS251" s="280"/>
    </row>
    <row r="252" spans="2:45" x14ac:dyDescent="0.3">
      <c r="B252" s="287">
        <f t="shared" si="63"/>
        <v>248</v>
      </c>
      <c r="C252" s="272" t="s">
        <v>174</v>
      </c>
      <c r="D252" s="288" t="str">
        <f t="shared" si="64"/>
        <v>Sep-25</v>
      </c>
      <c r="E252" s="288" t="s">
        <v>107</v>
      </c>
      <c r="F252" s="289">
        <v>45929</v>
      </c>
      <c r="G252" s="290" t="s">
        <v>1923</v>
      </c>
      <c r="H252" s="291" t="s">
        <v>2599</v>
      </c>
      <c r="I252" s="290" t="s">
        <v>1672</v>
      </c>
      <c r="J252" s="387">
        <v>2526030710</v>
      </c>
      <c r="K252" s="289">
        <v>45929</v>
      </c>
      <c r="L252" s="291" t="s">
        <v>1929</v>
      </c>
      <c r="M252" s="289">
        <v>45929</v>
      </c>
      <c r="N252" s="291" t="s">
        <v>255</v>
      </c>
      <c r="O252" s="296" t="s">
        <v>1930</v>
      </c>
      <c r="P252" s="291" t="s">
        <v>500</v>
      </c>
      <c r="Q252" s="291" t="s">
        <v>2607</v>
      </c>
      <c r="R252" s="458">
        <v>7640</v>
      </c>
      <c r="S252" s="404">
        <v>32.299999999999997</v>
      </c>
      <c r="T252" s="459">
        <f t="shared" si="56"/>
        <v>246771.99999999997</v>
      </c>
      <c r="U252" s="298"/>
      <c r="V252" s="288" t="s">
        <v>3288</v>
      </c>
      <c r="W252" s="296" t="str">
        <f t="shared" si="65"/>
        <v>Jan-00</v>
      </c>
      <c r="X252" s="293"/>
      <c r="Y252" s="293"/>
      <c r="Z252" s="318"/>
      <c r="AA252" s="293"/>
      <c r="AB252" s="293"/>
      <c r="AC252" s="298"/>
      <c r="AD252" s="298"/>
      <c r="AE252" s="512"/>
      <c r="AF252" s="513"/>
      <c r="AG252" s="514"/>
      <c r="AH252" s="514"/>
      <c r="AI252" s="514">
        <f t="shared" si="58"/>
        <v>0</v>
      </c>
      <c r="AJ252" s="514">
        <v>0</v>
      </c>
      <c r="AK252" s="514">
        <f t="shared" si="59"/>
        <v>0</v>
      </c>
      <c r="AL252" s="514"/>
      <c r="AM252" s="515"/>
      <c r="AN252" s="299"/>
      <c r="AO252" s="296">
        <f t="shared" si="66"/>
        <v>0</v>
      </c>
      <c r="AP252" s="274"/>
      <c r="AQ252" s="305"/>
      <c r="AR252" s="275">
        <f t="shared" si="67"/>
        <v>0</v>
      </c>
      <c r="AS252" s="280"/>
    </row>
    <row r="253" spans="2:45" x14ac:dyDescent="0.3">
      <c r="B253" s="287">
        <f t="shared" si="63"/>
        <v>249</v>
      </c>
      <c r="C253" s="272" t="s">
        <v>174</v>
      </c>
      <c r="D253" s="288" t="str">
        <f t="shared" si="64"/>
        <v>Sep-25</v>
      </c>
      <c r="E253" s="288" t="s">
        <v>107</v>
      </c>
      <c r="F253" s="289">
        <v>45929</v>
      </c>
      <c r="G253" s="290" t="s">
        <v>1922</v>
      </c>
      <c r="H253" s="291" t="s">
        <v>2598</v>
      </c>
      <c r="I253" s="290" t="s">
        <v>401</v>
      </c>
      <c r="J253" s="387">
        <v>4252002564</v>
      </c>
      <c r="K253" s="289">
        <v>45929</v>
      </c>
      <c r="L253" s="291" t="s">
        <v>1928</v>
      </c>
      <c r="M253" s="289">
        <v>45929</v>
      </c>
      <c r="N253" s="291" t="s">
        <v>255</v>
      </c>
      <c r="O253" s="296" t="s">
        <v>1676</v>
      </c>
      <c r="P253" s="291" t="s">
        <v>501</v>
      </c>
      <c r="Q253" s="291" t="s">
        <v>2608</v>
      </c>
      <c r="R253" s="458">
        <v>20230</v>
      </c>
      <c r="S253" s="404">
        <v>32.65</v>
      </c>
      <c r="T253" s="459">
        <f t="shared" si="56"/>
        <v>660509.5</v>
      </c>
      <c r="U253" s="298"/>
      <c r="V253" s="288" t="s">
        <v>3288</v>
      </c>
      <c r="W253" s="296" t="str">
        <f t="shared" si="65"/>
        <v>Jan-00</v>
      </c>
      <c r="X253" s="293"/>
      <c r="Y253" s="293"/>
      <c r="Z253" s="318"/>
      <c r="AA253" s="293"/>
      <c r="AB253" s="293"/>
      <c r="AC253" s="298"/>
      <c r="AD253" s="298"/>
      <c r="AE253" s="512"/>
      <c r="AF253" s="513"/>
      <c r="AG253" s="514"/>
      <c r="AH253" s="514"/>
      <c r="AI253" s="514">
        <f t="shared" si="58"/>
        <v>0</v>
      </c>
      <c r="AJ253" s="514">
        <v>0</v>
      </c>
      <c r="AK253" s="514">
        <f t="shared" si="59"/>
        <v>0</v>
      </c>
      <c r="AL253" s="514"/>
      <c r="AM253" s="515"/>
      <c r="AN253" s="299"/>
      <c r="AO253" s="296">
        <f t="shared" si="66"/>
        <v>0</v>
      </c>
      <c r="AP253" s="274"/>
      <c r="AQ253" s="305"/>
      <c r="AR253" s="275">
        <f t="shared" si="67"/>
        <v>0</v>
      </c>
      <c r="AS253" s="280"/>
    </row>
    <row r="254" spans="2:45" x14ac:dyDescent="0.3">
      <c r="B254" s="287">
        <f t="shared" si="63"/>
        <v>250</v>
      </c>
      <c r="C254" s="272" t="s">
        <v>174</v>
      </c>
      <c r="D254" s="288" t="str">
        <f t="shared" si="64"/>
        <v>Sep-25</v>
      </c>
      <c r="E254" s="288" t="s">
        <v>107</v>
      </c>
      <c r="F254" s="289">
        <v>45930</v>
      </c>
      <c r="G254" s="290" t="s">
        <v>1924</v>
      </c>
      <c r="H254" s="291" t="s">
        <v>2596</v>
      </c>
      <c r="I254" s="290" t="s">
        <v>2616</v>
      </c>
      <c r="J254" s="387" t="s">
        <v>1931</v>
      </c>
      <c r="K254" s="289">
        <v>45930</v>
      </c>
      <c r="L254" s="291" t="s">
        <v>1932</v>
      </c>
      <c r="M254" s="289">
        <v>45930</v>
      </c>
      <c r="N254" s="291" t="s">
        <v>255</v>
      </c>
      <c r="O254" s="296" t="s">
        <v>1621</v>
      </c>
      <c r="P254" s="291" t="s">
        <v>500</v>
      </c>
      <c r="Q254" s="291" t="s">
        <v>2607</v>
      </c>
      <c r="R254" s="458">
        <v>7700</v>
      </c>
      <c r="S254" s="404">
        <v>34.799999999999997</v>
      </c>
      <c r="T254" s="459">
        <f t="shared" si="56"/>
        <v>267960</v>
      </c>
      <c r="U254" s="298"/>
      <c r="V254" s="288" t="s">
        <v>3288</v>
      </c>
      <c r="W254" s="296" t="str">
        <f t="shared" si="65"/>
        <v>Jan-00</v>
      </c>
      <c r="X254" s="293"/>
      <c r="Y254" s="293"/>
      <c r="Z254" s="318"/>
      <c r="AA254" s="293"/>
      <c r="AB254" s="293"/>
      <c r="AC254" s="298"/>
      <c r="AD254" s="298"/>
      <c r="AE254" s="512"/>
      <c r="AF254" s="513"/>
      <c r="AG254" s="514"/>
      <c r="AH254" s="514"/>
      <c r="AI254" s="514">
        <f t="shared" si="58"/>
        <v>0</v>
      </c>
      <c r="AJ254" s="514">
        <v>0</v>
      </c>
      <c r="AK254" s="514">
        <f t="shared" si="59"/>
        <v>0</v>
      </c>
      <c r="AL254" s="514"/>
      <c r="AM254" s="515"/>
      <c r="AN254" s="299"/>
      <c r="AO254" s="296">
        <f t="shared" si="66"/>
        <v>0</v>
      </c>
      <c r="AP254" s="274"/>
      <c r="AQ254" s="305"/>
      <c r="AR254" s="275">
        <f t="shared" si="67"/>
        <v>0</v>
      </c>
      <c r="AS254" s="280"/>
    </row>
    <row r="255" spans="2:45" x14ac:dyDescent="0.3">
      <c r="B255" s="287">
        <f t="shared" si="63"/>
        <v>251</v>
      </c>
      <c r="C255" s="272" t="s">
        <v>174</v>
      </c>
      <c r="D255" s="288" t="str">
        <f t="shared" si="64"/>
        <v>Sep-25</v>
      </c>
      <c r="E255" s="288" t="s">
        <v>107</v>
      </c>
      <c r="F255" s="289">
        <v>45930</v>
      </c>
      <c r="G255" s="290" t="s">
        <v>1925</v>
      </c>
      <c r="H255" s="291" t="s">
        <v>2596</v>
      </c>
      <c r="I255" s="290" t="s">
        <v>2616</v>
      </c>
      <c r="J255" s="387" t="s">
        <v>1933</v>
      </c>
      <c r="K255" s="289">
        <v>45930</v>
      </c>
      <c r="L255" s="291" t="s">
        <v>1934</v>
      </c>
      <c r="M255" s="289">
        <v>45930</v>
      </c>
      <c r="N255" s="291" t="s">
        <v>255</v>
      </c>
      <c r="O255" s="296" t="s">
        <v>1640</v>
      </c>
      <c r="P255" s="291" t="s">
        <v>500</v>
      </c>
      <c r="Q255" s="291" t="s">
        <v>2607</v>
      </c>
      <c r="R255" s="458">
        <v>8270</v>
      </c>
      <c r="S255" s="404">
        <v>36</v>
      </c>
      <c r="T255" s="459">
        <f t="shared" si="56"/>
        <v>297720</v>
      </c>
      <c r="U255" s="298"/>
      <c r="V255" s="288" t="s">
        <v>3288</v>
      </c>
      <c r="W255" s="296" t="str">
        <f t="shared" si="65"/>
        <v>Jan-00</v>
      </c>
      <c r="X255" s="293"/>
      <c r="Y255" s="293"/>
      <c r="Z255" s="318"/>
      <c r="AA255" s="293"/>
      <c r="AB255" s="293"/>
      <c r="AC255" s="298"/>
      <c r="AD255" s="298"/>
      <c r="AE255" s="512"/>
      <c r="AF255" s="513"/>
      <c r="AG255" s="514"/>
      <c r="AH255" s="514"/>
      <c r="AI255" s="514">
        <f t="shared" si="58"/>
        <v>0</v>
      </c>
      <c r="AJ255" s="514">
        <v>0</v>
      </c>
      <c r="AK255" s="514">
        <f t="shared" si="59"/>
        <v>0</v>
      </c>
      <c r="AL255" s="514"/>
      <c r="AM255" s="515"/>
      <c r="AN255" s="299"/>
      <c r="AO255" s="296">
        <f t="shared" si="66"/>
        <v>0</v>
      </c>
      <c r="AP255" s="274"/>
      <c r="AQ255" s="305"/>
      <c r="AR255" s="275">
        <f t="shared" si="67"/>
        <v>0</v>
      </c>
      <c r="AS255" s="280"/>
    </row>
    <row r="256" spans="2:45" x14ac:dyDescent="0.3">
      <c r="B256" s="287">
        <f t="shared" si="63"/>
        <v>252</v>
      </c>
      <c r="C256" s="272" t="s">
        <v>174</v>
      </c>
      <c r="D256" s="288" t="str">
        <f t="shared" si="64"/>
        <v>Sep-25</v>
      </c>
      <c r="E256" s="288" t="s">
        <v>107</v>
      </c>
      <c r="F256" s="289">
        <v>45930</v>
      </c>
      <c r="G256" s="290" t="s">
        <v>1927</v>
      </c>
      <c r="H256" s="291" t="s">
        <v>2599</v>
      </c>
      <c r="I256" s="290" t="s">
        <v>1672</v>
      </c>
      <c r="J256" s="387">
        <v>2526030777</v>
      </c>
      <c r="K256" s="289">
        <v>45930</v>
      </c>
      <c r="L256" s="291" t="s">
        <v>1936</v>
      </c>
      <c r="M256" s="289">
        <v>45931</v>
      </c>
      <c r="N256" s="291" t="s">
        <v>255</v>
      </c>
      <c r="O256" s="296" t="s">
        <v>1930</v>
      </c>
      <c r="P256" s="291" t="s">
        <v>500</v>
      </c>
      <c r="Q256" s="291" t="s">
        <v>2607</v>
      </c>
      <c r="R256" s="458">
        <v>7610</v>
      </c>
      <c r="S256" s="404">
        <v>32.299999999999997</v>
      </c>
      <c r="T256" s="459">
        <f t="shared" si="56"/>
        <v>245802.99999999997</v>
      </c>
      <c r="U256" s="298"/>
      <c r="V256" s="288" t="s">
        <v>3288</v>
      </c>
      <c r="W256" s="296" t="str">
        <f t="shared" si="65"/>
        <v>Jan-00</v>
      </c>
      <c r="X256" s="293"/>
      <c r="Y256" s="293"/>
      <c r="Z256" s="318"/>
      <c r="AA256" s="293"/>
      <c r="AB256" s="293"/>
      <c r="AC256" s="298"/>
      <c r="AD256" s="298"/>
      <c r="AE256" s="512"/>
      <c r="AF256" s="513"/>
      <c r="AG256" s="514"/>
      <c r="AH256" s="514"/>
      <c r="AI256" s="514">
        <f t="shared" si="58"/>
        <v>0</v>
      </c>
      <c r="AJ256" s="514">
        <v>0</v>
      </c>
      <c r="AK256" s="514">
        <f t="shared" si="59"/>
        <v>0</v>
      </c>
      <c r="AL256" s="514"/>
      <c r="AM256" s="515"/>
      <c r="AN256" s="299"/>
      <c r="AO256" s="296">
        <f t="shared" si="66"/>
        <v>0</v>
      </c>
      <c r="AP256" s="274"/>
      <c r="AQ256" s="305"/>
      <c r="AR256" s="275">
        <f t="shared" si="67"/>
        <v>0</v>
      </c>
      <c r="AS256" s="280"/>
    </row>
    <row r="257" spans="2:45" x14ac:dyDescent="0.3">
      <c r="B257" s="287">
        <f t="shared" si="63"/>
        <v>253</v>
      </c>
      <c r="C257" s="272" t="s">
        <v>174</v>
      </c>
      <c r="D257" s="288" t="str">
        <f t="shared" si="64"/>
        <v>Sep-25</v>
      </c>
      <c r="E257" s="288" t="s">
        <v>107</v>
      </c>
      <c r="F257" s="289">
        <v>45930</v>
      </c>
      <c r="G257" s="290" t="s">
        <v>1926</v>
      </c>
      <c r="H257" s="291" t="s">
        <v>2598</v>
      </c>
      <c r="I257" s="290" t="s">
        <v>401</v>
      </c>
      <c r="J257" s="387">
        <v>8252001754</v>
      </c>
      <c r="K257" s="289">
        <v>45930</v>
      </c>
      <c r="L257" s="291" t="s">
        <v>1935</v>
      </c>
      <c r="M257" s="289">
        <v>45930</v>
      </c>
      <c r="N257" s="291" t="s">
        <v>255</v>
      </c>
      <c r="O257" s="296" t="s">
        <v>1676</v>
      </c>
      <c r="P257" s="291" t="s">
        <v>501</v>
      </c>
      <c r="Q257" s="291" t="s">
        <v>2608</v>
      </c>
      <c r="R257" s="458">
        <v>24100</v>
      </c>
      <c r="S257" s="404">
        <v>32.65</v>
      </c>
      <c r="T257" s="459">
        <f t="shared" si="56"/>
        <v>786865</v>
      </c>
      <c r="U257" s="298"/>
      <c r="V257" s="288" t="s">
        <v>3288</v>
      </c>
      <c r="W257" s="296" t="str">
        <f t="shared" si="65"/>
        <v>Jan-00</v>
      </c>
      <c r="X257" s="293"/>
      <c r="Y257" s="293"/>
      <c r="Z257" s="318"/>
      <c r="AA257" s="293"/>
      <c r="AB257" s="293"/>
      <c r="AC257" s="298"/>
      <c r="AD257" s="298"/>
      <c r="AE257" s="512"/>
      <c r="AF257" s="513"/>
      <c r="AG257" s="514"/>
      <c r="AH257" s="514"/>
      <c r="AI257" s="514">
        <f t="shared" si="58"/>
        <v>0</v>
      </c>
      <c r="AJ257" s="514">
        <v>0</v>
      </c>
      <c r="AK257" s="514">
        <f t="shared" si="59"/>
        <v>0</v>
      </c>
      <c r="AL257" s="514"/>
      <c r="AM257" s="515"/>
      <c r="AN257" s="299"/>
      <c r="AO257" s="296">
        <f t="shared" si="66"/>
        <v>0</v>
      </c>
      <c r="AP257" s="274"/>
      <c r="AQ257" s="305"/>
      <c r="AR257" s="275">
        <f t="shared" si="67"/>
        <v>0</v>
      </c>
      <c r="AS257" s="280"/>
    </row>
    <row r="258" spans="2:45" x14ac:dyDescent="0.3">
      <c r="B258" s="287">
        <f t="shared" si="63"/>
        <v>254</v>
      </c>
      <c r="C258" s="272" t="s">
        <v>174</v>
      </c>
      <c r="D258" s="288" t="str">
        <f t="shared" si="64"/>
        <v>Sep-25</v>
      </c>
      <c r="E258" s="288" t="s">
        <v>107</v>
      </c>
      <c r="F258" s="289">
        <v>45930</v>
      </c>
      <c r="G258" s="290" t="s">
        <v>1942</v>
      </c>
      <c r="H258" s="291" t="s">
        <v>2598</v>
      </c>
      <c r="I258" s="290" t="s">
        <v>401</v>
      </c>
      <c r="J258" s="387">
        <v>6252000069</v>
      </c>
      <c r="K258" s="289">
        <v>45930</v>
      </c>
      <c r="L258" s="291" t="s">
        <v>1976</v>
      </c>
      <c r="M258" s="289">
        <v>45931</v>
      </c>
      <c r="N258" s="291" t="s">
        <v>255</v>
      </c>
      <c r="O258" s="296" t="s">
        <v>697</v>
      </c>
      <c r="P258" s="291" t="s">
        <v>501</v>
      </c>
      <c r="Q258" s="291" t="s">
        <v>2608</v>
      </c>
      <c r="R258" s="458">
        <v>15570</v>
      </c>
      <c r="S258" s="404">
        <v>32.65</v>
      </c>
      <c r="T258" s="459">
        <f t="shared" si="56"/>
        <v>508360.5</v>
      </c>
      <c r="U258" s="298"/>
      <c r="V258" s="288" t="s">
        <v>3288</v>
      </c>
      <c r="W258" s="296" t="str">
        <f t="shared" si="65"/>
        <v>Jan-00</v>
      </c>
      <c r="X258" s="293"/>
      <c r="Y258" s="293"/>
      <c r="Z258" s="318"/>
      <c r="AA258" s="293"/>
      <c r="AB258" s="293"/>
      <c r="AC258" s="298"/>
      <c r="AD258" s="298"/>
      <c r="AE258" s="512"/>
      <c r="AF258" s="513"/>
      <c r="AG258" s="514"/>
      <c r="AH258" s="514"/>
      <c r="AI258" s="514">
        <f t="shared" si="58"/>
        <v>0</v>
      </c>
      <c r="AJ258" s="514">
        <v>0</v>
      </c>
      <c r="AK258" s="514">
        <f t="shared" si="59"/>
        <v>0</v>
      </c>
      <c r="AL258" s="514"/>
      <c r="AM258" s="515"/>
      <c r="AN258" s="299"/>
      <c r="AO258" s="296">
        <f t="shared" si="66"/>
        <v>0</v>
      </c>
      <c r="AP258" s="274"/>
      <c r="AQ258" s="305"/>
      <c r="AR258" s="275">
        <f t="shared" si="67"/>
        <v>0</v>
      </c>
      <c r="AS258" s="280"/>
    </row>
    <row r="259" spans="2:45" x14ac:dyDescent="0.3">
      <c r="B259" s="287">
        <f t="shared" si="63"/>
        <v>255</v>
      </c>
      <c r="C259" s="272" t="s">
        <v>174</v>
      </c>
      <c r="D259" s="288" t="str">
        <f t="shared" si="64"/>
        <v>Oct-25</v>
      </c>
      <c r="E259" s="288" t="s">
        <v>107</v>
      </c>
      <c r="F259" s="289">
        <v>45931</v>
      </c>
      <c r="G259" s="290" t="s">
        <v>1944</v>
      </c>
      <c r="H259" s="291" t="s">
        <v>2596</v>
      </c>
      <c r="I259" s="290" t="s">
        <v>251</v>
      </c>
      <c r="J259" s="387" t="s">
        <v>1979</v>
      </c>
      <c r="K259" s="289">
        <v>45931</v>
      </c>
      <c r="L259" s="291" t="s">
        <v>1980</v>
      </c>
      <c r="M259" s="289">
        <v>45931</v>
      </c>
      <c r="N259" s="291" t="s">
        <v>255</v>
      </c>
      <c r="O259" s="296" t="s">
        <v>1621</v>
      </c>
      <c r="P259" s="291" t="s">
        <v>500</v>
      </c>
      <c r="Q259" s="291" t="s">
        <v>2607</v>
      </c>
      <c r="R259" s="458">
        <v>4270</v>
      </c>
      <c r="S259" s="404">
        <v>36</v>
      </c>
      <c r="T259" s="459">
        <f t="shared" si="56"/>
        <v>153720</v>
      </c>
      <c r="U259" s="298"/>
      <c r="V259" s="288" t="s">
        <v>3288</v>
      </c>
      <c r="W259" s="296" t="str">
        <f t="shared" si="65"/>
        <v>Jan-00</v>
      </c>
      <c r="X259" s="293"/>
      <c r="Y259" s="293"/>
      <c r="Z259" s="318"/>
      <c r="AA259" s="293"/>
      <c r="AB259" s="293"/>
      <c r="AC259" s="298"/>
      <c r="AD259" s="298"/>
      <c r="AE259" s="512"/>
      <c r="AF259" s="513"/>
      <c r="AG259" s="514"/>
      <c r="AH259" s="514"/>
      <c r="AI259" s="514">
        <f t="shared" si="58"/>
        <v>0</v>
      </c>
      <c r="AJ259" s="514">
        <v>0</v>
      </c>
      <c r="AK259" s="514">
        <f t="shared" si="59"/>
        <v>0</v>
      </c>
      <c r="AL259" s="514"/>
      <c r="AM259" s="515"/>
      <c r="AN259" s="299"/>
      <c r="AO259" s="296">
        <f t="shared" si="66"/>
        <v>0</v>
      </c>
      <c r="AP259" s="274"/>
      <c r="AQ259" s="305"/>
      <c r="AR259" s="275">
        <f t="shared" si="67"/>
        <v>0</v>
      </c>
      <c r="AS259" s="280"/>
    </row>
    <row r="260" spans="2:45" x14ac:dyDescent="0.3">
      <c r="B260" s="287">
        <f t="shared" si="63"/>
        <v>256</v>
      </c>
      <c r="C260" s="272" t="s">
        <v>174</v>
      </c>
      <c r="D260" s="288" t="str">
        <f t="shared" si="64"/>
        <v>Oct-25</v>
      </c>
      <c r="E260" s="288" t="s">
        <v>107</v>
      </c>
      <c r="F260" s="289">
        <v>45931</v>
      </c>
      <c r="G260" s="290" t="s">
        <v>1943</v>
      </c>
      <c r="H260" s="291" t="s">
        <v>2596</v>
      </c>
      <c r="I260" s="290" t="s">
        <v>2616</v>
      </c>
      <c r="J260" s="387" t="s">
        <v>1977</v>
      </c>
      <c r="K260" s="289">
        <v>45931</v>
      </c>
      <c r="L260" s="291" t="s">
        <v>1978</v>
      </c>
      <c r="M260" s="289">
        <v>45931</v>
      </c>
      <c r="N260" s="291" t="s">
        <v>255</v>
      </c>
      <c r="O260" s="296" t="s">
        <v>1423</v>
      </c>
      <c r="P260" s="291" t="s">
        <v>501</v>
      </c>
      <c r="Q260" s="291" t="s">
        <v>2608</v>
      </c>
      <c r="R260" s="458">
        <v>6010</v>
      </c>
      <c r="S260" s="404">
        <v>32.5</v>
      </c>
      <c r="T260" s="459">
        <f t="shared" si="56"/>
        <v>195325</v>
      </c>
      <c r="U260" s="298"/>
      <c r="V260" s="288" t="s">
        <v>3288</v>
      </c>
      <c r="W260" s="296" t="str">
        <f t="shared" si="65"/>
        <v>Jan-00</v>
      </c>
      <c r="X260" s="293"/>
      <c r="Y260" s="293"/>
      <c r="Z260" s="318"/>
      <c r="AA260" s="293"/>
      <c r="AB260" s="293"/>
      <c r="AC260" s="298"/>
      <c r="AD260" s="298"/>
      <c r="AE260" s="512"/>
      <c r="AF260" s="513"/>
      <c r="AG260" s="514"/>
      <c r="AH260" s="514"/>
      <c r="AI260" s="514">
        <f t="shared" si="58"/>
        <v>0</v>
      </c>
      <c r="AJ260" s="514">
        <v>0</v>
      </c>
      <c r="AK260" s="514">
        <f t="shared" si="59"/>
        <v>0</v>
      </c>
      <c r="AL260" s="514"/>
      <c r="AM260" s="515"/>
      <c r="AN260" s="299"/>
      <c r="AO260" s="296">
        <f t="shared" si="66"/>
        <v>0</v>
      </c>
      <c r="AP260" s="274"/>
      <c r="AQ260" s="305"/>
      <c r="AR260" s="275">
        <f t="shared" si="67"/>
        <v>0</v>
      </c>
      <c r="AS260" s="280"/>
    </row>
    <row r="261" spans="2:45" x14ac:dyDescent="0.3">
      <c r="B261" s="287">
        <f t="shared" si="63"/>
        <v>257</v>
      </c>
      <c r="C261" s="272" t="s">
        <v>174</v>
      </c>
      <c r="D261" s="288" t="str">
        <f t="shared" si="64"/>
        <v>Oct-25</v>
      </c>
      <c r="E261" s="288" t="s">
        <v>107</v>
      </c>
      <c r="F261" s="289">
        <v>45931</v>
      </c>
      <c r="G261" s="290" t="s">
        <v>1945</v>
      </c>
      <c r="H261" s="291" t="s">
        <v>2596</v>
      </c>
      <c r="I261" s="290" t="s">
        <v>251</v>
      </c>
      <c r="J261" s="387" t="s">
        <v>1981</v>
      </c>
      <c r="K261" s="289">
        <v>45931</v>
      </c>
      <c r="L261" s="291" t="s">
        <v>1982</v>
      </c>
      <c r="M261" s="289">
        <v>45932</v>
      </c>
      <c r="N261" s="291" t="s">
        <v>255</v>
      </c>
      <c r="O261" s="296" t="s">
        <v>1983</v>
      </c>
      <c r="P261" s="291" t="s">
        <v>501</v>
      </c>
      <c r="Q261" s="291" t="s">
        <v>2601</v>
      </c>
      <c r="R261" s="458">
        <v>5060</v>
      </c>
      <c r="S261" s="404">
        <v>36</v>
      </c>
      <c r="T261" s="459">
        <f t="shared" ref="T261:T324" si="90">R261*S261</f>
        <v>182160</v>
      </c>
      <c r="U261" s="298"/>
      <c r="V261" s="288" t="s">
        <v>3288</v>
      </c>
      <c r="W261" s="296" t="str">
        <f t="shared" si="65"/>
        <v>Jan-00</v>
      </c>
      <c r="X261" s="293"/>
      <c r="Y261" s="293"/>
      <c r="Z261" s="318"/>
      <c r="AA261" s="293"/>
      <c r="AB261" s="293"/>
      <c r="AC261" s="298"/>
      <c r="AD261" s="298"/>
      <c r="AE261" s="512"/>
      <c r="AF261" s="513"/>
      <c r="AG261" s="514"/>
      <c r="AH261" s="514"/>
      <c r="AI261" s="514">
        <f t="shared" ref="AI261:AI313" si="91">AG261+AH261</f>
        <v>0</v>
      </c>
      <c r="AJ261" s="514">
        <v>0</v>
      </c>
      <c r="AK261" s="514">
        <f t="shared" ref="AK261:AK313" si="92">AE261-AJ261</f>
        <v>0</v>
      </c>
      <c r="AL261" s="514"/>
      <c r="AM261" s="515"/>
      <c r="AN261" s="299"/>
      <c r="AO261" s="296">
        <f t="shared" si="66"/>
        <v>0</v>
      </c>
      <c r="AP261" s="274"/>
      <c r="AQ261" s="305"/>
      <c r="AR261" s="275">
        <f t="shared" si="67"/>
        <v>0</v>
      </c>
      <c r="AS261" s="280"/>
    </row>
    <row r="262" spans="2:45" x14ac:dyDescent="0.3">
      <c r="B262" s="287">
        <f t="shared" ref="B262:B325" si="93">B261+1</f>
        <v>258</v>
      </c>
      <c r="C262" s="272" t="s">
        <v>174</v>
      </c>
      <c r="D262" s="288" t="str">
        <f t="shared" ref="D262:D325" si="94">TEXT(F262,"mmm-yy")</f>
        <v>Oct-25</v>
      </c>
      <c r="E262" s="288" t="s">
        <v>107</v>
      </c>
      <c r="F262" s="289">
        <v>45933</v>
      </c>
      <c r="G262" s="290" t="s">
        <v>1947</v>
      </c>
      <c r="H262" s="291" t="s">
        <v>2600</v>
      </c>
      <c r="I262" s="290" t="s">
        <v>1984</v>
      </c>
      <c r="J262" s="387">
        <v>122511101484</v>
      </c>
      <c r="K262" s="289">
        <v>45933</v>
      </c>
      <c r="L262" s="291" t="s">
        <v>1986</v>
      </c>
      <c r="M262" s="289">
        <v>45933</v>
      </c>
      <c r="N262" s="291" t="s">
        <v>255</v>
      </c>
      <c r="O262" s="296" t="s">
        <v>1857</v>
      </c>
      <c r="P262" s="291" t="s">
        <v>500</v>
      </c>
      <c r="Q262" s="291" t="s">
        <v>2607</v>
      </c>
      <c r="R262" s="458">
        <v>6940</v>
      </c>
      <c r="S262" s="404">
        <v>32.1</v>
      </c>
      <c r="T262" s="459">
        <f t="shared" si="90"/>
        <v>222774</v>
      </c>
      <c r="U262" s="298"/>
      <c r="V262" s="288" t="s">
        <v>3288</v>
      </c>
      <c r="W262" s="296" t="str">
        <f t="shared" ref="W262:W325" si="95">TEXT(Z262,"mmm-yy")</f>
        <v>Jan-00</v>
      </c>
      <c r="X262" s="293"/>
      <c r="Y262" s="293"/>
      <c r="Z262" s="318"/>
      <c r="AA262" s="293"/>
      <c r="AB262" s="293"/>
      <c r="AC262" s="298"/>
      <c r="AD262" s="298"/>
      <c r="AE262" s="512"/>
      <c r="AF262" s="513"/>
      <c r="AG262" s="514"/>
      <c r="AH262" s="514"/>
      <c r="AI262" s="514">
        <f t="shared" si="91"/>
        <v>0</v>
      </c>
      <c r="AJ262" s="514">
        <v>0</v>
      </c>
      <c r="AK262" s="514">
        <f t="shared" si="92"/>
        <v>0</v>
      </c>
      <c r="AL262" s="514"/>
      <c r="AM262" s="515"/>
      <c r="AN262" s="299"/>
      <c r="AO262" s="296">
        <f t="shared" ref="AO262:AO325" si="96">AE262*S262</f>
        <v>0</v>
      </c>
      <c r="AP262" s="274"/>
      <c r="AQ262" s="305"/>
      <c r="AR262" s="275">
        <f t="shared" ref="AR262:AR325" si="97">AM262-AQ262</f>
        <v>0</v>
      </c>
      <c r="AS262" s="280"/>
    </row>
    <row r="263" spans="2:45" x14ac:dyDescent="0.3">
      <c r="B263" s="287">
        <f t="shared" si="93"/>
        <v>259</v>
      </c>
      <c r="C263" s="272" t="s">
        <v>174</v>
      </c>
      <c r="D263" s="288" t="str">
        <f t="shared" si="94"/>
        <v>Oct-25</v>
      </c>
      <c r="E263" s="288" t="s">
        <v>107</v>
      </c>
      <c r="F263" s="289">
        <v>45933</v>
      </c>
      <c r="G263" s="290" t="s">
        <v>1946</v>
      </c>
      <c r="H263" s="291" t="s">
        <v>2600</v>
      </c>
      <c r="I263" s="290" t="s">
        <v>1984</v>
      </c>
      <c r="J263" s="387">
        <v>122511101490</v>
      </c>
      <c r="K263" s="289">
        <v>45933</v>
      </c>
      <c r="L263" s="291" t="s">
        <v>1985</v>
      </c>
      <c r="M263" s="289">
        <v>45933</v>
      </c>
      <c r="N263" s="291" t="s">
        <v>255</v>
      </c>
      <c r="O263" s="296" t="s">
        <v>806</v>
      </c>
      <c r="P263" s="291" t="s">
        <v>500</v>
      </c>
      <c r="Q263" s="291" t="s">
        <v>2607</v>
      </c>
      <c r="R263" s="458">
        <v>7670</v>
      </c>
      <c r="S263" s="404">
        <v>32.1</v>
      </c>
      <c r="T263" s="459">
        <f t="shared" si="90"/>
        <v>246207</v>
      </c>
      <c r="U263" s="298"/>
      <c r="V263" s="288" t="s">
        <v>3288</v>
      </c>
      <c r="W263" s="296" t="str">
        <f t="shared" si="95"/>
        <v>Jan-00</v>
      </c>
      <c r="X263" s="293"/>
      <c r="Y263" s="293"/>
      <c r="Z263" s="318"/>
      <c r="AA263" s="293"/>
      <c r="AB263" s="293"/>
      <c r="AC263" s="298"/>
      <c r="AD263" s="298"/>
      <c r="AE263" s="512"/>
      <c r="AF263" s="513"/>
      <c r="AG263" s="514"/>
      <c r="AH263" s="514"/>
      <c r="AI263" s="514">
        <f t="shared" si="91"/>
        <v>0</v>
      </c>
      <c r="AJ263" s="514">
        <v>0</v>
      </c>
      <c r="AK263" s="514">
        <f t="shared" si="92"/>
        <v>0</v>
      </c>
      <c r="AL263" s="514"/>
      <c r="AM263" s="515"/>
      <c r="AN263" s="299"/>
      <c r="AO263" s="296">
        <f t="shared" si="96"/>
        <v>0</v>
      </c>
      <c r="AP263" s="274"/>
      <c r="AQ263" s="305"/>
      <c r="AR263" s="275">
        <f t="shared" si="97"/>
        <v>0</v>
      </c>
      <c r="AS263" s="280"/>
    </row>
    <row r="264" spans="2:45" x14ac:dyDescent="0.3">
      <c r="B264" s="287">
        <f t="shared" si="93"/>
        <v>260</v>
      </c>
      <c r="C264" s="272" t="s">
        <v>174</v>
      </c>
      <c r="D264" s="288" t="str">
        <f t="shared" si="94"/>
        <v>Oct-25</v>
      </c>
      <c r="E264" s="288" t="s">
        <v>107</v>
      </c>
      <c r="F264" s="289">
        <v>45933</v>
      </c>
      <c r="G264" s="290" t="s">
        <v>2074</v>
      </c>
      <c r="H264" s="291" t="s">
        <v>2599</v>
      </c>
      <c r="I264" s="290" t="s">
        <v>1672</v>
      </c>
      <c r="J264" s="387">
        <v>2526031026</v>
      </c>
      <c r="K264" s="289">
        <v>45933</v>
      </c>
      <c r="L264" s="291" t="s">
        <v>2075</v>
      </c>
      <c r="M264" s="289">
        <v>45940</v>
      </c>
      <c r="N264" s="291" t="s">
        <v>255</v>
      </c>
      <c r="O264" s="296" t="s">
        <v>1930</v>
      </c>
      <c r="P264" s="291" t="s">
        <v>500</v>
      </c>
      <c r="Q264" s="291" t="s">
        <v>2607</v>
      </c>
      <c r="R264" s="458">
        <v>7560</v>
      </c>
      <c r="S264" s="404">
        <v>32.299999999999997</v>
      </c>
      <c r="T264" s="459">
        <f t="shared" si="90"/>
        <v>244187.99999999997</v>
      </c>
      <c r="U264" s="298"/>
      <c r="V264" s="288" t="s">
        <v>3288</v>
      </c>
      <c r="W264" s="296" t="str">
        <f t="shared" si="95"/>
        <v>Jan-00</v>
      </c>
      <c r="X264" s="293"/>
      <c r="Y264" s="293"/>
      <c r="Z264" s="318"/>
      <c r="AA264" s="293"/>
      <c r="AB264" s="293"/>
      <c r="AC264" s="298"/>
      <c r="AD264" s="298"/>
      <c r="AE264" s="512"/>
      <c r="AF264" s="513"/>
      <c r="AG264" s="514"/>
      <c r="AH264" s="514"/>
      <c r="AI264" s="514">
        <f t="shared" si="91"/>
        <v>0</v>
      </c>
      <c r="AJ264" s="514">
        <v>0</v>
      </c>
      <c r="AK264" s="514">
        <f t="shared" si="92"/>
        <v>0</v>
      </c>
      <c r="AL264" s="514"/>
      <c r="AM264" s="515"/>
      <c r="AN264" s="299"/>
      <c r="AO264" s="296">
        <f t="shared" si="96"/>
        <v>0</v>
      </c>
      <c r="AP264" s="274"/>
      <c r="AQ264" s="305"/>
      <c r="AR264" s="275">
        <f t="shared" si="97"/>
        <v>0</v>
      </c>
      <c r="AS264" s="280"/>
    </row>
    <row r="265" spans="2:45" x14ac:dyDescent="0.3">
      <c r="B265" s="287">
        <f t="shared" si="93"/>
        <v>261</v>
      </c>
      <c r="C265" s="272" t="s">
        <v>174</v>
      </c>
      <c r="D265" s="288" t="str">
        <f t="shared" si="94"/>
        <v>Oct-25</v>
      </c>
      <c r="E265" s="288" t="s">
        <v>107</v>
      </c>
      <c r="F265" s="289">
        <v>45934</v>
      </c>
      <c r="G265" s="290" t="s">
        <v>1950</v>
      </c>
      <c r="H265" s="291" t="s">
        <v>2600</v>
      </c>
      <c r="I265" s="290" t="s">
        <v>1984</v>
      </c>
      <c r="J265" s="387">
        <v>122511102199</v>
      </c>
      <c r="K265" s="289">
        <v>45934</v>
      </c>
      <c r="L265" s="291" t="s">
        <v>1989</v>
      </c>
      <c r="M265" s="289">
        <v>45934</v>
      </c>
      <c r="N265" s="291" t="s">
        <v>255</v>
      </c>
      <c r="O265" s="296" t="s">
        <v>992</v>
      </c>
      <c r="P265" s="291" t="s">
        <v>500</v>
      </c>
      <c r="Q265" s="291" t="s">
        <v>2607</v>
      </c>
      <c r="R265" s="458">
        <v>8920</v>
      </c>
      <c r="S265" s="404">
        <v>32.1</v>
      </c>
      <c r="T265" s="459">
        <f t="shared" si="90"/>
        <v>286332</v>
      </c>
      <c r="U265" s="298"/>
      <c r="V265" s="288" t="s">
        <v>3288</v>
      </c>
      <c r="W265" s="296" t="str">
        <f t="shared" si="95"/>
        <v>Jan-00</v>
      </c>
      <c r="X265" s="293"/>
      <c r="Y265" s="293"/>
      <c r="Z265" s="318"/>
      <c r="AA265" s="293"/>
      <c r="AB265" s="293"/>
      <c r="AC265" s="298"/>
      <c r="AD265" s="298"/>
      <c r="AE265" s="512"/>
      <c r="AF265" s="513"/>
      <c r="AG265" s="514"/>
      <c r="AH265" s="514"/>
      <c r="AI265" s="514">
        <f t="shared" si="91"/>
        <v>0</v>
      </c>
      <c r="AJ265" s="514">
        <v>0</v>
      </c>
      <c r="AK265" s="514">
        <f t="shared" si="92"/>
        <v>0</v>
      </c>
      <c r="AL265" s="514"/>
      <c r="AM265" s="515"/>
      <c r="AN265" s="299"/>
      <c r="AO265" s="296">
        <f t="shared" si="96"/>
        <v>0</v>
      </c>
      <c r="AP265" s="274"/>
      <c r="AQ265" s="305"/>
      <c r="AR265" s="275">
        <f t="shared" si="97"/>
        <v>0</v>
      </c>
      <c r="AS265" s="280"/>
    </row>
    <row r="266" spans="2:45" x14ac:dyDescent="0.3">
      <c r="B266" s="287">
        <f t="shared" si="93"/>
        <v>262</v>
      </c>
      <c r="C266" s="272" t="s">
        <v>174</v>
      </c>
      <c r="D266" s="288" t="str">
        <f t="shared" si="94"/>
        <v>Oct-25</v>
      </c>
      <c r="E266" s="288" t="s">
        <v>107</v>
      </c>
      <c r="F266" s="289">
        <v>45934</v>
      </c>
      <c r="G266" s="290" t="s">
        <v>1949</v>
      </c>
      <c r="H266" s="291" t="s">
        <v>2600</v>
      </c>
      <c r="I266" s="290" t="s">
        <v>1984</v>
      </c>
      <c r="J266" s="387">
        <v>122511102164</v>
      </c>
      <c r="K266" s="289">
        <v>45934</v>
      </c>
      <c r="L266" s="291" t="s">
        <v>1988</v>
      </c>
      <c r="M266" s="289">
        <v>45934</v>
      </c>
      <c r="N266" s="291" t="s">
        <v>255</v>
      </c>
      <c r="O266" s="296" t="s">
        <v>300</v>
      </c>
      <c r="P266" s="291" t="s">
        <v>500</v>
      </c>
      <c r="Q266" s="291" t="s">
        <v>2607</v>
      </c>
      <c r="R266" s="458">
        <v>7430</v>
      </c>
      <c r="S266" s="404">
        <v>32.1</v>
      </c>
      <c r="T266" s="459">
        <f t="shared" si="90"/>
        <v>238503</v>
      </c>
      <c r="U266" s="298"/>
      <c r="V266" s="288" t="s">
        <v>3288</v>
      </c>
      <c r="W266" s="296" t="str">
        <f t="shared" si="95"/>
        <v>Jan-00</v>
      </c>
      <c r="X266" s="293"/>
      <c r="Y266" s="293"/>
      <c r="Z266" s="318"/>
      <c r="AA266" s="293"/>
      <c r="AB266" s="293"/>
      <c r="AC266" s="298"/>
      <c r="AD266" s="298"/>
      <c r="AE266" s="512"/>
      <c r="AF266" s="513"/>
      <c r="AG266" s="514"/>
      <c r="AH266" s="514"/>
      <c r="AI266" s="514">
        <f t="shared" si="91"/>
        <v>0</v>
      </c>
      <c r="AJ266" s="514">
        <v>0</v>
      </c>
      <c r="AK266" s="514">
        <f t="shared" si="92"/>
        <v>0</v>
      </c>
      <c r="AL266" s="514"/>
      <c r="AM266" s="515"/>
      <c r="AN266" s="299"/>
      <c r="AO266" s="296">
        <f t="shared" si="96"/>
        <v>0</v>
      </c>
      <c r="AP266" s="274"/>
      <c r="AQ266" s="305"/>
      <c r="AR266" s="275">
        <f t="shared" si="97"/>
        <v>0</v>
      </c>
      <c r="AS266" s="280"/>
    </row>
    <row r="267" spans="2:45" x14ac:dyDescent="0.3">
      <c r="B267" s="287">
        <f t="shared" si="93"/>
        <v>263</v>
      </c>
      <c r="C267" s="272" t="s">
        <v>174</v>
      </c>
      <c r="D267" s="288" t="str">
        <f t="shared" si="94"/>
        <v>Oct-25</v>
      </c>
      <c r="E267" s="288" t="s">
        <v>107</v>
      </c>
      <c r="F267" s="289">
        <v>45934</v>
      </c>
      <c r="G267" s="290" t="s">
        <v>1948</v>
      </c>
      <c r="H267" s="291" t="s">
        <v>2600</v>
      </c>
      <c r="I267" s="290" t="s">
        <v>1984</v>
      </c>
      <c r="J267" s="387">
        <v>122511102149</v>
      </c>
      <c r="K267" s="289">
        <v>45934</v>
      </c>
      <c r="L267" s="291" t="s">
        <v>1987</v>
      </c>
      <c r="M267" s="289">
        <v>45934</v>
      </c>
      <c r="N267" s="291" t="s">
        <v>255</v>
      </c>
      <c r="O267" s="296" t="s">
        <v>1857</v>
      </c>
      <c r="P267" s="291" t="s">
        <v>500</v>
      </c>
      <c r="Q267" s="291" t="s">
        <v>2607</v>
      </c>
      <c r="R267" s="458">
        <v>8690</v>
      </c>
      <c r="S267" s="404">
        <v>32.1</v>
      </c>
      <c r="T267" s="459">
        <f t="shared" si="90"/>
        <v>278949</v>
      </c>
      <c r="U267" s="298"/>
      <c r="V267" s="288" t="s">
        <v>3288</v>
      </c>
      <c r="W267" s="296" t="str">
        <f t="shared" si="95"/>
        <v>Jan-00</v>
      </c>
      <c r="X267" s="293"/>
      <c r="Y267" s="293"/>
      <c r="Z267" s="318"/>
      <c r="AA267" s="293"/>
      <c r="AB267" s="293"/>
      <c r="AC267" s="298"/>
      <c r="AD267" s="298"/>
      <c r="AE267" s="512"/>
      <c r="AF267" s="513"/>
      <c r="AG267" s="514"/>
      <c r="AH267" s="514"/>
      <c r="AI267" s="514">
        <f t="shared" si="91"/>
        <v>0</v>
      </c>
      <c r="AJ267" s="514">
        <v>0</v>
      </c>
      <c r="AK267" s="514">
        <f t="shared" si="92"/>
        <v>0</v>
      </c>
      <c r="AL267" s="514"/>
      <c r="AM267" s="515"/>
      <c r="AN267" s="299"/>
      <c r="AO267" s="296">
        <f t="shared" si="96"/>
        <v>0</v>
      </c>
      <c r="AP267" s="274"/>
      <c r="AQ267" s="305"/>
      <c r="AR267" s="275">
        <f t="shared" si="97"/>
        <v>0</v>
      </c>
      <c r="AS267" s="280"/>
    </row>
    <row r="268" spans="2:45" x14ac:dyDescent="0.3">
      <c r="B268" s="287">
        <f t="shared" si="93"/>
        <v>264</v>
      </c>
      <c r="C268" s="272" t="s">
        <v>174</v>
      </c>
      <c r="D268" s="288" t="str">
        <f t="shared" si="94"/>
        <v>Oct-25</v>
      </c>
      <c r="E268" s="288" t="s">
        <v>107</v>
      </c>
      <c r="F268" s="289">
        <v>45934</v>
      </c>
      <c r="G268" s="290" t="s">
        <v>1952</v>
      </c>
      <c r="H268" s="291" t="s">
        <v>2600</v>
      </c>
      <c r="I268" s="290" t="s">
        <v>1984</v>
      </c>
      <c r="J268" s="387">
        <v>122511102225</v>
      </c>
      <c r="K268" s="289">
        <v>45934</v>
      </c>
      <c r="L268" s="291" t="s">
        <v>1991</v>
      </c>
      <c r="M268" s="289">
        <v>45934</v>
      </c>
      <c r="N268" s="291" t="s">
        <v>255</v>
      </c>
      <c r="O268" s="296" t="s">
        <v>1930</v>
      </c>
      <c r="P268" s="291" t="s">
        <v>500</v>
      </c>
      <c r="Q268" s="291" t="s">
        <v>2607</v>
      </c>
      <c r="R268" s="458">
        <v>8150</v>
      </c>
      <c r="S268" s="404">
        <v>32.1</v>
      </c>
      <c r="T268" s="459">
        <f t="shared" si="90"/>
        <v>261615</v>
      </c>
      <c r="U268" s="298"/>
      <c r="V268" s="288" t="s">
        <v>3288</v>
      </c>
      <c r="W268" s="296" t="str">
        <f t="shared" si="95"/>
        <v>Jan-00</v>
      </c>
      <c r="X268" s="293"/>
      <c r="Y268" s="293"/>
      <c r="Z268" s="318"/>
      <c r="AA268" s="293"/>
      <c r="AB268" s="293"/>
      <c r="AC268" s="298"/>
      <c r="AD268" s="298"/>
      <c r="AE268" s="512"/>
      <c r="AF268" s="513"/>
      <c r="AG268" s="514"/>
      <c r="AH268" s="514"/>
      <c r="AI268" s="514">
        <f t="shared" si="91"/>
        <v>0</v>
      </c>
      <c r="AJ268" s="514">
        <v>0</v>
      </c>
      <c r="AK268" s="514">
        <f t="shared" si="92"/>
        <v>0</v>
      </c>
      <c r="AL268" s="514"/>
      <c r="AM268" s="515"/>
      <c r="AN268" s="299"/>
      <c r="AO268" s="296">
        <f t="shared" si="96"/>
        <v>0</v>
      </c>
      <c r="AP268" s="274"/>
      <c r="AQ268" s="305"/>
      <c r="AR268" s="275">
        <f t="shared" si="97"/>
        <v>0</v>
      </c>
      <c r="AS268" s="280"/>
    </row>
    <row r="269" spans="2:45" x14ac:dyDescent="0.3">
      <c r="B269" s="287">
        <f t="shared" si="93"/>
        <v>265</v>
      </c>
      <c r="C269" s="272" t="s">
        <v>174</v>
      </c>
      <c r="D269" s="288" t="str">
        <f t="shared" si="94"/>
        <v>Oct-25</v>
      </c>
      <c r="E269" s="288" t="s">
        <v>107</v>
      </c>
      <c r="F269" s="289">
        <v>45934</v>
      </c>
      <c r="G269" s="290" t="s">
        <v>1953</v>
      </c>
      <c r="H269" s="291" t="s">
        <v>2600</v>
      </c>
      <c r="I269" s="290" t="s">
        <v>1984</v>
      </c>
      <c r="J269" s="387">
        <v>122511102252</v>
      </c>
      <c r="K269" s="289">
        <v>45934</v>
      </c>
      <c r="L269" s="291" t="s">
        <v>1992</v>
      </c>
      <c r="M269" s="289">
        <v>45934</v>
      </c>
      <c r="N269" s="291" t="s">
        <v>255</v>
      </c>
      <c r="O269" s="296" t="s">
        <v>989</v>
      </c>
      <c r="P269" s="291" t="s">
        <v>500</v>
      </c>
      <c r="Q269" s="291" t="s">
        <v>2607</v>
      </c>
      <c r="R269" s="458">
        <v>8830</v>
      </c>
      <c r="S269" s="404">
        <v>32.1</v>
      </c>
      <c r="T269" s="459">
        <f t="shared" si="90"/>
        <v>283443</v>
      </c>
      <c r="U269" s="298"/>
      <c r="V269" s="288" t="s">
        <v>3288</v>
      </c>
      <c r="W269" s="296" t="str">
        <f t="shared" si="95"/>
        <v>Jan-00</v>
      </c>
      <c r="X269" s="293"/>
      <c r="Y269" s="293"/>
      <c r="Z269" s="318"/>
      <c r="AA269" s="293"/>
      <c r="AB269" s="293"/>
      <c r="AC269" s="298"/>
      <c r="AD269" s="298"/>
      <c r="AE269" s="512"/>
      <c r="AF269" s="513"/>
      <c r="AG269" s="514"/>
      <c r="AH269" s="514"/>
      <c r="AI269" s="514">
        <f t="shared" si="91"/>
        <v>0</v>
      </c>
      <c r="AJ269" s="514">
        <v>0</v>
      </c>
      <c r="AK269" s="514">
        <f t="shared" si="92"/>
        <v>0</v>
      </c>
      <c r="AL269" s="514"/>
      <c r="AM269" s="515"/>
      <c r="AN269" s="299"/>
      <c r="AO269" s="296">
        <f t="shared" si="96"/>
        <v>0</v>
      </c>
      <c r="AP269" s="274"/>
      <c r="AQ269" s="305"/>
      <c r="AR269" s="275">
        <f t="shared" si="97"/>
        <v>0</v>
      </c>
      <c r="AS269" s="280"/>
    </row>
    <row r="270" spans="2:45" x14ac:dyDescent="0.3">
      <c r="B270" s="287">
        <f t="shared" si="93"/>
        <v>266</v>
      </c>
      <c r="C270" s="272" t="s">
        <v>174</v>
      </c>
      <c r="D270" s="288" t="str">
        <f t="shared" si="94"/>
        <v>Oct-25</v>
      </c>
      <c r="E270" s="288" t="s">
        <v>107</v>
      </c>
      <c r="F270" s="289">
        <v>45934</v>
      </c>
      <c r="G270" s="290" t="s">
        <v>1954</v>
      </c>
      <c r="H270" s="291" t="s">
        <v>2596</v>
      </c>
      <c r="I270" s="290" t="s">
        <v>2616</v>
      </c>
      <c r="J270" s="387" t="s">
        <v>1993</v>
      </c>
      <c r="K270" s="289">
        <v>45934</v>
      </c>
      <c r="L270" s="291" t="s">
        <v>1994</v>
      </c>
      <c r="M270" s="289">
        <v>45935</v>
      </c>
      <c r="N270" s="291" t="s">
        <v>255</v>
      </c>
      <c r="O270" s="296" t="s">
        <v>1898</v>
      </c>
      <c r="P270" s="291" t="s">
        <v>501</v>
      </c>
      <c r="Q270" s="291" t="s">
        <v>2601</v>
      </c>
      <c r="R270" s="458">
        <v>6410</v>
      </c>
      <c r="S270" s="404">
        <v>33</v>
      </c>
      <c r="T270" s="459">
        <f t="shared" si="90"/>
        <v>211530</v>
      </c>
      <c r="U270" s="298"/>
      <c r="V270" s="288" t="s">
        <v>3288</v>
      </c>
      <c r="W270" s="296" t="str">
        <f t="shared" si="95"/>
        <v>Jan-00</v>
      </c>
      <c r="X270" s="293"/>
      <c r="Y270" s="293"/>
      <c r="Z270" s="318"/>
      <c r="AA270" s="293"/>
      <c r="AB270" s="293"/>
      <c r="AC270" s="298"/>
      <c r="AD270" s="298"/>
      <c r="AE270" s="512"/>
      <c r="AF270" s="513"/>
      <c r="AG270" s="514"/>
      <c r="AH270" s="514"/>
      <c r="AI270" s="514">
        <f t="shared" si="91"/>
        <v>0</v>
      </c>
      <c r="AJ270" s="514">
        <v>0</v>
      </c>
      <c r="AK270" s="514">
        <f t="shared" si="92"/>
        <v>0</v>
      </c>
      <c r="AL270" s="514"/>
      <c r="AM270" s="515"/>
      <c r="AN270" s="299"/>
      <c r="AO270" s="296">
        <f t="shared" si="96"/>
        <v>0</v>
      </c>
      <c r="AP270" s="274"/>
      <c r="AQ270" s="305"/>
      <c r="AR270" s="275">
        <f t="shared" si="97"/>
        <v>0</v>
      </c>
      <c r="AS270" s="280"/>
    </row>
    <row r="271" spans="2:45" x14ac:dyDescent="0.3">
      <c r="B271" s="287">
        <f t="shared" si="93"/>
        <v>267</v>
      </c>
      <c r="C271" s="272" t="s">
        <v>174</v>
      </c>
      <c r="D271" s="288" t="str">
        <f t="shared" si="94"/>
        <v>Oct-25</v>
      </c>
      <c r="E271" s="288" t="s">
        <v>107</v>
      </c>
      <c r="F271" s="289">
        <v>45934</v>
      </c>
      <c r="G271" s="290" t="s">
        <v>1951</v>
      </c>
      <c r="H271" s="291" t="s">
        <v>2598</v>
      </c>
      <c r="I271" s="290" t="s">
        <v>401</v>
      </c>
      <c r="J271" s="387">
        <v>4252002661</v>
      </c>
      <c r="K271" s="289">
        <v>45934</v>
      </c>
      <c r="L271" s="291" t="s">
        <v>1990</v>
      </c>
      <c r="M271" s="289">
        <v>45934</v>
      </c>
      <c r="N271" s="291" t="s">
        <v>255</v>
      </c>
      <c r="O271" s="296" t="s">
        <v>631</v>
      </c>
      <c r="P271" s="291" t="s">
        <v>501</v>
      </c>
      <c r="Q271" s="291" t="s">
        <v>2608</v>
      </c>
      <c r="R271" s="458">
        <v>14890</v>
      </c>
      <c r="S271" s="404">
        <v>32.799999999999997</v>
      </c>
      <c r="T271" s="459">
        <f t="shared" si="90"/>
        <v>488391.99999999994</v>
      </c>
      <c r="U271" s="298"/>
      <c r="V271" s="288" t="s">
        <v>3288</v>
      </c>
      <c r="W271" s="296" t="str">
        <f t="shared" si="95"/>
        <v>Jan-00</v>
      </c>
      <c r="X271" s="293"/>
      <c r="Y271" s="293"/>
      <c r="Z271" s="318"/>
      <c r="AA271" s="293"/>
      <c r="AB271" s="293"/>
      <c r="AC271" s="298"/>
      <c r="AD271" s="298"/>
      <c r="AE271" s="512"/>
      <c r="AF271" s="513"/>
      <c r="AG271" s="514"/>
      <c r="AH271" s="514"/>
      <c r="AI271" s="514">
        <f t="shared" si="91"/>
        <v>0</v>
      </c>
      <c r="AJ271" s="514">
        <v>0</v>
      </c>
      <c r="AK271" s="514">
        <f t="shared" si="92"/>
        <v>0</v>
      </c>
      <c r="AL271" s="514"/>
      <c r="AM271" s="515"/>
      <c r="AN271" s="299"/>
      <c r="AO271" s="296">
        <f t="shared" si="96"/>
        <v>0</v>
      </c>
      <c r="AP271" s="274"/>
      <c r="AQ271" s="305"/>
      <c r="AR271" s="275">
        <f t="shared" si="97"/>
        <v>0</v>
      </c>
      <c r="AS271" s="280"/>
    </row>
    <row r="272" spans="2:45" x14ac:dyDescent="0.3">
      <c r="B272" s="287">
        <f t="shared" si="93"/>
        <v>268</v>
      </c>
      <c r="C272" s="272" t="s">
        <v>174</v>
      </c>
      <c r="D272" s="288" t="str">
        <f t="shared" si="94"/>
        <v>Oct-25</v>
      </c>
      <c r="E272" s="288" t="s">
        <v>107</v>
      </c>
      <c r="F272" s="289">
        <v>45934</v>
      </c>
      <c r="G272" s="290" t="s">
        <v>1955</v>
      </c>
      <c r="H272" s="291" t="s">
        <v>2598</v>
      </c>
      <c r="I272" s="290" t="s">
        <v>401</v>
      </c>
      <c r="J272" s="387">
        <v>8252001766</v>
      </c>
      <c r="K272" s="289">
        <v>45934</v>
      </c>
      <c r="L272" s="291" t="s">
        <v>1995</v>
      </c>
      <c r="M272" s="289">
        <v>45935</v>
      </c>
      <c r="N272" s="291" t="s">
        <v>255</v>
      </c>
      <c r="O272" s="296" t="s">
        <v>1494</v>
      </c>
      <c r="P272" s="291" t="s">
        <v>501</v>
      </c>
      <c r="Q272" s="291" t="s">
        <v>2608</v>
      </c>
      <c r="R272" s="458">
        <v>31120</v>
      </c>
      <c r="S272" s="404">
        <v>32.799999999999997</v>
      </c>
      <c r="T272" s="459">
        <f t="shared" si="90"/>
        <v>1020735.9999999999</v>
      </c>
      <c r="U272" s="298"/>
      <c r="V272" s="288" t="s">
        <v>3288</v>
      </c>
      <c r="W272" s="296" t="str">
        <f t="shared" si="95"/>
        <v>Jan-00</v>
      </c>
      <c r="X272" s="293"/>
      <c r="Y272" s="293"/>
      <c r="Z272" s="318"/>
      <c r="AA272" s="293"/>
      <c r="AB272" s="293"/>
      <c r="AC272" s="298"/>
      <c r="AD272" s="298"/>
      <c r="AE272" s="512"/>
      <c r="AF272" s="513"/>
      <c r="AG272" s="514"/>
      <c r="AH272" s="514"/>
      <c r="AI272" s="514">
        <f t="shared" si="91"/>
        <v>0</v>
      </c>
      <c r="AJ272" s="514">
        <v>0</v>
      </c>
      <c r="AK272" s="514">
        <f t="shared" si="92"/>
        <v>0</v>
      </c>
      <c r="AL272" s="514"/>
      <c r="AM272" s="515"/>
      <c r="AN272" s="299"/>
      <c r="AO272" s="296">
        <f t="shared" si="96"/>
        <v>0</v>
      </c>
      <c r="AP272" s="274"/>
      <c r="AQ272" s="305"/>
      <c r="AR272" s="275">
        <f t="shared" si="97"/>
        <v>0</v>
      </c>
      <c r="AS272" s="280"/>
    </row>
    <row r="273" spans="2:45" x14ac:dyDescent="0.3">
      <c r="B273" s="287">
        <f t="shared" si="93"/>
        <v>269</v>
      </c>
      <c r="C273" s="272" t="s">
        <v>174</v>
      </c>
      <c r="D273" s="288" t="str">
        <f t="shared" si="94"/>
        <v>Oct-25</v>
      </c>
      <c r="E273" s="288" t="s">
        <v>107</v>
      </c>
      <c r="F273" s="289">
        <v>45934</v>
      </c>
      <c r="G273" s="290" t="s">
        <v>1960</v>
      </c>
      <c r="H273" s="291" t="s">
        <v>2596</v>
      </c>
      <c r="I273" s="290" t="s">
        <v>2616</v>
      </c>
      <c r="J273" s="387" t="s">
        <v>2000</v>
      </c>
      <c r="K273" s="289">
        <v>45934</v>
      </c>
      <c r="L273" s="291" t="s">
        <v>2001</v>
      </c>
      <c r="M273" s="289">
        <v>45936</v>
      </c>
      <c r="N273" s="291" t="s">
        <v>255</v>
      </c>
      <c r="O273" s="296" t="s">
        <v>2002</v>
      </c>
      <c r="P273" s="291" t="s">
        <v>501</v>
      </c>
      <c r="Q273" s="291" t="s">
        <v>2601</v>
      </c>
      <c r="R273" s="458">
        <v>6190</v>
      </c>
      <c r="S273" s="404">
        <v>33</v>
      </c>
      <c r="T273" s="459">
        <f t="shared" si="90"/>
        <v>204270</v>
      </c>
      <c r="U273" s="298"/>
      <c r="V273" s="288" t="s">
        <v>3288</v>
      </c>
      <c r="W273" s="296" t="str">
        <f t="shared" si="95"/>
        <v>Jan-00</v>
      </c>
      <c r="X273" s="293"/>
      <c r="Y273" s="293"/>
      <c r="Z273" s="318"/>
      <c r="AA273" s="293"/>
      <c r="AB273" s="293"/>
      <c r="AC273" s="298"/>
      <c r="AD273" s="298"/>
      <c r="AE273" s="512"/>
      <c r="AF273" s="513"/>
      <c r="AG273" s="514"/>
      <c r="AH273" s="514"/>
      <c r="AI273" s="514">
        <f t="shared" si="91"/>
        <v>0</v>
      </c>
      <c r="AJ273" s="514">
        <v>0</v>
      </c>
      <c r="AK273" s="514">
        <f t="shared" si="92"/>
        <v>0</v>
      </c>
      <c r="AL273" s="514"/>
      <c r="AM273" s="515"/>
      <c r="AN273" s="299"/>
      <c r="AO273" s="296">
        <f t="shared" si="96"/>
        <v>0</v>
      </c>
      <c r="AP273" s="274"/>
      <c r="AQ273" s="305"/>
      <c r="AR273" s="275">
        <f t="shared" si="97"/>
        <v>0</v>
      </c>
      <c r="AS273" s="280"/>
    </row>
    <row r="274" spans="2:45" x14ac:dyDescent="0.3">
      <c r="B274" s="287">
        <f t="shared" si="93"/>
        <v>270</v>
      </c>
      <c r="C274" s="272" t="s">
        <v>174</v>
      </c>
      <c r="D274" s="288" t="str">
        <f t="shared" si="94"/>
        <v>Oct-25</v>
      </c>
      <c r="E274" s="288" t="s">
        <v>107</v>
      </c>
      <c r="F274" s="289">
        <v>45935</v>
      </c>
      <c r="G274" s="290" t="s">
        <v>1956</v>
      </c>
      <c r="H274" s="291" t="s">
        <v>2600</v>
      </c>
      <c r="I274" s="290" t="s">
        <v>1984</v>
      </c>
      <c r="J274" s="387">
        <v>122511102883</v>
      </c>
      <c r="K274" s="289">
        <v>45935</v>
      </c>
      <c r="L274" s="291" t="s">
        <v>1996</v>
      </c>
      <c r="M274" s="289">
        <v>45935</v>
      </c>
      <c r="N274" s="291" t="s">
        <v>255</v>
      </c>
      <c r="O274" s="296" t="s">
        <v>992</v>
      </c>
      <c r="P274" s="291" t="s">
        <v>500</v>
      </c>
      <c r="Q274" s="291" t="s">
        <v>2607</v>
      </c>
      <c r="R274" s="458">
        <v>10320</v>
      </c>
      <c r="S274" s="404">
        <v>32.1</v>
      </c>
      <c r="T274" s="459">
        <f t="shared" si="90"/>
        <v>331272</v>
      </c>
      <c r="U274" s="298"/>
      <c r="V274" s="288" t="s">
        <v>3288</v>
      </c>
      <c r="W274" s="296" t="str">
        <f t="shared" si="95"/>
        <v>Jan-00</v>
      </c>
      <c r="X274" s="293"/>
      <c r="Y274" s="293"/>
      <c r="Z274" s="318"/>
      <c r="AA274" s="293"/>
      <c r="AB274" s="293"/>
      <c r="AC274" s="298"/>
      <c r="AD274" s="298"/>
      <c r="AE274" s="512"/>
      <c r="AF274" s="513"/>
      <c r="AG274" s="514"/>
      <c r="AH274" s="514"/>
      <c r="AI274" s="514">
        <f t="shared" si="91"/>
        <v>0</v>
      </c>
      <c r="AJ274" s="514">
        <v>0</v>
      </c>
      <c r="AK274" s="514">
        <f t="shared" si="92"/>
        <v>0</v>
      </c>
      <c r="AL274" s="514"/>
      <c r="AM274" s="515"/>
      <c r="AN274" s="299"/>
      <c r="AO274" s="296">
        <f t="shared" si="96"/>
        <v>0</v>
      </c>
      <c r="AP274" s="274"/>
      <c r="AQ274" s="305"/>
      <c r="AR274" s="275">
        <f t="shared" si="97"/>
        <v>0</v>
      </c>
      <c r="AS274" s="280"/>
    </row>
    <row r="275" spans="2:45" x14ac:dyDescent="0.3">
      <c r="B275" s="287">
        <f t="shared" si="93"/>
        <v>271</v>
      </c>
      <c r="C275" s="272" t="s">
        <v>174</v>
      </c>
      <c r="D275" s="288" t="str">
        <f t="shared" si="94"/>
        <v>Oct-25</v>
      </c>
      <c r="E275" s="288" t="s">
        <v>107</v>
      </c>
      <c r="F275" s="289">
        <v>45935</v>
      </c>
      <c r="G275" s="290" t="s">
        <v>1957</v>
      </c>
      <c r="H275" s="291" t="s">
        <v>2600</v>
      </c>
      <c r="I275" s="290" t="s">
        <v>1984</v>
      </c>
      <c r="J275" s="387">
        <v>122511102933</v>
      </c>
      <c r="K275" s="289">
        <v>45935</v>
      </c>
      <c r="L275" s="291" t="s">
        <v>1997</v>
      </c>
      <c r="M275" s="289">
        <v>45935</v>
      </c>
      <c r="N275" s="291" t="s">
        <v>255</v>
      </c>
      <c r="O275" s="296" t="s">
        <v>708</v>
      </c>
      <c r="P275" s="291" t="s">
        <v>500</v>
      </c>
      <c r="Q275" s="291" t="s">
        <v>2607</v>
      </c>
      <c r="R275" s="458">
        <v>8220</v>
      </c>
      <c r="S275" s="404">
        <v>32.1</v>
      </c>
      <c r="T275" s="459">
        <f t="shared" si="90"/>
        <v>263862</v>
      </c>
      <c r="U275" s="298"/>
      <c r="V275" s="288" t="s">
        <v>3288</v>
      </c>
      <c r="W275" s="296" t="str">
        <f t="shared" si="95"/>
        <v>Jan-00</v>
      </c>
      <c r="X275" s="293"/>
      <c r="Y275" s="293"/>
      <c r="Z275" s="318"/>
      <c r="AA275" s="293"/>
      <c r="AB275" s="293"/>
      <c r="AC275" s="298"/>
      <c r="AD275" s="298"/>
      <c r="AE275" s="512"/>
      <c r="AF275" s="513"/>
      <c r="AG275" s="514"/>
      <c r="AH275" s="514"/>
      <c r="AI275" s="514">
        <f t="shared" si="91"/>
        <v>0</v>
      </c>
      <c r="AJ275" s="514">
        <v>0</v>
      </c>
      <c r="AK275" s="514">
        <f t="shared" si="92"/>
        <v>0</v>
      </c>
      <c r="AL275" s="514"/>
      <c r="AM275" s="515"/>
      <c r="AN275" s="299"/>
      <c r="AO275" s="296">
        <f t="shared" si="96"/>
        <v>0</v>
      </c>
      <c r="AP275" s="274"/>
      <c r="AQ275" s="305"/>
      <c r="AR275" s="275">
        <f t="shared" si="97"/>
        <v>0</v>
      </c>
      <c r="AS275" s="280"/>
    </row>
    <row r="276" spans="2:45" x14ac:dyDescent="0.3">
      <c r="B276" s="287">
        <f t="shared" si="93"/>
        <v>272</v>
      </c>
      <c r="C276" s="272" t="s">
        <v>174</v>
      </c>
      <c r="D276" s="288" t="str">
        <f t="shared" si="94"/>
        <v>Oct-25</v>
      </c>
      <c r="E276" s="288" t="s">
        <v>107</v>
      </c>
      <c r="F276" s="289">
        <v>45935</v>
      </c>
      <c r="G276" s="290" t="s">
        <v>1958</v>
      </c>
      <c r="H276" s="291" t="s">
        <v>2598</v>
      </c>
      <c r="I276" s="290" t="s">
        <v>401</v>
      </c>
      <c r="J276" s="387">
        <v>4252002666</v>
      </c>
      <c r="K276" s="289">
        <v>45935</v>
      </c>
      <c r="L276" s="291" t="s">
        <v>1998</v>
      </c>
      <c r="M276" s="289">
        <v>45935</v>
      </c>
      <c r="N276" s="291" t="s">
        <v>255</v>
      </c>
      <c r="O276" s="296" t="s">
        <v>314</v>
      </c>
      <c r="P276" s="291" t="s">
        <v>501</v>
      </c>
      <c r="Q276" s="291" t="s">
        <v>2608</v>
      </c>
      <c r="R276" s="458">
        <v>9550</v>
      </c>
      <c r="S276" s="404">
        <v>32.799999999999997</v>
      </c>
      <c r="T276" s="459">
        <f t="shared" si="90"/>
        <v>313240</v>
      </c>
      <c r="U276" s="298"/>
      <c r="V276" s="288" t="s">
        <v>3288</v>
      </c>
      <c r="W276" s="296" t="str">
        <f t="shared" si="95"/>
        <v>Jan-00</v>
      </c>
      <c r="X276" s="293"/>
      <c r="Y276" s="293"/>
      <c r="Z276" s="318"/>
      <c r="AA276" s="293"/>
      <c r="AB276" s="293"/>
      <c r="AC276" s="298"/>
      <c r="AD276" s="298"/>
      <c r="AE276" s="512"/>
      <c r="AF276" s="513"/>
      <c r="AG276" s="514"/>
      <c r="AH276" s="514"/>
      <c r="AI276" s="514">
        <f t="shared" si="91"/>
        <v>0</v>
      </c>
      <c r="AJ276" s="514">
        <v>0</v>
      </c>
      <c r="AK276" s="514">
        <f t="shared" si="92"/>
        <v>0</v>
      </c>
      <c r="AL276" s="514"/>
      <c r="AM276" s="515"/>
      <c r="AN276" s="299"/>
      <c r="AO276" s="296">
        <f t="shared" si="96"/>
        <v>0</v>
      </c>
      <c r="AP276" s="274"/>
      <c r="AQ276" s="305"/>
      <c r="AR276" s="275">
        <f t="shared" si="97"/>
        <v>0</v>
      </c>
      <c r="AS276" s="280"/>
    </row>
    <row r="277" spans="2:45" x14ac:dyDescent="0.3">
      <c r="B277" s="287">
        <f t="shared" si="93"/>
        <v>273</v>
      </c>
      <c r="C277" s="272" t="s">
        <v>174</v>
      </c>
      <c r="D277" s="288" t="str">
        <f t="shared" si="94"/>
        <v>Oct-25</v>
      </c>
      <c r="E277" s="288" t="s">
        <v>107</v>
      </c>
      <c r="F277" s="289">
        <v>45935</v>
      </c>
      <c r="G277" s="290" t="s">
        <v>1959</v>
      </c>
      <c r="H277" s="291" t="s">
        <v>2598</v>
      </c>
      <c r="I277" s="290" t="s">
        <v>401</v>
      </c>
      <c r="J277" s="387">
        <v>8252001768</v>
      </c>
      <c r="K277" s="289">
        <v>45935</v>
      </c>
      <c r="L277" s="291" t="s">
        <v>1999</v>
      </c>
      <c r="M277" s="289">
        <v>45935</v>
      </c>
      <c r="N277" s="291" t="s">
        <v>255</v>
      </c>
      <c r="O277" s="296" t="s">
        <v>1445</v>
      </c>
      <c r="P277" s="291" t="s">
        <v>501</v>
      </c>
      <c r="Q277" s="291" t="s">
        <v>2608</v>
      </c>
      <c r="R277" s="458">
        <v>23400</v>
      </c>
      <c r="S277" s="404">
        <v>32.799999999999997</v>
      </c>
      <c r="T277" s="459">
        <f t="shared" si="90"/>
        <v>767519.99999999988</v>
      </c>
      <c r="U277" s="298"/>
      <c r="V277" s="288" t="s">
        <v>3288</v>
      </c>
      <c r="W277" s="296" t="str">
        <f t="shared" si="95"/>
        <v>Jan-00</v>
      </c>
      <c r="X277" s="293"/>
      <c r="Y277" s="293"/>
      <c r="Z277" s="318"/>
      <c r="AA277" s="293"/>
      <c r="AB277" s="293"/>
      <c r="AC277" s="298"/>
      <c r="AD277" s="298"/>
      <c r="AE277" s="512"/>
      <c r="AF277" s="513"/>
      <c r="AG277" s="514"/>
      <c r="AH277" s="514"/>
      <c r="AI277" s="514">
        <f t="shared" si="91"/>
        <v>0</v>
      </c>
      <c r="AJ277" s="514">
        <v>0</v>
      </c>
      <c r="AK277" s="514">
        <f t="shared" si="92"/>
        <v>0</v>
      </c>
      <c r="AL277" s="514"/>
      <c r="AM277" s="515"/>
      <c r="AN277" s="299"/>
      <c r="AO277" s="296">
        <f t="shared" si="96"/>
        <v>0</v>
      </c>
      <c r="AP277" s="274"/>
      <c r="AQ277" s="305"/>
      <c r="AR277" s="275">
        <f t="shared" si="97"/>
        <v>0</v>
      </c>
      <c r="AS277" s="280"/>
    </row>
    <row r="278" spans="2:45" x14ac:dyDescent="0.3">
      <c r="B278" s="287">
        <f t="shared" si="93"/>
        <v>274</v>
      </c>
      <c r="C278" s="272" t="s">
        <v>174</v>
      </c>
      <c r="D278" s="288" t="str">
        <f t="shared" si="94"/>
        <v>Oct-25</v>
      </c>
      <c r="E278" s="288" t="s">
        <v>107</v>
      </c>
      <c r="F278" s="289">
        <v>45936</v>
      </c>
      <c r="G278" s="290" t="s">
        <v>2007</v>
      </c>
      <c r="H278" s="291" t="s">
        <v>2600</v>
      </c>
      <c r="I278" s="290" t="s">
        <v>1984</v>
      </c>
      <c r="J278" s="387">
        <v>122511103501</v>
      </c>
      <c r="K278" s="289">
        <v>45936</v>
      </c>
      <c r="L278" s="291" t="s">
        <v>2055</v>
      </c>
      <c r="M278" s="289">
        <v>45936</v>
      </c>
      <c r="N278" s="291" t="s">
        <v>255</v>
      </c>
      <c r="O278" s="296" t="s">
        <v>708</v>
      </c>
      <c r="P278" s="291" t="s">
        <v>500</v>
      </c>
      <c r="Q278" s="291" t="s">
        <v>2607</v>
      </c>
      <c r="R278" s="458">
        <v>8330</v>
      </c>
      <c r="S278" s="404">
        <v>32.1</v>
      </c>
      <c r="T278" s="459">
        <f t="shared" si="90"/>
        <v>267393</v>
      </c>
      <c r="U278" s="298"/>
      <c r="V278" s="288" t="s">
        <v>3288</v>
      </c>
      <c r="W278" s="296" t="str">
        <f t="shared" si="95"/>
        <v>Jan-00</v>
      </c>
      <c r="X278" s="293"/>
      <c r="Y278" s="293"/>
      <c r="Z278" s="318"/>
      <c r="AA278" s="293"/>
      <c r="AB278" s="293"/>
      <c r="AC278" s="298"/>
      <c r="AD278" s="298"/>
      <c r="AE278" s="512"/>
      <c r="AF278" s="513"/>
      <c r="AG278" s="514"/>
      <c r="AH278" s="514"/>
      <c r="AI278" s="514">
        <f t="shared" si="91"/>
        <v>0</v>
      </c>
      <c r="AJ278" s="514">
        <v>0</v>
      </c>
      <c r="AK278" s="514">
        <f t="shared" si="92"/>
        <v>0</v>
      </c>
      <c r="AL278" s="514"/>
      <c r="AM278" s="515"/>
      <c r="AN278" s="299"/>
      <c r="AO278" s="296">
        <f t="shared" si="96"/>
        <v>0</v>
      </c>
      <c r="AP278" s="274"/>
      <c r="AQ278" s="305"/>
      <c r="AR278" s="275">
        <f t="shared" si="97"/>
        <v>0</v>
      </c>
      <c r="AS278" s="280"/>
    </row>
    <row r="279" spans="2:45" x14ac:dyDescent="0.3">
      <c r="B279" s="287">
        <f t="shared" si="93"/>
        <v>275</v>
      </c>
      <c r="C279" s="272" t="s">
        <v>174</v>
      </c>
      <c r="D279" s="288" t="str">
        <f t="shared" si="94"/>
        <v>Oct-25</v>
      </c>
      <c r="E279" s="288" t="s">
        <v>107</v>
      </c>
      <c r="F279" s="289">
        <v>45936</v>
      </c>
      <c r="G279" s="290" t="s">
        <v>2008</v>
      </c>
      <c r="H279" s="291" t="s">
        <v>2600</v>
      </c>
      <c r="I279" s="290" t="s">
        <v>1984</v>
      </c>
      <c r="J279" s="387">
        <v>122511103558</v>
      </c>
      <c r="K279" s="289">
        <v>45936</v>
      </c>
      <c r="L279" s="291" t="s">
        <v>2056</v>
      </c>
      <c r="M279" s="289">
        <v>45936</v>
      </c>
      <c r="N279" s="291" t="s">
        <v>255</v>
      </c>
      <c r="O279" s="296" t="s">
        <v>989</v>
      </c>
      <c r="P279" s="291" t="s">
        <v>500</v>
      </c>
      <c r="Q279" s="291" t="s">
        <v>2607</v>
      </c>
      <c r="R279" s="458">
        <v>7720</v>
      </c>
      <c r="S279" s="404">
        <v>32.1</v>
      </c>
      <c r="T279" s="459">
        <f t="shared" si="90"/>
        <v>247812</v>
      </c>
      <c r="U279" s="298"/>
      <c r="V279" s="288" t="s">
        <v>3288</v>
      </c>
      <c r="W279" s="296" t="str">
        <f t="shared" si="95"/>
        <v>Jan-00</v>
      </c>
      <c r="X279" s="293"/>
      <c r="Y279" s="293"/>
      <c r="Z279" s="318"/>
      <c r="AA279" s="293"/>
      <c r="AB279" s="293"/>
      <c r="AC279" s="298"/>
      <c r="AD279" s="298"/>
      <c r="AE279" s="512"/>
      <c r="AF279" s="513"/>
      <c r="AG279" s="514"/>
      <c r="AH279" s="514"/>
      <c r="AI279" s="514">
        <f t="shared" si="91"/>
        <v>0</v>
      </c>
      <c r="AJ279" s="514">
        <v>0</v>
      </c>
      <c r="AK279" s="514">
        <f t="shared" si="92"/>
        <v>0</v>
      </c>
      <c r="AL279" s="514"/>
      <c r="AM279" s="515"/>
      <c r="AN279" s="299"/>
      <c r="AO279" s="296">
        <f t="shared" si="96"/>
        <v>0</v>
      </c>
      <c r="AP279" s="274"/>
      <c r="AQ279" s="305"/>
      <c r="AR279" s="275">
        <f t="shared" si="97"/>
        <v>0</v>
      </c>
      <c r="AS279" s="280"/>
    </row>
    <row r="280" spans="2:45" x14ac:dyDescent="0.3">
      <c r="B280" s="287">
        <f t="shared" si="93"/>
        <v>276</v>
      </c>
      <c r="C280" s="272" t="s">
        <v>174</v>
      </c>
      <c r="D280" s="288" t="str">
        <f t="shared" si="94"/>
        <v>Oct-25</v>
      </c>
      <c r="E280" s="288" t="s">
        <v>107</v>
      </c>
      <c r="F280" s="289">
        <v>45936</v>
      </c>
      <c r="G280" s="290" t="s">
        <v>2009</v>
      </c>
      <c r="H280" s="291" t="s">
        <v>2600</v>
      </c>
      <c r="I280" s="290" t="s">
        <v>1984</v>
      </c>
      <c r="J280" s="387">
        <v>122511103580</v>
      </c>
      <c r="K280" s="289">
        <v>45936</v>
      </c>
      <c r="L280" s="291" t="s">
        <v>2057</v>
      </c>
      <c r="M280" s="289">
        <v>45936</v>
      </c>
      <c r="N280" s="291" t="s">
        <v>255</v>
      </c>
      <c r="O280" s="296" t="s">
        <v>992</v>
      </c>
      <c r="P280" s="291" t="s">
        <v>500</v>
      </c>
      <c r="Q280" s="291" t="s">
        <v>2607</v>
      </c>
      <c r="R280" s="458">
        <v>8390</v>
      </c>
      <c r="S280" s="404">
        <v>32.1</v>
      </c>
      <c r="T280" s="459">
        <f t="shared" si="90"/>
        <v>269319</v>
      </c>
      <c r="U280" s="298"/>
      <c r="V280" s="288" t="s">
        <v>3288</v>
      </c>
      <c r="W280" s="296" t="str">
        <f t="shared" si="95"/>
        <v>Jan-00</v>
      </c>
      <c r="X280" s="293"/>
      <c r="Y280" s="293"/>
      <c r="Z280" s="318"/>
      <c r="AA280" s="293"/>
      <c r="AB280" s="293"/>
      <c r="AC280" s="298"/>
      <c r="AD280" s="298"/>
      <c r="AE280" s="512"/>
      <c r="AF280" s="513"/>
      <c r="AG280" s="514"/>
      <c r="AH280" s="514"/>
      <c r="AI280" s="514">
        <f t="shared" si="91"/>
        <v>0</v>
      </c>
      <c r="AJ280" s="514">
        <v>0</v>
      </c>
      <c r="AK280" s="514">
        <f t="shared" si="92"/>
        <v>0</v>
      </c>
      <c r="AL280" s="514"/>
      <c r="AM280" s="515"/>
      <c r="AN280" s="299"/>
      <c r="AO280" s="296">
        <f t="shared" si="96"/>
        <v>0</v>
      </c>
      <c r="AP280" s="274"/>
      <c r="AQ280" s="305"/>
      <c r="AR280" s="275">
        <f t="shared" si="97"/>
        <v>0</v>
      </c>
      <c r="AS280" s="280"/>
    </row>
    <row r="281" spans="2:45" x14ac:dyDescent="0.3">
      <c r="B281" s="287">
        <f t="shared" si="93"/>
        <v>277</v>
      </c>
      <c r="C281" s="272" t="s">
        <v>174</v>
      </c>
      <c r="D281" s="288" t="str">
        <f t="shared" si="94"/>
        <v>Oct-25</v>
      </c>
      <c r="E281" s="288" t="s">
        <v>107</v>
      </c>
      <c r="F281" s="289">
        <v>45936</v>
      </c>
      <c r="G281" s="290" t="s">
        <v>2012</v>
      </c>
      <c r="H281" s="291" t="s">
        <v>2599</v>
      </c>
      <c r="I281" s="290" t="s">
        <v>1672</v>
      </c>
      <c r="J281" s="387">
        <v>2526031506</v>
      </c>
      <c r="K281" s="289">
        <v>45936</v>
      </c>
      <c r="L281" s="291" t="s">
        <v>2060</v>
      </c>
      <c r="M281" s="289">
        <v>45937</v>
      </c>
      <c r="N281" s="291" t="s">
        <v>255</v>
      </c>
      <c r="O281" s="296" t="s">
        <v>1930</v>
      </c>
      <c r="P281" s="291" t="s">
        <v>500</v>
      </c>
      <c r="Q281" s="291" t="s">
        <v>2607</v>
      </c>
      <c r="R281" s="458">
        <v>6030</v>
      </c>
      <c r="S281" s="404">
        <v>32.299999999999997</v>
      </c>
      <c r="T281" s="459">
        <f t="shared" si="90"/>
        <v>194768.99999999997</v>
      </c>
      <c r="U281" s="298"/>
      <c r="V281" s="288" t="s">
        <v>3288</v>
      </c>
      <c r="W281" s="296" t="str">
        <f t="shared" si="95"/>
        <v>Jan-00</v>
      </c>
      <c r="X281" s="293"/>
      <c r="Y281" s="293"/>
      <c r="Z281" s="318"/>
      <c r="AA281" s="293"/>
      <c r="AB281" s="293"/>
      <c r="AC281" s="298"/>
      <c r="AD281" s="298"/>
      <c r="AE281" s="512"/>
      <c r="AF281" s="513"/>
      <c r="AG281" s="514"/>
      <c r="AH281" s="514"/>
      <c r="AI281" s="514">
        <f t="shared" si="91"/>
        <v>0</v>
      </c>
      <c r="AJ281" s="514">
        <v>0</v>
      </c>
      <c r="AK281" s="514">
        <f t="shared" si="92"/>
        <v>0</v>
      </c>
      <c r="AL281" s="514"/>
      <c r="AM281" s="515"/>
      <c r="AN281" s="299"/>
      <c r="AO281" s="296">
        <f t="shared" si="96"/>
        <v>0</v>
      </c>
      <c r="AP281" s="274"/>
      <c r="AQ281" s="305"/>
      <c r="AR281" s="275">
        <f t="shared" si="97"/>
        <v>0</v>
      </c>
      <c r="AS281" s="280"/>
    </row>
    <row r="282" spans="2:45" x14ac:dyDescent="0.3">
      <c r="B282" s="287">
        <f t="shared" si="93"/>
        <v>278</v>
      </c>
      <c r="C282" s="272" t="s">
        <v>174</v>
      </c>
      <c r="D282" s="288" t="str">
        <f t="shared" si="94"/>
        <v>Oct-25</v>
      </c>
      <c r="E282" s="288" t="s">
        <v>107</v>
      </c>
      <c r="F282" s="289">
        <v>45936</v>
      </c>
      <c r="G282" s="290" t="s">
        <v>2010</v>
      </c>
      <c r="H282" s="291" t="s">
        <v>2598</v>
      </c>
      <c r="I282" s="290" t="s">
        <v>401</v>
      </c>
      <c r="J282" s="387">
        <v>6252000070</v>
      </c>
      <c r="K282" s="289">
        <v>45936</v>
      </c>
      <c r="L282" s="291" t="s">
        <v>2058</v>
      </c>
      <c r="M282" s="289">
        <v>45936</v>
      </c>
      <c r="N282" s="291" t="s">
        <v>255</v>
      </c>
      <c r="O282" s="296" t="s">
        <v>631</v>
      </c>
      <c r="P282" s="291" t="s">
        <v>501</v>
      </c>
      <c r="Q282" s="291" t="s">
        <v>2608</v>
      </c>
      <c r="R282" s="458">
        <v>18900</v>
      </c>
      <c r="S282" s="404">
        <v>32.799999999999997</v>
      </c>
      <c r="T282" s="459">
        <f t="shared" si="90"/>
        <v>619920</v>
      </c>
      <c r="U282" s="298"/>
      <c r="V282" s="288" t="s">
        <v>3288</v>
      </c>
      <c r="W282" s="296" t="str">
        <f t="shared" si="95"/>
        <v>Jan-00</v>
      </c>
      <c r="X282" s="293"/>
      <c r="Y282" s="293"/>
      <c r="Z282" s="318"/>
      <c r="AA282" s="293"/>
      <c r="AB282" s="293"/>
      <c r="AC282" s="298"/>
      <c r="AD282" s="298"/>
      <c r="AE282" s="512"/>
      <c r="AF282" s="513"/>
      <c r="AG282" s="514"/>
      <c r="AH282" s="514"/>
      <c r="AI282" s="514">
        <f t="shared" si="91"/>
        <v>0</v>
      </c>
      <c r="AJ282" s="514">
        <v>0</v>
      </c>
      <c r="AK282" s="514">
        <f t="shared" si="92"/>
        <v>0</v>
      </c>
      <c r="AL282" s="514"/>
      <c r="AM282" s="515"/>
      <c r="AN282" s="299"/>
      <c r="AO282" s="296">
        <f t="shared" si="96"/>
        <v>0</v>
      </c>
      <c r="AP282" s="274"/>
      <c r="AQ282" s="305"/>
      <c r="AR282" s="275">
        <f t="shared" si="97"/>
        <v>0</v>
      </c>
      <c r="AS282" s="280"/>
    </row>
    <row r="283" spans="2:45" x14ac:dyDescent="0.3">
      <c r="B283" s="287">
        <f t="shared" si="93"/>
        <v>279</v>
      </c>
      <c r="C283" s="272" t="s">
        <v>174</v>
      </c>
      <c r="D283" s="288" t="str">
        <f t="shared" si="94"/>
        <v>Oct-25</v>
      </c>
      <c r="E283" s="288" t="s">
        <v>107</v>
      </c>
      <c r="F283" s="289">
        <v>45936</v>
      </c>
      <c r="G283" s="290" t="s">
        <v>2011</v>
      </c>
      <c r="H283" s="291" t="s">
        <v>2598</v>
      </c>
      <c r="I283" s="290" t="s">
        <v>401</v>
      </c>
      <c r="J283" s="387">
        <v>8252001772</v>
      </c>
      <c r="K283" s="289">
        <v>45936</v>
      </c>
      <c r="L283" s="291" t="s">
        <v>2059</v>
      </c>
      <c r="M283" s="289">
        <v>45936</v>
      </c>
      <c r="N283" s="291" t="s">
        <v>255</v>
      </c>
      <c r="O283" s="296" t="s">
        <v>314</v>
      </c>
      <c r="P283" s="291" t="s">
        <v>501</v>
      </c>
      <c r="Q283" s="291" t="s">
        <v>2608</v>
      </c>
      <c r="R283" s="458">
        <v>23120</v>
      </c>
      <c r="S283" s="404">
        <v>32.799999999999997</v>
      </c>
      <c r="T283" s="459">
        <f t="shared" si="90"/>
        <v>758335.99999999988</v>
      </c>
      <c r="U283" s="298"/>
      <c r="V283" s="288" t="s">
        <v>3288</v>
      </c>
      <c r="W283" s="296" t="str">
        <f t="shared" si="95"/>
        <v>Jan-00</v>
      </c>
      <c r="X283" s="293"/>
      <c r="Y283" s="293"/>
      <c r="Z283" s="318"/>
      <c r="AA283" s="293"/>
      <c r="AB283" s="293"/>
      <c r="AC283" s="298"/>
      <c r="AD283" s="298"/>
      <c r="AE283" s="512"/>
      <c r="AF283" s="513"/>
      <c r="AG283" s="514"/>
      <c r="AH283" s="514"/>
      <c r="AI283" s="514">
        <f t="shared" si="91"/>
        <v>0</v>
      </c>
      <c r="AJ283" s="514">
        <v>0</v>
      </c>
      <c r="AK283" s="514">
        <f t="shared" si="92"/>
        <v>0</v>
      </c>
      <c r="AL283" s="514"/>
      <c r="AM283" s="515"/>
      <c r="AN283" s="299"/>
      <c r="AO283" s="296">
        <f t="shared" si="96"/>
        <v>0</v>
      </c>
      <c r="AP283" s="274"/>
      <c r="AQ283" s="305"/>
      <c r="AR283" s="275">
        <f t="shared" si="97"/>
        <v>0</v>
      </c>
      <c r="AS283" s="280"/>
    </row>
    <row r="284" spans="2:45" x14ac:dyDescent="0.3">
      <c r="B284" s="287">
        <f t="shared" si="93"/>
        <v>280</v>
      </c>
      <c r="C284" s="272" t="s">
        <v>174</v>
      </c>
      <c r="D284" s="288" t="str">
        <f t="shared" si="94"/>
        <v>Oct-25</v>
      </c>
      <c r="E284" s="288" t="s">
        <v>107</v>
      </c>
      <c r="F284" s="289">
        <v>45937</v>
      </c>
      <c r="G284" s="290" t="s">
        <v>2013</v>
      </c>
      <c r="H284" s="291" t="s">
        <v>2600</v>
      </c>
      <c r="I284" s="290" t="s">
        <v>1984</v>
      </c>
      <c r="J284" s="387">
        <v>122511104288</v>
      </c>
      <c r="K284" s="289">
        <v>45937</v>
      </c>
      <c r="L284" s="291" t="s">
        <v>2061</v>
      </c>
      <c r="M284" s="289">
        <v>45937</v>
      </c>
      <c r="N284" s="291" t="s">
        <v>255</v>
      </c>
      <c r="O284" s="296" t="s">
        <v>989</v>
      </c>
      <c r="P284" s="291" t="s">
        <v>500</v>
      </c>
      <c r="Q284" s="291" t="s">
        <v>2607</v>
      </c>
      <c r="R284" s="458">
        <v>10150</v>
      </c>
      <c r="S284" s="404">
        <v>32.1</v>
      </c>
      <c r="T284" s="459">
        <f t="shared" si="90"/>
        <v>325815</v>
      </c>
      <c r="U284" s="298"/>
      <c r="V284" s="288" t="s">
        <v>3288</v>
      </c>
      <c r="W284" s="296" t="str">
        <f t="shared" si="95"/>
        <v>Jan-00</v>
      </c>
      <c r="X284" s="293"/>
      <c r="Y284" s="293"/>
      <c r="Z284" s="318"/>
      <c r="AA284" s="293"/>
      <c r="AB284" s="293"/>
      <c r="AC284" s="298"/>
      <c r="AD284" s="298"/>
      <c r="AE284" s="512"/>
      <c r="AF284" s="513"/>
      <c r="AG284" s="514"/>
      <c r="AH284" s="514"/>
      <c r="AI284" s="514">
        <f t="shared" si="91"/>
        <v>0</v>
      </c>
      <c r="AJ284" s="514">
        <v>0</v>
      </c>
      <c r="AK284" s="514">
        <f t="shared" si="92"/>
        <v>0</v>
      </c>
      <c r="AL284" s="514"/>
      <c r="AM284" s="515"/>
      <c r="AN284" s="299"/>
      <c r="AO284" s="296">
        <f t="shared" si="96"/>
        <v>0</v>
      </c>
      <c r="AP284" s="274"/>
      <c r="AQ284" s="305"/>
      <c r="AR284" s="275">
        <f t="shared" si="97"/>
        <v>0</v>
      </c>
      <c r="AS284" s="280"/>
    </row>
    <row r="285" spans="2:45" x14ac:dyDescent="0.3">
      <c r="B285" s="287">
        <f t="shared" si="93"/>
        <v>281</v>
      </c>
      <c r="C285" s="272" t="s">
        <v>174</v>
      </c>
      <c r="D285" s="288" t="str">
        <f t="shared" si="94"/>
        <v>Oct-25</v>
      </c>
      <c r="E285" s="288" t="s">
        <v>107</v>
      </c>
      <c r="F285" s="289">
        <v>45937</v>
      </c>
      <c r="G285" s="290" t="s">
        <v>2014</v>
      </c>
      <c r="H285" s="291" t="s">
        <v>2600</v>
      </c>
      <c r="I285" s="290" t="s">
        <v>1984</v>
      </c>
      <c r="J285" s="387">
        <v>122511104287</v>
      </c>
      <c r="K285" s="289">
        <v>45937</v>
      </c>
      <c r="L285" s="291" t="s">
        <v>2062</v>
      </c>
      <c r="M285" s="289">
        <v>45937</v>
      </c>
      <c r="N285" s="291" t="s">
        <v>255</v>
      </c>
      <c r="O285" s="296" t="s">
        <v>979</v>
      </c>
      <c r="P285" s="291" t="s">
        <v>500</v>
      </c>
      <c r="Q285" s="291" t="s">
        <v>2607</v>
      </c>
      <c r="R285" s="458">
        <v>10240</v>
      </c>
      <c r="S285" s="404">
        <v>32.1</v>
      </c>
      <c r="T285" s="459">
        <f t="shared" si="90"/>
        <v>328704</v>
      </c>
      <c r="U285" s="298"/>
      <c r="V285" s="288" t="s">
        <v>3288</v>
      </c>
      <c r="W285" s="296" t="str">
        <f t="shared" si="95"/>
        <v>Jan-00</v>
      </c>
      <c r="X285" s="293"/>
      <c r="Y285" s="293"/>
      <c r="Z285" s="318"/>
      <c r="AA285" s="293"/>
      <c r="AB285" s="293"/>
      <c r="AC285" s="298"/>
      <c r="AD285" s="298"/>
      <c r="AE285" s="512"/>
      <c r="AF285" s="513"/>
      <c r="AG285" s="514"/>
      <c r="AH285" s="514"/>
      <c r="AI285" s="514">
        <f t="shared" si="91"/>
        <v>0</v>
      </c>
      <c r="AJ285" s="514">
        <v>0</v>
      </c>
      <c r="AK285" s="514">
        <f t="shared" si="92"/>
        <v>0</v>
      </c>
      <c r="AL285" s="514"/>
      <c r="AM285" s="515"/>
      <c r="AN285" s="299"/>
      <c r="AO285" s="296">
        <f t="shared" si="96"/>
        <v>0</v>
      </c>
      <c r="AP285" s="274"/>
      <c r="AQ285" s="305"/>
      <c r="AR285" s="275">
        <f t="shared" si="97"/>
        <v>0</v>
      </c>
      <c r="AS285" s="280"/>
    </row>
    <row r="286" spans="2:45" x14ac:dyDescent="0.3">
      <c r="B286" s="287">
        <f t="shared" si="93"/>
        <v>282</v>
      </c>
      <c r="C286" s="272" t="s">
        <v>174</v>
      </c>
      <c r="D286" s="288" t="str">
        <f t="shared" si="94"/>
        <v>Oct-25</v>
      </c>
      <c r="E286" s="288" t="s">
        <v>107</v>
      </c>
      <c r="F286" s="289">
        <v>45937</v>
      </c>
      <c r="G286" s="290" t="s">
        <v>2016</v>
      </c>
      <c r="H286" s="291" t="s">
        <v>2598</v>
      </c>
      <c r="I286" s="290" t="s">
        <v>401</v>
      </c>
      <c r="J286" s="387">
        <v>5252000993</v>
      </c>
      <c r="K286" s="289">
        <v>45937</v>
      </c>
      <c r="L286" s="291" t="s">
        <v>2064</v>
      </c>
      <c r="M286" s="289">
        <v>45937</v>
      </c>
      <c r="N286" s="291" t="s">
        <v>255</v>
      </c>
      <c r="O286" s="296" t="s">
        <v>1445</v>
      </c>
      <c r="P286" s="291" t="s">
        <v>501</v>
      </c>
      <c r="Q286" s="291" t="s">
        <v>2608</v>
      </c>
      <c r="R286" s="458">
        <v>17070</v>
      </c>
      <c r="S286" s="404">
        <v>32.799999999999997</v>
      </c>
      <c r="T286" s="459">
        <f t="shared" si="90"/>
        <v>559896</v>
      </c>
      <c r="U286" s="298"/>
      <c r="V286" s="288" t="s">
        <v>3288</v>
      </c>
      <c r="W286" s="296" t="str">
        <f t="shared" si="95"/>
        <v>Jan-00</v>
      </c>
      <c r="X286" s="293"/>
      <c r="Y286" s="293"/>
      <c r="Z286" s="318"/>
      <c r="AA286" s="293"/>
      <c r="AB286" s="293"/>
      <c r="AC286" s="298"/>
      <c r="AD286" s="298"/>
      <c r="AE286" s="512"/>
      <c r="AF286" s="513"/>
      <c r="AG286" s="514"/>
      <c r="AH286" s="514"/>
      <c r="AI286" s="514">
        <f t="shared" si="91"/>
        <v>0</v>
      </c>
      <c r="AJ286" s="514">
        <v>0</v>
      </c>
      <c r="AK286" s="514">
        <f t="shared" si="92"/>
        <v>0</v>
      </c>
      <c r="AL286" s="514"/>
      <c r="AM286" s="515"/>
      <c r="AN286" s="299"/>
      <c r="AO286" s="296">
        <f t="shared" si="96"/>
        <v>0</v>
      </c>
      <c r="AP286" s="274"/>
      <c r="AQ286" s="305"/>
      <c r="AR286" s="275">
        <f t="shared" si="97"/>
        <v>0</v>
      </c>
      <c r="AS286" s="280"/>
    </row>
    <row r="287" spans="2:45" x14ac:dyDescent="0.3">
      <c r="B287" s="287">
        <f t="shared" si="93"/>
        <v>283</v>
      </c>
      <c r="C287" s="272" t="s">
        <v>174</v>
      </c>
      <c r="D287" s="288" t="str">
        <f t="shared" si="94"/>
        <v>Oct-25</v>
      </c>
      <c r="E287" s="288" t="s">
        <v>107</v>
      </c>
      <c r="F287" s="289">
        <v>45937</v>
      </c>
      <c r="G287" s="290" t="s">
        <v>2015</v>
      </c>
      <c r="H287" s="291" t="s">
        <v>2598</v>
      </c>
      <c r="I287" s="290" t="s">
        <v>401</v>
      </c>
      <c r="J287" s="387">
        <v>8252001776</v>
      </c>
      <c r="K287" s="289">
        <v>45937</v>
      </c>
      <c r="L287" s="291" t="s">
        <v>2063</v>
      </c>
      <c r="M287" s="289">
        <v>45937</v>
      </c>
      <c r="N287" s="291" t="s">
        <v>255</v>
      </c>
      <c r="O287" s="296" t="s">
        <v>1423</v>
      </c>
      <c r="P287" s="291" t="s">
        <v>501</v>
      </c>
      <c r="Q287" s="291" t="s">
        <v>2608</v>
      </c>
      <c r="R287" s="458">
        <v>25850</v>
      </c>
      <c r="S287" s="404">
        <v>32.799999999999997</v>
      </c>
      <c r="T287" s="459">
        <f t="shared" si="90"/>
        <v>847879.99999999988</v>
      </c>
      <c r="U287" s="298"/>
      <c r="V287" s="288" t="s">
        <v>3288</v>
      </c>
      <c r="W287" s="296" t="str">
        <f t="shared" si="95"/>
        <v>Jan-00</v>
      </c>
      <c r="X287" s="293"/>
      <c r="Y287" s="293"/>
      <c r="Z287" s="318"/>
      <c r="AA287" s="293"/>
      <c r="AB287" s="293"/>
      <c r="AC287" s="298"/>
      <c r="AD287" s="298"/>
      <c r="AE287" s="512"/>
      <c r="AF287" s="513"/>
      <c r="AG287" s="514"/>
      <c r="AH287" s="514"/>
      <c r="AI287" s="514">
        <f t="shared" si="91"/>
        <v>0</v>
      </c>
      <c r="AJ287" s="514">
        <v>0</v>
      </c>
      <c r="AK287" s="514">
        <f t="shared" si="92"/>
        <v>0</v>
      </c>
      <c r="AL287" s="514"/>
      <c r="AM287" s="515"/>
      <c r="AN287" s="299"/>
      <c r="AO287" s="296">
        <f t="shared" si="96"/>
        <v>0</v>
      </c>
      <c r="AP287" s="274"/>
      <c r="AQ287" s="305"/>
      <c r="AR287" s="275">
        <f t="shared" si="97"/>
        <v>0</v>
      </c>
      <c r="AS287" s="280"/>
    </row>
    <row r="288" spans="2:45" x14ac:dyDescent="0.3">
      <c r="B288" s="287">
        <f t="shared" si="93"/>
        <v>284</v>
      </c>
      <c r="C288" s="272" t="s">
        <v>174</v>
      </c>
      <c r="D288" s="288" t="str">
        <f t="shared" si="94"/>
        <v>Oct-25</v>
      </c>
      <c r="E288" s="288" t="s">
        <v>107</v>
      </c>
      <c r="F288" s="289">
        <v>45938</v>
      </c>
      <c r="G288" s="290" t="s">
        <v>2018</v>
      </c>
      <c r="H288" s="291" t="s">
        <v>2600</v>
      </c>
      <c r="I288" s="290" t="s">
        <v>1984</v>
      </c>
      <c r="J288" s="387">
        <v>122511104954</v>
      </c>
      <c r="K288" s="289">
        <v>45938</v>
      </c>
      <c r="L288" s="291" t="s">
        <v>2066</v>
      </c>
      <c r="M288" s="289">
        <v>45938</v>
      </c>
      <c r="N288" s="291" t="s">
        <v>255</v>
      </c>
      <c r="O288" s="296" t="s">
        <v>989</v>
      </c>
      <c r="P288" s="291" t="s">
        <v>500</v>
      </c>
      <c r="Q288" s="291" t="s">
        <v>2607</v>
      </c>
      <c r="R288" s="458">
        <v>9620</v>
      </c>
      <c r="S288" s="404">
        <v>32.1</v>
      </c>
      <c r="T288" s="459">
        <f t="shared" si="90"/>
        <v>308802</v>
      </c>
      <c r="U288" s="298"/>
      <c r="V288" s="288" t="s">
        <v>3288</v>
      </c>
      <c r="W288" s="296" t="str">
        <f t="shared" si="95"/>
        <v>Jan-00</v>
      </c>
      <c r="X288" s="293"/>
      <c r="Y288" s="293"/>
      <c r="Z288" s="318"/>
      <c r="AA288" s="293"/>
      <c r="AB288" s="293"/>
      <c r="AC288" s="298"/>
      <c r="AD288" s="298"/>
      <c r="AE288" s="512"/>
      <c r="AF288" s="513"/>
      <c r="AG288" s="514"/>
      <c r="AH288" s="514"/>
      <c r="AI288" s="514">
        <f t="shared" si="91"/>
        <v>0</v>
      </c>
      <c r="AJ288" s="514">
        <v>0</v>
      </c>
      <c r="AK288" s="514">
        <f t="shared" si="92"/>
        <v>0</v>
      </c>
      <c r="AL288" s="514"/>
      <c r="AM288" s="515"/>
      <c r="AN288" s="299"/>
      <c r="AO288" s="296">
        <f t="shared" si="96"/>
        <v>0</v>
      </c>
      <c r="AP288" s="274"/>
      <c r="AQ288" s="305"/>
      <c r="AR288" s="275">
        <f t="shared" si="97"/>
        <v>0</v>
      </c>
      <c r="AS288" s="280"/>
    </row>
    <row r="289" spans="2:45" x14ac:dyDescent="0.3">
      <c r="B289" s="287">
        <f t="shared" si="93"/>
        <v>285</v>
      </c>
      <c r="C289" s="272" t="s">
        <v>174</v>
      </c>
      <c r="D289" s="288" t="str">
        <f t="shared" si="94"/>
        <v>Oct-25</v>
      </c>
      <c r="E289" s="288" t="s">
        <v>107</v>
      </c>
      <c r="F289" s="289">
        <v>45938</v>
      </c>
      <c r="G289" s="290" t="s">
        <v>2017</v>
      </c>
      <c r="H289" s="291" t="s">
        <v>2600</v>
      </c>
      <c r="I289" s="290" t="s">
        <v>1984</v>
      </c>
      <c r="J289" s="387">
        <v>122511104927</v>
      </c>
      <c r="K289" s="289">
        <v>45938</v>
      </c>
      <c r="L289" s="291" t="s">
        <v>2065</v>
      </c>
      <c r="M289" s="289">
        <v>45938</v>
      </c>
      <c r="N289" s="291" t="s">
        <v>255</v>
      </c>
      <c r="O289" s="296" t="s">
        <v>992</v>
      </c>
      <c r="P289" s="291" t="s">
        <v>500</v>
      </c>
      <c r="Q289" s="291" t="s">
        <v>2607</v>
      </c>
      <c r="R289" s="458">
        <v>10910</v>
      </c>
      <c r="S289" s="404">
        <v>32.1</v>
      </c>
      <c r="T289" s="459">
        <f t="shared" si="90"/>
        <v>350211</v>
      </c>
      <c r="U289" s="298"/>
      <c r="V289" s="288" t="s">
        <v>3288</v>
      </c>
      <c r="W289" s="296" t="str">
        <f t="shared" si="95"/>
        <v>Jan-00</v>
      </c>
      <c r="X289" s="293"/>
      <c r="Y289" s="293"/>
      <c r="Z289" s="318"/>
      <c r="AA289" s="293"/>
      <c r="AB289" s="293"/>
      <c r="AC289" s="298"/>
      <c r="AD289" s="298"/>
      <c r="AE289" s="512"/>
      <c r="AF289" s="513"/>
      <c r="AG289" s="514"/>
      <c r="AH289" s="514"/>
      <c r="AI289" s="514">
        <f t="shared" si="91"/>
        <v>0</v>
      </c>
      <c r="AJ289" s="514">
        <v>0</v>
      </c>
      <c r="AK289" s="514">
        <f t="shared" si="92"/>
        <v>0</v>
      </c>
      <c r="AL289" s="514"/>
      <c r="AM289" s="515"/>
      <c r="AN289" s="299"/>
      <c r="AO289" s="296">
        <f t="shared" si="96"/>
        <v>0</v>
      </c>
      <c r="AP289" s="274"/>
      <c r="AQ289" s="305"/>
      <c r="AR289" s="275">
        <f t="shared" si="97"/>
        <v>0</v>
      </c>
      <c r="AS289" s="280"/>
    </row>
    <row r="290" spans="2:45" x14ac:dyDescent="0.3">
      <c r="B290" s="287">
        <f t="shared" si="93"/>
        <v>286</v>
      </c>
      <c r="C290" s="272" t="s">
        <v>174</v>
      </c>
      <c r="D290" s="288" t="str">
        <f t="shared" si="94"/>
        <v>Oct-25</v>
      </c>
      <c r="E290" s="288" t="s">
        <v>107</v>
      </c>
      <c r="F290" s="289">
        <v>45938</v>
      </c>
      <c r="G290" s="290" t="s">
        <v>2019</v>
      </c>
      <c r="H290" s="291" t="s">
        <v>2600</v>
      </c>
      <c r="I290" s="290" t="s">
        <v>1984</v>
      </c>
      <c r="J290" s="387">
        <v>122511105023</v>
      </c>
      <c r="K290" s="289">
        <v>45938</v>
      </c>
      <c r="L290" s="291" t="s">
        <v>2067</v>
      </c>
      <c r="M290" s="289">
        <v>45938</v>
      </c>
      <c r="N290" s="291" t="s">
        <v>255</v>
      </c>
      <c r="O290" s="296" t="s">
        <v>2068</v>
      </c>
      <c r="P290" s="291" t="s">
        <v>500</v>
      </c>
      <c r="Q290" s="291" t="s">
        <v>2607</v>
      </c>
      <c r="R290" s="458">
        <v>9730</v>
      </c>
      <c r="S290" s="404">
        <v>32.1</v>
      </c>
      <c r="T290" s="459">
        <f t="shared" si="90"/>
        <v>312333</v>
      </c>
      <c r="U290" s="298"/>
      <c r="V290" s="288" t="s">
        <v>3288</v>
      </c>
      <c r="W290" s="296" t="str">
        <f t="shared" si="95"/>
        <v>Jan-00</v>
      </c>
      <c r="X290" s="293"/>
      <c r="Y290" s="293"/>
      <c r="Z290" s="318"/>
      <c r="AA290" s="293"/>
      <c r="AB290" s="293"/>
      <c r="AC290" s="298"/>
      <c r="AD290" s="298"/>
      <c r="AE290" s="512"/>
      <c r="AF290" s="513"/>
      <c r="AG290" s="514"/>
      <c r="AH290" s="514"/>
      <c r="AI290" s="514">
        <f t="shared" si="91"/>
        <v>0</v>
      </c>
      <c r="AJ290" s="514">
        <v>0</v>
      </c>
      <c r="AK290" s="514">
        <f t="shared" si="92"/>
        <v>0</v>
      </c>
      <c r="AL290" s="514"/>
      <c r="AM290" s="515"/>
      <c r="AN290" s="299"/>
      <c r="AO290" s="296">
        <f t="shared" si="96"/>
        <v>0</v>
      </c>
      <c r="AP290" s="274"/>
      <c r="AQ290" s="305"/>
      <c r="AR290" s="275">
        <f t="shared" si="97"/>
        <v>0</v>
      </c>
      <c r="AS290" s="280"/>
    </row>
    <row r="291" spans="2:45" x14ac:dyDescent="0.3">
      <c r="B291" s="287">
        <f t="shared" si="93"/>
        <v>287</v>
      </c>
      <c r="C291" s="272" t="s">
        <v>174</v>
      </c>
      <c r="D291" s="288" t="str">
        <f t="shared" si="94"/>
        <v>Oct-25</v>
      </c>
      <c r="E291" s="288" t="s">
        <v>107</v>
      </c>
      <c r="F291" s="289">
        <v>45938</v>
      </c>
      <c r="G291" s="290" t="s">
        <v>2022</v>
      </c>
      <c r="H291" s="291" t="s">
        <v>2600</v>
      </c>
      <c r="I291" s="290" t="s">
        <v>1984</v>
      </c>
      <c r="J291" s="387">
        <v>162511000360</v>
      </c>
      <c r="K291" s="289">
        <v>45938</v>
      </c>
      <c r="L291" s="291" t="s">
        <v>2080</v>
      </c>
      <c r="M291" s="289">
        <v>45940</v>
      </c>
      <c r="N291" s="291" t="s">
        <v>255</v>
      </c>
      <c r="O291" s="296" t="s">
        <v>979</v>
      </c>
      <c r="P291" s="291" t="s">
        <v>500</v>
      </c>
      <c r="Q291" s="291" t="s">
        <v>2607</v>
      </c>
      <c r="R291" s="458">
        <v>12120</v>
      </c>
      <c r="S291" s="404">
        <v>32.1</v>
      </c>
      <c r="T291" s="459">
        <f t="shared" si="90"/>
        <v>389052</v>
      </c>
      <c r="U291" s="298"/>
      <c r="V291" s="288" t="s">
        <v>3288</v>
      </c>
      <c r="W291" s="296" t="str">
        <f t="shared" si="95"/>
        <v>Jan-00</v>
      </c>
      <c r="X291" s="293"/>
      <c r="Y291" s="293"/>
      <c r="Z291" s="318"/>
      <c r="AA291" s="293"/>
      <c r="AB291" s="293"/>
      <c r="AC291" s="298"/>
      <c r="AD291" s="298"/>
      <c r="AE291" s="512"/>
      <c r="AF291" s="513"/>
      <c r="AG291" s="514"/>
      <c r="AH291" s="514"/>
      <c r="AI291" s="514">
        <f t="shared" si="91"/>
        <v>0</v>
      </c>
      <c r="AJ291" s="514">
        <v>0</v>
      </c>
      <c r="AK291" s="514">
        <f t="shared" si="92"/>
        <v>0</v>
      </c>
      <c r="AL291" s="514"/>
      <c r="AM291" s="515"/>
      <c r="AN291" s="299"/>
      <c r="AO291" s="296">
        <f t="shared" si="96"/>
        <v>0</v>
      </c>
      <c r="AP291" s="274"/>
      <c r="AQ291" s="305"/>
      <c r="AR291" s="275">
        <f t="shared" si="97"/>
        <v>0</v>
      </c>
      <c r="AS291" s="280"/>
    </row>
    <row r="292" spans="2:45" x14ac:dyDescent="0.3">
      <c r="B292" s="287">
        <f t="shared" si="93"/>
        <v>288</v>
      </c>
      <c r="C292" s="272" t="s">
        <v>174</v>
      </c>
      <c r="D292" s="288" t="str">
        <f t="shared" si="94"/>
        <v>Oct-25</v>
      </c>
      <c r="E292" s="288" t="s">
        <v>107</v>
      </c>
      <c r="F292" s="289">
        <v>45938</v>
      </c>
      <c r="G292" s="290" t="s">
        <v>2020</v>
      </c>
      <c r="H292" s="291" t="s">
        <v>2598</v>
      </c>
      <c r="I292" s="290" t="s">
        <v>401</v>
      </c>
      <c r="J292" s="387">
        <v>6252000071</v>
      </c>
      <c r="K292" s="289">
        <v>45938</v>
      </c>
      <c r="L292" s="291" t="s">
        <v>2069</v>
      </c>
      <c r="M292" s="289">
        <v>45938</v>
      </c>
      <c r="N292" s="291" t="s">
        <v>255</v>
      </c>
      <c r="O292" s="296" t="s">
        <v>1427</v>
      </c>
      <c r="P292" s="291" t="s">
        <v>501</v>
      </c>
      <c r="Q292" s="291" t="s">
        <v>2608</v>
      </c>
      <c r="R292" s="458">
        <v>21780</v>
      </c>
      <c r="S292" s="404">
        <v>32.799999999999997</v>
      </c>
      <c r="T292" s="459">
        <f t="shared" si="90"/>
        <v>714383.99999999988</v>
      </c>
      <c r="U292" s="298"/>
      <c r="V292" s="288" t="s">
        <v>3288</v>
      </c>
      <c r="W292" s="296" t="str">
        <f t="shared" si="95"/>
        <v>Jan-00</v>
      </c>
      <c r="X292" s="293"/>
      <c r="Y292" s="293"/>
      <c r="Z292" s="318"/>
      <c r="AA292" s="293"/>
      <c r="AB292" s="293"/>
      <c r="AC292" s="298"/>
      <c r="AD292" s="298"/>
      <c r="AE292" s="512"/>
      <c r="AF292" s="513"/>
      <c r="AG292" s="514"/>
      <c r="AH292" s="514"/>
      <c r="AI292" s="514">
        <f t="shared" si="91"/>
        <v>0</v>
      </c>
      <c r="AJ292" s="514">
        <v>0</v>
      </c>
      <c r="AK292" s="514">
        <f t="shared" si="92"/>
        <v>0</v>
      </c>
      <c r="AL292" s="514"/>
      <c r="AM292" s="515"/>
      <c r="AN292" s="299"/>
      <c r="AO292" s="296">
        <f t="shared" si="96"/>
        <v>0</v>
      </c>
      <c r="AP292" s="274"/>
      <c r="AQ292" s="305"/>
      <c r="AR292" s="275">
        <f t="shared" si="97"/>
        <v>0</v>
      </c>
      <c r="AS292" s="280"/>
    </row>
    <row r="293" spans="2:45" x14ac:dyDescent="0.3">
      <c r="B293" s="287">
        <f t="shared" si="93"/>
        <v>289</v>
      </c>
      <c r="C293" s="272" t="s">
        <v>174</v>
      </c>
      <c r="D293" s="288" t="str">
        <f t="shared" si="94"/>
        <v>Oct-25</v>
      </c>
      <c r="E293" s="288" t="s">
        <v>107</v>
      </c>
      <c r="F293" s="289">
        <v>45938</v>
      </c>
      <c r="G293" s="290" t="s">
        <v>2021</v>
      </c>
      <c r="H293" s="291" t="s">
        <v>2598</v>
      </c>
      <c r="I293" s="290" t="s">
        <v>401</v>
      </c>
      <c r="J293" s="387">
        <v>8252001781</v>
      </c>
      <c r="K293" s="289">
        <v>45938</v>
      </c>
      <c r="L293" s="291" t="s">
        <v>2070</v>
      </c>
      <c r="M293" s="289">
        <v>45939</v>
      </c>
      <c r="N293" s="291" t="s">
        <v>255</v>
      </c>
      <c r="O293" s="296" t="s">
        <v>314</v>
      </c>
      <c r="P293" s="291" t="s">
        <v>501</v>
      </c>
      <c r="Q293" s="291" t="s">
        <v>2608</v>
      </c>
      <c r="R293" s="458">
        <v>19640</v>
      </c>
      <c r="S293" s="404">
        <v>32.799999999999997</v>
      </c>
      <c r="T293" s="459">
        <f t="shared" si="90"/>
        <v>644192</v>
      </c>
      <c r="U293" s="298"/>
      <c r="V293" s="288" t="s">
        <v>3288</v>
      </c>
      <c r="W293" s="296" t="str">
        <f t="shared" si="95"/>
        <v>Jan-00</v>
      </c>
      <c r="X293" s="293"/>
      <c r="Y293" s="293"/>
      <c r="Z293" s="318"/>
      <c r="AA293" s="293"/>
      <c r="AB293" s="293"/>
      <c r="AC293" s="298"/>
      <c r="AD293" s="298"/>
      <c r="AE293" s="512"/>
      <c r="AF293" s="513"/>
      <c r="AG293" s="514"/>
      <c r="AH293" s="514"/>
      <c r="AI293" s="514">
        <f t="shared" si="91"/>
        <v>0</v>
      </c>
      <c r="AJ293" s="514">
        <v>0</v>
      </c>
      <c r="AK293" s="514">
        <f t="shared" si="92"/>
        <v>0</v>
      </c>
      <c r="AL293" s="514"/>
      <c r="AM293" s="515"/>
      <c r="AN293" s="299"/>
      <c r="AO293" s="296">
        <f t="shared" si="96"/>
        <v>0</v>
      </c>
      <c r="AP293" s="274"/>
      <c r="AQ293" s="305"/>
      <c r="AR293" s="275">
        <f t="shared" si="97"/>
        <v>0</v>
      </c>
      <c r="AS293" s="280"/>
    </row>
    <row r="294" spans="2:45" x14ac:dyDescent="0.3">
      <c r="B294" s="287">
        <f t="shared" si="93"/>
        <v>290</v>
      </c>
      <c r="C294" s="272" t="s">
        <v>174</v>
      </c>
      <c r="D294" s="288" t="str">
        <f t="shared" si="94"/>
        <v>Oct-25</v>
      </c>
      <c r="E294" s="288" t="s">
        <v>107</v>
      </c>
      <c r="F294" s="289">
        <v>45939</v>
      </c>
      <c r="G294" s="290" t="s">
        <v>2023</v>
      </c>
      <c r="H294" s="291" t="s">
        <v>2600</v>
      </c>
      <c r="I294" s="290" t="s">
        <v>1984</v>
      </c>
      <c r="J294" s="387">
        <v>122511105650</v>
      </c>
      <c r="K294" s="289">
        <v>45939</v>
      </c>
      <c r="L294" s="291" t="s">
        <v>2071</v>
      </c>
      <c r="M294" s="289">
        <v>45939</v>
      </c>
      <c r="N294" s="291" t="s">
        <v>255</v>
      </c>
      <c r="O294" s="296" t="s">
        <v>979</v>
      </c>
      <c r="P294" s="291" t="s">
        <v>500</v>
      </c>
      <c r="Q294" s="291" t="s">
        <v>2607</v>
      </c>
      <c r="R294" s="458">
        <v>6810</v>
      </c>
      <c r="S294" s="404">
        <v>32.1</v>
      </c>
      <c r="T294" s="459">
        <f t="shared" si="90"/>
        <v>218601</v>
      </c>
      <c r="U294" s="298"/>
      <c r="V294" s="288" t="s">
        <v>3288</v>
      </c>
      <c r="W294" s="296" t="str">
        <f t="shared" si="95"/>
        <v>Jan-00</v>
      </c>
      <c r="X294" s="293"/>
      <c r="Y294" s="293"/>
      <c r="Z294" s="318"/>
      <c r="AA294" s="293"/>
      <c r="AB294" s="293"/>
      <c r="AC294" s="298"/>
      <c r="AD294" s="298"/>
      <c r="AE294" s="512"/>
      <c r="AF294" s="513"/>
      <c r="AG294" s="514"/>
      <c r="AH294" s="514"/>
      <c r="AI294" s="514">
        <f t="shared" si="91"/>
        <v>0</v>
      </c>
      <c r="AJ294" s="514">
        <v>0</v>
      </c>
      <c r="AK294" s="514">
        <f t="shared" si="92"/>
        <v>0</v>
      </c>
      <c r="AL294" s="514"/>
      <c r="AM294" s="515"/>
      <c r="AN294" s="299"/>
      <c r="AO294" s="296">
        <f t="shared" si="96"/>
        <v>0</v>
      </c>
      <c r="AP294" s="274"/>
      <c r="AQ294" s="305"/>
      <c r="AR294" s="275">
        <f t="shared" si="97"/>
        <v>0</v>
      </c>
      <c r="AS294" s="280"/>
    </row>
    <row r="295" spans="2:45" x14ac:dyDescent="0.3">
      <c r="B295" s="287">
        <f t="shared" si="93"/>
        <v>291</v>
      </c>
      <c r="C295" s="272" t="s">
        <v>174</v>
      </c>
      <c r="D295" s="288" t="str">
        <f t="shared" si="94"/>
        <v>Oct-25</v>
      </c>
      <c r="E295" s="288" t="s">
        <v>107</v>
      </c>
      <c r="F295" s="289">
        <v>45939</v>
      </c>
      <c r="G295" s="290" t="s">
        <v>2024</v>
      </c>
      <c r="H295" s="291" t="s">
        <v>2600</v>
      </c>
      <c r="I295" s="290" t="s">
        <v>1984</v>
      </c>
      <c r="J295" s="387">
        <v>122511105635</v>
      </c>
      <c r="K295" s="289">
        <v>45939</v>
      </c>
      <c r="L295" s="291" t="s">
        <v>2072</v>
      </c>
      <c r="M295" s="289">
        <v>45939</v>
      </c>
      <c r="N295" s="291" t="s">
        <v>255</v>
      </c>
      <c r="O295" s="296" t="s">
        <v>992</v>
      </c>
      <c r="P295" s="291" t="s">
        <v>500</v>
      </c>
      <c r="Q295" s="291" t="s">
        <v>2607</v>
      </c>
      <c r="R295" s="458">
        <v>6740</v>
      </c>
      <c r="S295" s="404">
        <v>32.1</v>
      </c>
      <c r="T295" s="459">
        <f t="shared" si="90"/>
        <v>216354</v>
      </c>
      <c r="U295" s="298"/>
      <c r="V295" s="288" t="s">
        <v>3288</v>
      </c>
      <c r="W295" s="296" t="str">
        <f t="shared" si="95"/>
        <v>Jan-00</v>
      </c>
      <c r="X295" s="293"/>
      <c r="Y295" s="293"/>
      <c r="Z295" s="318"/>
      <c r="AA295" s="293"/>
      <c r="AB295" s="293"/>
      <c r="AC295" s="298"/>
      <c r="AD295" s="298"/>
      <c r="AE295" s="512"/>
      <c r="AF295" s="513"/>
      <c r="AG295" s="514"/>
      <c r="AH295" s="514"/>
      <c r="AI295" s="514">
        <f t="shared" si="91"/>
        <v>0</v>
      </c>
      <c r="AJ295" s="514">
        <v>0</v>
      </c>
      <c r="AK295" s="514">
        <f t="shared" si="92"/>
        <v>0</v>
      </c>
      <c r="AL295" s="514"/>
      <c r="AM295" s="515"/>
      <c r="AN295" s="299"/>
      <c r="AO295" s="296">
        <f t="shared" si="96"/>
        <v>0</v>
      </c>
      <c r="AP295" s="274"/>
      <c r="AQ295" s="305"/>
      <c r="AR295" s="275">
        <f t="shared" si="97"/>
        <v>0</v>
      </c>
      <c r="AS295" s="280"/>
    </row>
    <row r="296" spans="2:45" x14ac:dyDescent="0.3">
      <c r="B296" s="287">
        <f t="shared" si="93"/>
        <v>292</v>
      </c>
      <c r="C296" s="272" t="s">
        <v>174</v>
      </c>
      <c r="D296" s="288" t="str">
        <f t="shared" si="94"/>
        <v>Oct-25</v>
      </c>
      <c r="E296" s="288" t="s">
        <v>107</v>
      </c>
      <c r="F296" s="289">
        <v>45939</v>
      </c>
      <c r="G296" s="290" t="s">
        <v>2025</v>
      </c>
      <c r="H296" s="291" t="s">
        <v>2600</v>
      </c>
      <c r="I296" s="290" t="s">
        <v>1984</v>
      </c>
      <c r="J296" s="387">
        <v>122511105681</v>
      </c>
      <c r="K296" s="289">
        <v>45939</v>
      </c>
      <c r="L296" s="291" t="s">
        <v>2073</v>
      </c>
      <c r="M296" s="289">
        <v>45939</v>
      </c>
      <c r="N296" s="291" t="s">
        <v>255</v>
      </c>
      <c r="O296" s="296" t="s">
        <v>989</v>
      </c>
      <c r="P296" s="291" t="s">
        <v>500</v>
      </c>
      <c r="Q296" s="291" t="s">
        <v>2607</v>
      </c>
      <c r="R296" s="458">
        <v>7600</v>
      </c>
      <c r="S296" s="404">
        <v>32.1</v>
      </c>
      <c r="T296" s="459">
        <f t="shared" si="90"/>
        <v>243960</v>
      </c>
      <c r="U296" s="298"/>
      <c r="V296" s="288" t="s">
        <v>3288</v>
      </c>
      <c r="W296" s="296" t="str">
        <f t="shared" si="95"/>
        <v>Jan-00</v>
      </c>
      <c r="X296" s="293"/>
      <c r="Y296" s="293"/>
      <c r="Z296" s="318"/>
      <c r="AA296" s="293"/>
      <c r="AB296" s="293"/>
      <c r="AC296" s="298"/>
      <c r="AD296" s="298"/>
      <c r="AE296" s="512"/>
      <c r="AF296" s="513"/>
      <c r="AG296" s="514"/>
      <c r="AH296" s="514"/>
      <c r="AI296" s="514">
        <f t="shared" si="91"/>
        <v>0</v>
      </c>
      <c r="AJ296" s="514">
        <v>0</v>
      </c>
      <c r="AK296" s="514">
        <f t="shared" si="92"/>
        <v>0</v>
      </c>
      <c r="AL296" s="514"/>
      <c r="AM296" s="515"/>
      <c r="AN296" s="299"/>
      <c r="AO296" s="296">
        <f t="shared" si="96"/>
        <v>0</v>
      </c>
      <c r="AP296" s="274"/>
      <c r="AQ296" s="305"/>
      <c r="AR296" s="275">
        <f t="shared" si="97"/>
        <v>0</v>
      </c>
      <c r="AS296" s="280"/>
    </row>
    <row r="297" spans="2:45" x14ac:dyDescent="0.3">
      <c r="B297" s="287">
        <f t="shared" si="93"/>
        <v>293</v>
      </c>
      <c r="C297" s="272" t="s">
        <v>174</v>
      </c>
      <c r="D297" s="288" t="str">
        <f t="shared" si="94"/>
        <v>Oct-25</v>
      </c>
      <c r="E297" s="288" t="s">
        <v>107</v>
      </c>
      <c r="F297" s="289">
        <v>45940</v>
      </c>
      <c r="G297" s="290" t="s">
        <v>2026</v>
      </c>
      <c r="H297" s="291" t="s">
        <v>2600</v>
      </c>
      <c r="I297" s="290" t="s">
        <v>1984</v>
      </c>
      <c r="J297" s="387">
        <v>122511106335</v>
      </c>
      <c r="K297" s="289">
        <v>45940</v>
      </c>
      <c r="L297" s="291" t="s">
        <v>2076</v>
      </c>
      <c r="M297" s="289">
        <v>45940</v>
      </c>
      <c r="N297" s="291" t="s">
        <v>255</v>
      </c>
      <c r="O297" s="296" t="s">
        <v>979</v>
      </c>
      <c r="P297" s="291" t="s">
        <v>500</v>
      </c>
      <c r="Q297" s="291" t="s">
        <v>2607</v>
      </c>
      <c r="R297" s="458">
        <v>10160</v>
      </c>
      <c r="S297" s="404">
        <v>32.1</v>
      </c>
      <c r="T297" s="459">
        <f t="shared" si="90"/>
        <v>326136</v>
      </c>
      <c r="U297" s="298"/>
      <c r="V297" s="288" t="s">
        <v>3288</v>
      </c>
      <c r="W297" s="296" t="str">
        <f t="shared" si="95"/>
        <v>Jan-00</v>
      </c>
      <c r="X297" s="293"/>
      <c r="Y297" s="293"/>
      <c r="Z297" s="318"/>
      <c r="AA297" s="293"/>
      <c r="AB297" s="293"/>
      <c r="AC297" s="298"/>
      <c r="AD297" s="298"/>
      <c r="AE297" s="512"/>
      <c r="AF297" s="513"/>
      <c r="AG297" s="514"/>
      <c r="AH297" s="514"/>
      <c r="AI297" s="514">
        <f t="shared" si="91"/>
        <v>0</v>
      </c>
      <c r="AJ297" s="514">
        <v>0</v>
      </c>
      <c r="AK297" s="514">
        <f t="shared" si="92"/>
        <v>0</v>
      </c>
      <c r="AL297" s="514"/>
      <c r="AM297" s="515"/>
      <c r="AN297" s="299"/>
      <c r="AO297" s="296">
        <f t="shared" si="96"/>
        <v>0</v>
      </c>
      <c r="AP297" s="274"/>
      <c r="AQ297" s="305"/>
      <c r="AR297" s="275">
        <f t="shared" si="97"/>
        <v>0</v>
      </c>
      <c r="AS297" s="280"/>
    </row>
    <row r="298" spans="2:45" x14ac:dyDescent="0.3">
      <c r="B298" s="287">
        <f t="shared" si="93"/>
        <v>294</v>
      </c>
      <c r="C298" s="272" t="s">
        <v>174</v>
      </c>
      <c r="D298" s="288" t="str">
        <f t="shared" si="94"/>
        <v>Oct-25</v>
      </c>
      <c r="E298" s="288" t="s">
        <v>107</v>
      </c>
      <c r="F298" s="289">
        <v>45940</v>
      </c>
      <c r="G298" s="290" t="s">
        <v>2027</v>
      </c>
      <c r="H298" s="291" t="s">
        <v>2600</v>
      </c>
      <c r="I298" s="290" t="s">
        <v>1984</v>
      </c>
      <c r="J298" s="387">
        <v>122511106403</v>
      </c>
      <c r="K298" s="289">
        <v>45940</v>
      </c>
      <c r="L298" s="291" t="s">
        <v>2077</v>
      </c>
      <c r="M298" s="289">
        <v>45940</v>
      </c>
      <c r="N298" s="291" t="s">
        <v>255</v>
      </c>
      <c r="O298" s="296" t="s">
        <v>2078</v>
      </c>
      <c r="P298" s="291" t="s">
        <v>500</v>
      </c>
      <c r="Q298" s="291" t="s">
        <v>2607</v>
      </c>
      <c r="R298" s="458">
        <v>9630</v>
      </c>
      <c r="S298" s="404">
        <v>32.1</v>
      </c>
      <c r="T298" s="459">
        <f t="shared" si="90"/>
        <v>309123</v>
      </c>
      <c r="U298" s="298"/>
      <c r="V298" s="288" t="s">
        <v>3288</v>
      </c>
      <c r="W298" s="296" t="str">
        <f t="shared" si="95"/>
        <v>Jan-00</v>
      </c>
      <c r="X298" s="293"/>
      <c r="Y298" s="293"/>
      <c r="Z298" s="318"/>
      <c r="AA298" s="293"/>
      <c r="AB298" s="293"/>
      <c r="AC298" s="298"/>
      <c r="AD298" s="298"/>
      <c r="AE298" s="512"/>
      <c r="AF298" s="513"/>
      <c r="AG298" s="514"/>
      <c r="AH298" s="514"/>
      <c r="AI298" s="514">
        <f t="shared" si="91"/>
        <v>0</v>
      </c>
      <c r="AJ298" s="514">
        <v>0</v>
      </c>
      <c r="AK298" s="514">
        <f t="shared" si="92"/>
        <v>0</v>
      </c>
      <c r="AL298" s="514"/>
      <c r="AM298" s="515"/>
      <c r="AN298" s="299"/>
      <c r="AO298" s="296">
        <f t="shared" si="96"/>
        <v>0</v>
      </c>
      <c r="AP298" s="274"/>
      <c r="AQ298" s="305"/>
      <c r="AR298" s="275">
        <f t="shared" si="97"/>
        <v>0</v>
      </c>
      <c r="AS298" s="280"/>
    </row>
    <row r="299" spans="2:45" x14ac:dyDescent="0.3">
      <c r="B299" s="287">
        <f t="shared" si="93"/>
        <v>295</v>
      </c>
      <c r="C299" s="272" t="s">
        <v>174</v>
      </c>
      <c r="D299" s="288" t="str">
        <f t="shared" si="94"/>
        <v>Oct-25</v>
      </c>
      <c r="E299" s="288" t="s">
        <v>107</v>
      </c>
      <c r="F299" s="289">
        <v>45940</v>
      </c>
      <c r="G299" s="290" t="s">
        <v>2028</v>
      </c>
      <c r="H299" s="291" t="s">
        <v>2600</v>
      </c>
      <c r="I299" s="290" t="s">
        <v>1984</v>
      </c>
      <c r="J299" s="387">
        <v>122511106391</v>
      </c>
      <c r="K299" s="289">
        <v>45940</v>
      </c>
      <c r="L299" s="291" t="s">
        <v>2079</v>
      </c>
      <c r="M299" s="289">
        <v>45940</v>
      </c>
      <c r="N299" s="291" t="s">
        <v>255</v>
      </c>
      <c r="O299" s="296" t="s">
        <v>989</v>
      </c>
      <c r="P299" s="291" t="s">
        <v>500</v>
      </c>
      <c r="Q299" s="291" t="s">
        <v>2607</v>
      </c>
      <c r="R299" s="458">
        <v>10130</v>
      </c>
      <c r="S299" s="404">
        <v>32.1</v>
      </c>
      <c r="T299" s="459">
        <f t="shared" si="90"/>
        <v>325173</v>
      </c>
      <c r="U299" s="298"/>
      <c r="V299" s="288" t="s">
        <v>3288</v>
      </c>
      <c r="W299" s="296" t="str">
        <f t="shared" si="95"/>
        <v>Jan-00</v>
      </c>
      <c r="X299" s="293"/>
      <c r="Y299" s="293"/>
      <c r="Z299" s="318"/>
      <c r="AA299" s="293"/>
      <c r="AB299" s="293"/>
      <c r="AC299" s="298"/>
      <c r="AD299" s="298"/>
      <c r="AE299" s="512"/>
      <c r="AF299" s="513"/>
      <c r="AG299" s="514"/>
      <c r="AH299" s="514"/>
      <c r="AI299" s="514">
        <f t="shared" si="91"/>
        <v>0</v>
      </c>
      <c r="AJ299" s="514">
        <v>0</v>
      </c>
      <c r="AK299" s="514">
        <f t="shared" si="92"/>
        <v>0</v>
      </c>
      <c r="AL299" s="514"/>
      <c r="AM299" s="515"/>
      <c r="AN299" s="299"/>
      <c r="AO299" s="296">
        <f t="shared" si="96"/>
        <v>0</v>
      </c>
      <c r="AP299" s="274"/>
      <c r="AQ299" s="305"/>
      <c r="AR299" s="275">
        <f t="shared" si="97"/>
        <v>0</v>
      </c>
      <c r="AS299" s="280"/>
    </row>
    <row r="300" spans="2:45" x14ac:dyDescent="0.3">
      <c r="B300" s="287">
        <f t="shared" si="93"/>
        <v>296</v>
      </c>
      <c r="C300" s="272" t="s">
        <v>174</v>
      </c>
      <c r="D300" s="288" t="str">
        <f t="shared" si="94"/>
        <v>Oct-25</v>
      </c>
      <c r="E300" s="288" t="s">
        <v>107</v>
      </c>
      <c r="F300" s="289">
        <v>45940</v>
      </c>
      <c r="G300" s="290" t="s">
        <v>2107</v>
      </c>
      <c r="H300" s="291" t="s">
        <v>2596</v>
      </c>
      <c r="I300" s="290" t="s">
        <v>2616</v>
      </c>
      <c r="J300" s="387" t="s">
        <v>2143</v>
      </c>
      <c r="K300" s="289">
        <v>45940</v>
      </c>
      <c r="L300" s="291" t="s">
        <v>2144</v>
      </c>
      <c r="M300" s="289">
        <v>45945</v>
      </c>
      <c r="N300" s="291" t="s">
        <v>255</v>
      </c>
      <c r="O300" s="296" t="s">
        <v>2002</v>
      </c>
      <c r="P300" s="291" t="s">
        <v>501</v>
      </c>
      <c r="Q300" s="291" t="s">
        <v>2601</v>
      </c>
      <c r="R300" s="458">
        <v>8740</v>
      </c>
      <c r="S300" s="404">
        <v>34</v>
      </c>
      <c r="T300" s="459">
        <f t="shared" si="90"/>
        <v>297160</v>
      </c>
      <c r="U300" s="298"/>
      <c r="V300" s="288" t="s">
        <v>3288</v>
      </c>
      <c r="W300" s="296" t="str">
        <f t="shared" si="95"/>
        <v>Jan-00</v>
      </c>
      <c r="X300" s="293"/>
      <c r="Y300" s="293"/>
      <c r="Z300" s="318"/>
      <c r="AA300" s="293"/>
      <c r="AB300" s="293"/>
      <c r="AC300" s="298"/>
      <c r="AD300" s="298"/>
      <c r="AE300" s="512"/>
      <c r="AF300" s="513"/>
      <c r="AG300" s="514"/>
      <c r="AH300" s="514"/>
      <c r="AI300" s="514">
        <f t="shared" si="91"/>
        <v>0</v>
      </c>
      <c r="AJ300" s="514">
        <v>0</v>
      </c>
      <c r="AK300" s="514">
        <f t="shared" si="92"/>
        <v>0</v>
      </c>
      <c r="AL300" s="514"/>
      <c r="AM300" s="515"/>
      <c r="AN300" s="299"/>
      <c r="AO300" s="296">
        <f t="shared" si="96"/>
        <v>0</v>
      </c>
      <c r="AP300" s="274"/>
      <c r="AQ300" s="305"/>
      <c r="AR300" s="275">
        <f t="shared" si="97"/>
        <v>0</v>
      </c>
      <c r="AS300" s="280"/>
    </row>
    <row r="301" spans="2:45" x14ac:dyDescent="0.3">
      <c r="B301" s="287">
        <f t="shared" si="93"/>
        <v>297</v>
      </c>
      <c r="C301" s="272" t="s">
        <v>174</v>
      </c>
      <c r="D301" s="288" t="str">
        <f t="shared" si="94"/>
        <v>Oct-25</v>
      </c>
      <c r="E301" s="288" t="s">
        <v>107</v>
      </c>
      <c r="F301" s="289">
        <v>45940</v>
      </c>
      <c r="G301" s="290" t="s">
        <v>2029</v>
      </c>
      <c r="H301" s="291" t="s">
        <v>2598</v>
      </c>
      <c r="I301" s="290" t="s">
        <v>401</v>
      </c>
      <c r="J301" s="387">
        <v>1025200251</v>
      </c>
      <c r="K301" s="289">
        <v>45940</v>
      </c>
      <c r="L301" s="291" t="s">
        <v>2081</v>
      </c>
      <c r="M301" s="289">
        <v>45940</v>
      </c>
      <c r="N301" s="291" t="s">
        <v>255</v>
      </c>
      <c r="O301" s="296" t="s">
        <v>2082</v>
      </c>
      <c r="P301" s="291" t="s">
        <v>501</v>
      </c>
      <c r="Q301" s="291" t="s">
        <v>2608</v>
      </c>
      <c r="R301" s="458">
        <v>26250</v>
      </c>
      <c r="S301" s="404">
        <v>32.799999999999997</v>
      </c>
      <c r="T301" s="459">
        <f t="shared" si="90"/>
        <v>860999.99999999988</v>
      </c>
      <c r="U301" s="298"/>
      <c r="V301" s="288" t="s">
        <v>3288</v>
      </c>
      <c r="W301" s="296" t="str">
        <f t="shared" si="95"/>
        <v>Jan-00</v>
      </c>
      <c r="X301" s="293"/>
      <c r="Y301" s="293"/>
      <c r="Z301" s="318"/>
      <c r="AA301" s="293"/>
      <c r="AB301" s="293"/>
      <c r="AC301" s="298"/>
      <c r="AD301" s="298"/>
      <c r="AE301" s="512"/>
      <c r="AF301" s="513"/>
      <c r="AG301" s="514"/>
      <c r="AH301" s="514"/>
      <c r="AI301" s="514">
        <f t="shared" si="91"/>
        <v>0</v>
      </c>
      <c r="AJ301" s="514">
        <v>0</v>
      </c>
      <c r="AK301" s="514">
        <f t="shared" si="92"/>
        <v>0</v>
      </c>
      <c r="AL301" s="514"/>
      <c r="AM301" s="515"/>
      <c r="AN301" s="299"/>
      <c r="AO301" s="296">
        <f t="shared" si="96"/>
        <v>0</v>
      </c>
      <c r="AP301" s="274"/>
      <c r="AQ301" s="305"/>
      <c r="AR301" s="275">
        <f t="shared" si="97"/>
        <v>0</v>
      </c>
      <c r="AS301" s="280"/>
    </row>
    <row r="302" spans="2:45" x14ac:dyDescent="0.3">
      <c r="B302" s="287">
        <f t="shared" si="93"/>
        <v>298</v>
      </c>
      <c r="C302" s="272" t="s">
        <v>174</v>
      </c>
      <c r="D302" s="288" t="str">
        <f t="shared" si="94"/>
        <v>Oct-25</v>
      </c>
      <c r="E302" s="288" t="s">
        <v>107</v>
      </c>
      <c r="F302" s="289">
        <v>45940</v>
      </c>
      <c r="G302" s="290" t="s">
        <v>2030</v>
      </c>
      <c r="H302" s="291" t="s">
        <v>2598</v>
      </c>
      <c r="I302" s="290" t="s">
        <v>401</v>
      </c>
      <c r="J302" s="387">
        <v>6252000072</v>
      </c>
      <c r="K302" s="289">
        <v>45940</v>
      </c>
      <c r="L302" s="291" t="s">
        <v>2083</v>
      </c>
      <c r="M302" s="289">
        <v>45940</v>
      </c>
      <c r="N302" s="291" t="s">
        <v>255</v>
      </c>
      <c r="O302" s="296" t="s">
        <v>314</v>
      </c>
      <c r="P302" s="291" t="s">
        <v>501</v>
      </c>
      <c r="Q302" s="291" t="s">
        <v>2608</v>
      </c>
      <c r="R302" s="458">
        <v>18110</v>
      </c>
      <c r="S302" s="404">
        <v>32.799999999999997</v>
      </c>
      <c r="T302" s="459">
        <f t="shared" si="90"/>
        <v>594008</v>
      </c>
      <c r="U302" s="298"/>
      <c r="V302" s="288" t="s">
        <v>3288</v>
      </c>
      <c r="W302" s="296" t="str">
        <f t="shared" si="95"/>
        <v>Jan-00</v>
      </c>
      <c r="X302" s="293"/>
      <c r="Y302" s="293"/>
      <c r="Z302" s="318"/>
      <c r="AA302" s="293"/>
      <c r="AB302" s="293"/>
      <c r="AC302" s="298"/>
      <c r="AD302" s="298"/>
      <c r="AE302" s="512"/>
      <c r="AF302" s="513"/>
      <c r="AG302" s="514"/>
      <c r="AH302" s="514"/>
      <c r="AI302" s="514">
        <f t="shared" si="91"/>
        <v>0</v>
      </c>
      <c r="AJ302" s="514">
        <v>0</v>
      </c>
      <c r="AK302" s="514">
        <f t="shared" si="92"/>
        <v>0</v>
      </c>
      <c r="AL302" s="514"/>
      <c r="AM302" s="515"/>
      <c r="AN302" s="299"/>
      <c r="AO302" s="296">
        <f t="shared" si="96"/>
        <v>0</v>
      </c>
      <c r="AP302" s="274"/>
      <c r="AQ302" s="305"/>
      <c r="AR302" s="275">
        <f t="shared" si="97"/>
        <v>0</v>
      </c>
      <c r="AS302" s="280"/>
    </row>
    <row r="303" spans="2:45" x14ac:dyDescent="0.3">
      <c r="B303" s="287">
        <f t="shared" si="93"/>
        <v>299</v>
      </c>
      <c r="C303" s="272" t="s">
        <v>174</v>
      </c>
      <c r="D303" s="288" t="str">
        <f t="shared" si="94"/>
        <v>Oct-25</v>
      </c>
      <c r="E303" s="288" t="s">
        <v>107</v>
      </c>
      <c r="F303" s="289">
        <v>45940</v>
      </c>
      <c r="G303" s="290" t="s">
        <v>2031</v>
      </c>
      <c r="H303" s="291" t="s">
        <v>2598</v>
      </c>
      <c r="I303" s="290" t="s">
        <v>401</v>
      </c>
      <c r="J303" s="387">
        <v>8252001795</v>
      </c>
      <c r="K303" s="289">
        <v>45940</v>
      </c>
      <c r="L303" s="291" t="s">
        <v>2084</v>
      </c>
      <c r="M303" s="289">
        <v>45940</v>
      </c>
      <c r="N303" s="291" t="s">
        <v>255</v>
      </c>
      <c r="O303" s="296" t="s">
        <v>631</v>
      </c>
      <c r="P303" s="291" t="s">
        <v>501</v>
      </c>
      <c r="Q303" s="291" t="s">
        <v>2608</v>
      </c>
      <c r="R303" s="458">
        <v>22030</v>
      </c>
      <c r="S303" s="404">
        <v>32.799999999999997</v>
      </c>
      <c r="T303" s="459">
        <f t="shared" si="90"/>
        <v>722583.99999999988</v>
      </c>
      <c r="U303" s="298"/>
      <c r="V303" s="288" t="s">
        <v>3288</v>
      </c>
      <c r="W303" s="296" t="str">
        <f t="shared" si="95"/>
        <v>Jan-00</v>
      </c>
      <c r="X303" s="293"/>
      <c r="Y303" s="293"/>
      <c r="Z303" s="318"/>
      <c r="AA303" s="293"/>
      <c r="AB303" s="293"/>
      <c r="AC303" s="298"/>
      <c r="AD303" s="298"/>
      <c r="AE303" s="512"/>
      <c r="AF303" s="513"/>
      <c r="AG303" s="514"/>
      <c r="AH303" s="514"/>
      <c r="AI303" s="514">
        <f t="shared" si="91"/>
        <v>0</v>
      </c>
      <c r="AJ303" s="514">
        <v>0</v>
      </c>
      <c r="AK303" s="514">
        <f t="shared" si="92"/>
        <v>0</v>
      </c>
      <c r="AL303" s="514"/>
      <c r="AM303" s="515"/>
      <c r="AN303" s="299"/>
      <c r="AO303" s="296">
        <f t="shared" si="96"/>
        <v>0</v>
      </c>
      <c r="AP303" s="274"/>
      <c r="AQ303" s="305"/>
      <c r="AR303" s="275">
        <f t="shared" si="97"/>
        <v>0</v>
      </c>
      <c r="AS303" s="280"/>
    </row>
    <row r="304" spans="2:45" x14ac:dyDescent="0.3">
      <c r="B304" s="287">
        <f t="shared" si="93"/>
        <v>300</v>
      </c>
      <c r="C304" s="272" t="s">
        <v>174</v>
      </c>
      <c r="D304" s="288" t="str">
        <f t="shared" si="94"/>
        <v>Oct-25</v>
      </c>
      <c r="E304" s="288" t="s">
        <v>107</v>
      </c>
      <c r="F304" s="289">
        <v>45941</v>
      </c>
      <c r="G304" s="290" t="s">
        <v>2036</v>
      </c>
      <c r="H304" s="291" t="s">
        <v>2600</v>
      </c>
      <c r="I304" s="290" t="s">
        <v>1984</v>
      </c>
      <c r="J304" s="387">
        <v>122511107152</v>
      </c>
      <c r="K304" s="289">
        <v>45941</v>
      </c>
      <c r="L304" s="291" t="s">
        <v>2089</v>
      </c>
      <c r="M304" s="289">
        <v>45941</v>
      </c>
      <c r="N304" s="291" t="s">
        <v>255</v>
      </c>
      <c r="O304" s="296" t="s">
        <v>979</v>
      </c>
      <c r="P304" s="291" t="s">
        <v>500</v>
      </c>
      <c r="Q304" s="291" t="s">
        <v>2607</v>
      </c>
      <c r="R304" s="458">
        <v>9160</v>
      </c>
      <c r="S304" s="404">
        <v>32.1</v>
      </c>
      <c r="T304" s="459">
        <f t="shared" si="90"/>
        <v>294036</v>
      </c>
      <c r="U304" s="298"/>
      <c r="V304" s="288" t="s">
        <v>3288</v>
      </c>
      <c r="W304" s="296" t="str">
        <f t="shared" si="95"/>
        <v>Jan-00</v>
      </c>
      <c r="X304" s="293"/>
      <c r="Y304" s="293"/>
      <c r="Z304" s="318"/>
      <c r="AA304" s="293"/>
      <c r="AB304" s="293"/>
      <c r="AC304" s="298"/>
      <c r="AD304" s="298"/>
      <c r="AE304" s="512"/>
      <c r="AF304" s="513"/>
      <c r="AG304" s="514"/>
      <c r="AH304" s="514"/>
      <c r="AI304" s="514">
        <f t="shared" si="91"/>
        <v>0</v>
      </c>
      <c r="AJ304" s="514">
        <v>0</v>
      </c>
      <c r="AK304" s="514">
        <f t="shared" si="92"/>
        <v>0</v>
      </c>
      <c r="AL304" s="514"/>
      <c r="AM304" s="515"/>
      <c r="AN304" s="299"/>
      <c r="AO304" s="296">
        <f t="shared" si="96"/>
        <v>0</v>
      </c>
      <c r="AP304" s="274"/>
      <c r="AQ304" s="305"/>
      <c r="AR304" s="275">
        <f t="shared" si="97"/>
        <v>0</v>
      </c>
      <c r="AS304" s="280"/>
    </row>
    <row r="305" spans="2:45" x14ac:dyDescent="0.3">
      <c r="B305" s="287">
        <f t="shared" si="93"/>
        <v>301</v>
      </c>
      <c r="C305" s="272" t="s">
        <v>174</v>
      </c>
      <c r="D305" s="288" t="str">
        <f t="shared" si="94"/>
        <v>Oct-25</v>
      </c>
      <c r="E305" s="288" t="s">
        <v>107</v>
      </c>
      <c r="F305" s="289">
        <v>45941</v>
      </c>
      <c r="G305" s="290" t="s">
        <v>2035</v>
      </c>
      <c r="H305" s="291" t="s">
        <v>2600</v>
      </c>
      <c r="I305" s="290" t="s">
        <v>1984</v>
      </c>
      <c r="J305" s="387">
        <v>122511107096</v>
      </c>
      <c r="K305" s="289">
        <v>45941</v>
      </c>
      <c r="L305" s="291" t="s">
        <v>2088</v>
      </c>
      <c r="M305" s="289">
        <v>45941</v>
      </c>
      <c r="N305" s="291" t="s">
        <v>255</v>
      </c>
      <c r="O305" s="296" t="s">
        <v>992</v>
      </c>
      <c r="P305" s="291" t="s">
        <v>500</v>
      </c>
      <c r="Q305" s="291" t="s">
        <v>2607</v>
      </c>
      <c r="R305" s="458">
        <v>9020</v>
      </c>
      <c r="S305" s="404">
        <v>32.1</v>
      </c>
      <c r="T305" s="459">
        <f t="shared" si="90"/>
        <v>289542</v>
      </c>
      <c r="U305" s="298"/>
      <c r="V305" s="288" t="s">
        <v>3288</v>
      </c>
      <c r="W305" s="296" t="str">
        <f t="shared" si="95"/>
        <v>Jan-00</v>
      </c>
      <c r="X305" s="293"/>
      <c r="Y305" s="293"/>
      <c r="Z305" s="318"/>
      <c r="AA305" s="293"/>
      <c r="AB305" s="293"/>
      <c r="AC305" s="298"/>
      <c r="AD305" s="298"/>
      <c r="AE305" s="512"/>
      <c r="AF305" s="513"/>
      <c r="AG305" s="514"/>
      <c r="AH305" s="514"/>
      <c r="AI305" s="514">
        <f t="shared" si="91"/>
        <v>0</v>
      </c>
      <c r="AJ305" s="514">
        <v>0</v>
      </c>
      <c r="AK305" s="514">
        <f t="shared" si="92"/>
        <v>0</v>
      </c>
      <c r="AL305" s="514"/>
      <c r="AM305" s="515"/>
      <c r="AN305" s="299"/>
      <c r="AO305" s="296">
        <f t="shared" si="96"/>
        <v>0</v>
      </c>
      <c r="AP305" s="274"/>
      <c r="AQ305" s="305"/>
      <c r="AR305" s="275">
        <f t="shared" si="97"/>
        <v>0</v>
      </c>
      <c r="AS305" s="280"/>
    </row>
    <row r="306" spans="2:45" x14ac:dyDescent="0.3">
      <c r="B306" s="287">
        <f t="shared" si="93"/>
        <v>302</v>
      </c>
      <c r="C306" s="272" t="s">
        <v>174</v>
      </c>
      <c r="D306" s="288" t="str">
        <f t="shared" si="94"/>
        <v>Oct-25</v>
      </c>
      <c r="E306" s="288" t="s">
        <v>107</v>
      </c>
      <c r="F306" s="289">
        <v>45941</v>
      </c>
      <c r="G306" s="290" t="s">
        <v>2034</v>
      </c>
      <c r="H306" s="291" t="s">
        <v>2600</v>
      </c>
      <c r="I306" s="290" t="s">
        <v>1984</v>
      </c>
      <c r="J306" s="387">
        <v>122511107205</v>
      </c>
      <c r="K306" s="289">
        <v>45941</v>
      </c>
      <c r="L306" s="291" t="s">
        <v>2087</v>
      </c>
      <c r="M306" s="289">
        <v>45941</v>
      </c>
      <c r="N306" s="291" t="s">
        <v>255</v>
      </c>
      <c r="O306" s="296" t="s">
        <v>708</v>
      </c>
      <c r="P306" s="291" t="s">
        <v>500</v>
      </c>
      <c r="Q306" s="291" t="s">
        <v>2607</v>
      </c>
      <c r="R306" s="458">
        <v>8120</v>
      </c>
      <c r="S306" s="404">
        <v>32.1</v>
      </c>
      <c r="T306" s="459">
        <f t="shared" si="90"/>
        <v>260652</v>
      </c>
      <c r="U306" s="298"/>
      <c r="V306" s="288" t="s">
        <v>3288</v>
      </c>
      <c r="W306" s="296" t="str">
        <f t="shared" si="95"/>
        <v>Jan-00</v>
      </c>
      <c r="X306" s="293"/>
      <c r="Y306" s="293"/>
      <c r="Z306" s="318"/>
      <c r="AA306" s="293"/>
      <c r="AB306" s="293"/>
      <c r="AC306" s="298"/>
      <c r="AD306" s="298"/>
      <c r="AE306" s="512"/>
      <c r="AF306" s="513"/>
      <c r="AG306" s="514"/>
      <c r="AH306" s="514"/>
      <c r="AI306" s="514">
        <f t="shared" si="91"/>
        <v>0</v>
      </c>
      <c r="AJ306" s="514">
        <v>0</v>
      </c>
      <c r="AK306" s="514">
        <f t="shared" si="92"/>
        <v>0</v>
      </c>
      <c r="AL306" s="514"/>
      <c r="AM306" s="515"/>
      <c r="AN306" s="299"/>
      <c r="AO306" s="296">
        <f t="shared" si="96"/>
        <v>0</v>
      </c>
      <c r="AP306" s="274"/>
      <c r="AQ306" s="305"/>
      <c r="AR306" s="275">
        <f t="shared" si="97"/>
        <v>0</v>
      </c>
      <c r="AS306" s="280"/>
    </row>
    <row r="307" spans="2:45" x14ac:dyDescent="0.3">
      <c r="B307" s="287">
        <f t="shared" si="93"/>
        <v>303</v>
      </c>
      <c r="C307" s="272" t="s">
        <v>174</v>
      </c>
      <c r="D307" s="288" t="str">
        <f t="shared" si="94"/>
        <v>Oct-25</v>
      </c>
      <c r="E307" s="288" t="s">
        <v>107</v>
      </c>
      <c r="F307" s="289">
        <v>45941</v>
      </c>
      <c r="G307" s="290" t="s">
        <v>2033</v>
      </c>
      <c r="H307" s="291" t="s">
        <v>2600</v>
      </c>
      <c r="I307" s="290" t="s">
        <v>1984</v>
      </c>
      <c r="J307" s="387">
        <v>122511107160</v>
      </c>
      <c r="K307" s="289">
        <v>45941</v>
      </c>
      <c r="L307" s="291" t="s">
        <v>2086</v>
      </c>
      <c r="M307" s="289">
        <v>45941</v>
      </c>
      <c r="N307" s="291" t="s">
        <v>255</v>
      </c>
      <c r="O307" s="296" t="s">
        <v>989</v>
      </c>
      <c r="P307" s="291" t="s">
        <v>500</v>
      </c>
      <c r="Q307" s="291" t="s">
        <v>2607</v>
      </c>
      <c r="R307" s="458">
        <v>9640</v>
      </c>
      <c r="S307" s="404">
        <v>32.1</v>
      </c>
      <c r="T307" s="459">
        <f t="shared" si="90"/>
        <v>309444</v>
      </c>
      <c r="U307" s="298"/>
      <c r="V307" s="288" t="s">
        <v>3288</v>
      </c>
      <c r="W307" s="296" t="str">
        <f t="shared" si="95"/>
        <v>Jan-00</v>
      </c>
      <c r="X307" s="293"/>
      <c r="Y307" s="293"/>
      <c r="Z307" s="318"/>
      <c r="AA307" s="293"/>
      <c r="AB307" s="293"/>
      <c r="AC307" s="298"/>
      <c r="AD307" s="298"/>
      <c r="AE307" s="512"/>
      <c r="AF307" s="513"/>
      <c r="AG307" s="514"/>
      <c r="AH307" s="514"/>
      <c r="AI307" s="514">
        <f t="shared" si="91"/>
        <v>0</v>
      </c>
      <c r="AJ307" s="514">
        <v>0</v>
      </c>
      <c r="AK307" s="514">
        <f t="shared" si="92"/>
        <v>0</v>
      </c>
      <c r="AL307" s="514"/>
      <c r="AM307" s="515"/>
      <c r="AN307" s="299"/>
      <c r="AO307" s="296">
        <f t="shared" si="96"/>
        <v>0</v>
      </c>
      <c r="AP307" s="274"/>
      <c r="AQ307" s="305"/>
      <c r="AR307" s="275">
        <f t="shared" si="97"/>
        <v>0</v>
      </c>
      <c r="AS307" s="280"/>
    </row>
    <row r="308" spans="2:45" x14ac:dyDescent="0.3">
      <c r="B308" s="287">
        <f t="shared" si="93"/>
        <v>304</v>
      </c>
      <c r="C308" s="272" t="s">
        <v>174</v>
      </c>
      <c r="D308" s="288" t="str">
        <f t="shared" si="94"/>
        <v>Oct-25</v>
      </c>
      <c r="E308" s="288" t="s">
        <v>107</v>
      </c>
      <c r="F308" s="289">
        <v>45941</v>
      </c>
      <c r="G308" s="290" t="s">
        <v>2037</v>
      </c>
      <c r="H308" s="291" t="s">
        <v>2599</v>
      </c>
      <c r="I308" s="290" t="s">
        <v>1672</v>
      </c>
      <c r="J308" s="387">
        <v>2526032649</v>
      </c>
      <c r="K308" s="289">
        <v>45941</v>
      </c>
      <c r="L308" s="291" t="s">
        <v>2090</v>
      </c>
      <c r="M308" s="289">
        <v>45941</v>
      </c>
      <c r="N308" s="291" t="s">
        <v>255</v>
      </c>
      <c r="O308" s="296" t="s">
        <v>1448</v>
      </c>
      <c r="P308" s="291" t="s">
        <v>500</v>
      </c>
      <c r="Q308" s="291" t="s">
        <v>2607</v>
      </c>
      <c r="R308" s="458">
        <v>7240</v>
      </c>
      <c r="S308" s="404">
        <v>32.299999999999997</v>
      </c>
      <c r="T308" s="459">
        <f t="shared" si="90"/>
        <v>233851.99999999997</v>
      </c>
      <c r="U308" s="298"/>
      <c r="V308" s="288" t="s">
        <v>3288</v>
      </c>
      <c r="W308" s="296" t="str">
        <f t="shared" si="95"/>
        <v>Jan-00</v>
      </c>
      <c r="X308" s="293"/>
      <c r="Y308" s="293"/>
      <c r="Z308" s="318"/>
      <c r="AA308" s="293"/>
      <c r="AB308" s="293"/>
      <c r="AC308" s="298"/>
      <c r="AD308" s="298"/>
      <c r="AE308" s="512"/>
      <c r="AF308" s="513"/>
      <c r="AG308" s="514"/>
      <c r="AH308" s="514"/>
      <c r="AI308" s="514">
        <f t="shared" si="91"/>
        <v>0</v>
      </c>
      <c r="AJ308" s="514">
        <v>0</v>
      </c>
      <c r="AK308" s="514">
        <f t="shared" si="92"/>
        <v>0</v>
      </c>
      <c r="AL308" s="514"/>
      <c r="AM308" s="515"/>
      <c r="AN308" s="299"/>
      <c r="AO308" s="296">
        <f t="shared" si="96"/>
        <v>0</v>
      </c>
      <c r="AP308" s="274"/>
      <c r="AQ308" s="305"/>
      <c r="AR308" s="275">
        <f t="shared" si="97"/>
        <v>0</v>
      </c>
      <c r="AS308" s="280"/>
    </row>
    <row r="309" spans="2:45" x14ac:dyDescent="0.3">
      <c r="B309" s="287">
        <f t="shared" si="93"/>
        <v>305</v>
      </c>
      <c r="C309" s="272" t="s">
        <v>174</v>
      </c>
      <c r="D309" s="288" t="str">
        <f t="shared" si="94"/>
        <v>Oct-25</v>
      </c>
      <c r="E309" s="288" t="s">
        <v>107</v>
      </c>
      <c r="F309" s="289">
        <v>45941</v>
      </c>
      <c r="G309" s="290" t="s">
        <v>2032</v>
      </c>
      <c r="H309" s="291" t="s">
        <v>2598</v>
      </c>
      <c r="I309" s="290" t="s">
        <v>401</v>
      </c>
      <c r="J309" s="387">
        <v>5252001016</v>
      </c>
      <c r="K309" s="289">
        <v>45941</v>
      </c>
      <c r="L309" s="291" t="s">
        <v>2085</v>
      </c>
      <c r="M309" s="289">
        <v>45941</v>
      </c>
      <c r="N309" s="291" t="s">
        <v>255</v>
      </c>
      <c r="O309" s="296" t="s">
        <v>908</v>
      </c>
      <c r="P309" s="291" t="s">
        <v>501</v>
      </c>
      <c r="Q309" s="291" t="s">
        <v>2608</v>
      </c>
      <c r="R309" s="458">
        <v>20570</v>
      </c>
      <c r="S309" s="404">
        <v>32.799999999999997</v>
      </c>
      <c r="T309" s="459">
        <f t="shared" si="90"/>
        <v>674695.99999999988</v>
      </c>
      <c r="U309" s="298"/>
      <c r="V309" s="288" t="s">
        <v>3288</v>
      </c>
      <c r="W309" s="296" t="str">
        <f t="shared" si="95"/>
        <v>Jan-00</v>
      </c>
      <c r="X309" s="293"/>
      <c r="Y309" s="293"/>
      <c r="Z309" s="318"/>
      <c r="AA309" s="293"/>
      <c r="AB309" s="293"/>
      <c r="AC309" s="298"/>
      <c r="AD309" s="298"/>
      <c r="AE309" s="512"/>
      <c r="AF309" s="513"/>
      <c r="AG309" s="514"/>
      <c r="AH309" s="514"/>
      <c r="AI309" s="514">
        <f t="shared" si="91"/>
        <v>0</v>
      </c>
      <c r="AJ309" s="514">
        <v>0</v>
      </c>
      <c r="AK309" s="514">
        <f t="shared" si="92"/>
        <v>0</v>
      </c>
      <c r="AL309" s="514"/>
      <c r="AM309" s="515"/>
      <c r="AN309" s="299"/>
      <c r="AO309" s="296">
        <f t="shared" si="96"/>
        <v>0</v>
      </c>
      <c r="AP309" s="274"/>
      <c r="AQ309" s="305"/>
      <c r="AR309" s="275">
        <f t="shared" si="97"/>
        <v>0</v>
      </c>
      <c r="AS309" s="280"/>
    </row>
    <row r="310" spans="2:45" x14ac:dyDescent="0.3">
      <c r="B310" s="287">
        <f t="shared" si="93"/>
        <v>306</v>
      </c>
      <c r="C310" s="272" t="s">
        <v>174</v>
      </c>
      <c r="D310" s="288" t="str">
        <f t="shared" si="94"/>
        <v>Oct-25</v>
      </c>
      <c r="E310" s="288" t="s">
        <v>107</v>
      </c>
      <c r="F310" s="289">
        <v>45941</v>
      </c>
      <c r="G310" s="290" t="s">
        <v>2038</v>
      </c>
      <c r="H310" s="291" t="s">
        <v>2598</v>
      </c>
      <c r="I310" s="290" t="s">
        <v>401</v>
      </c>
      <c r="J310" s="387">
        <v>8252001796</v>
      </c>
      <c r="K310" s="289">
        <v>45941</v>
      </c>
      <c r="L310" s="291" t="s">
        <v>2091</v>
      </c>
      <c r="M310" s="289">
        <v>45941</v>
      </c>
      <c r="N310" s="291" t="s">
        <v>255</v>
      </c>
      <c r="O310" s="296" t="s">
        <v>631</v>
      </c>
      <c r="P310" s="291" t="s">
        <v>501</v>
      </c>
      <c r="Q310" s="291" t="s">
        <v>2608</v>
      </c>
      <c r="R310" s="458">
        <v>14270</v>
      </c>
      <c r="S310" s="404">
        <v>32.799999999999997</v>
      </c>
      <c r="T310" s="459">
        <f t="shared" si="90"/>
        <v>468055.99999999994</v>
      </c>
      <c r="U310" s="298"/>
      <c r="V310" s="288" t="s">
        <v>3288</v>
      </c>
      <c r="W310" s="296" t="str">
        <f t="shared" si="95"/>
        <v>Jan-00</v>
      </c>
      <c r="X310" s="293"/>
      <c r="Y310" s="293"/>
      <c r="Z310" s="318"/>
      <c r="AA310" s="293"/>
      <c r="AB310" s="293"/>
      <c r="AC310" s="298"/>
      <c r="AD310" s="298"/>
      <c r="AE310" s="512"/>
      <c r="AF310" s="513"/>
      <c r="AG310" s="514"/>
      <c r="AH310" s="514"/>
      <c r="AI310" s="514">
        <f t="shared" si="91"/>
        <v>0</v>
      </c>
      <c r="AJ310" s="514">
        <v>0</v>
      </c>
      <c r="AK310" s="514">
        <f t="shared" si="92"/>
        <v>0</v>
      </c>
      <c r="AL310" s="514"/>
      <c r="AM310" s="515"/>
      <c r="AN310" s="299"/>
      <c r="AO310" s="296">
        <f t="shared" si="96"/>
        <v>0</v>
      </c>
      <c r="AP310" s="274"/>
      <c r="AQ310" s="305"/>
      <c r="AR310" s="275">
        <f t="shared" si="97"/>
        <v>0</v>
      </c>
      <c r="AS310" s="280"/>
    </row>
    <row r="311" spans="2:45" x14ac:dyDescent="0.3">
      <c r="B311" s="287">
        <f t="shared" si="93"/>
        <v>307</v>
      </c>
      <c r="C311" s="272" t="s">
        <v>174</v>
      </c>
      <c r="D311" s="288" t="str">
        <f t="shared" si="94"/>
        <v>Oct-25</v>
      </c>
      <c r="E311" s="288" t="s">
        <v>107</v>
      </c>
      <c r="F311" s="289">
        <v>45942</v>
      </c>
      <c r="G311" s="290" t="s">
        <v>2040</v>
      </c>
      <c r="H311" s="291" t="s">
        <v>2600</v>
      </c>
      <c r="I311" s="290" t="s">
        <v>1984</v>
      </c>
      <c r="J311" s="387">
        <v>122511107785</v>
      </c>
      <c r="K311" s="289">
        <v>45942</v>
      </c>
      <c r="L311" s="291" t="s">
        <v>2094</v>
      </c>
      <c r="M311" s="289">
        <v>45942</v>
      </c>
      <c r="N311" s="291" t="s">
        <v>255</v>
      </c>
      <c r="O311" s="296" t="s">
        <v>704</v>
      </c>
      <c r="P311" s="291" t="s">
        <v>500</v>
      </c>
      <c r="Q311" s="291" t="s">
        <v>2607</v>
      </c>
      <c r="R311" s="458">
        <v>9270</v>
      </c>
      <c r="S311" s="404">
        <v>32.1</v>
      </c>
      <c r="T311" s="459">
        <f t="shared" si="90"/>
        <v>297567</v>
      </c>
      <c r="U311" s="298"/>
      <c r="V311" s="288" t="s">
        <v>3288</v>
      </c>
      <c r="W311" s="296" t="str">
        <f t="shared" si="95"/>
        <v>Jan-00</v>
      </c>
      <c r="X311" s="293"/>
      <c r="Y311" s="293"/>
      <c r="Z311" s="318"/>
      <c r="AA311" s="293"/>
      <c r="AB311" s="293"/>
      <c r="AC311" s="298"/>
      <c r="AD311" s="298"/>
      <c r="AE311" s="512"/>
      <c r="AF311" s="513"/>
      <c r="AG311" s="514"/>
      <c r="AH311" s="514"/>
      <c r="AI311" s="514">
        <f t="shared" si="91"/>
        <v>0</v>
      </c>
      <c r="AJ311" s="514">
        <v>0</v>
      </c>
      <c r="AK311" s="514">
        <f t="shared" si="92"/>
        <v>0</v>
      </c>
      <c r="AL311" s="514"/>
      <c r="AM311" s="515"/>
      <c r="AN311" s="299"/>
      <c r="AO311" s="296">
        <f t="shared" si="96"/>
        <v>0</v>
      </c>
      <c r="AP311" s="274"/>
      <c r="AQ311" s="305"/>
      <c r="AR311" s="275">
        <f t="shared" si="97"/>
        <v>0</v>
      </c>
      <c r="AS311" s="280"/>
    </row>
    <row r="312" spans="2:45" x14ac:dyDescent="0.3">
      <c r="B312" s="287">
        <f t="shared" si="93"/>
        <v>308</v>
      </c>
      <c r="C312" s="272" t="s">
        <v>174</v>
      </c>
      <c r="D312" s="288" t="str">
        <f t="shared" si="94"/>
        <v>Oct-25</v>
      </c>
      <c r="E312" s="288" t="s">
        <v>107</v>
      </c>
      <c r="F312" s="289">
        <v>45942</v>
      </c>
      <c r="G312" s="290" t="s">
        <v>2039</v>
      </c>
      <c r="H312" s="291" t="s">
        <v>2600</v>
      </c>
      <c r="I312" s="290" t="s">
        <v>1984</v>
      </c>
      <c r="J312" s="387">
        <v>122511107790</v>
      </c>
      <c r="K312" s="289">
        <v>45942</v>
      </c>
      <c r="L312" s="291" t="s">
        <v>2092</v>
      </c>
      <c r="M312" s="289">
        <v>45942</v>
      </c>
      <c r="N312" s="291" t="s">
        <v>255</v>
      </c>
      <c r="O312" s="296" t="s">
        <v>2093</v>
      </c>
      <c r="P312" s="291" t="s">
        <v>500</v>
      </c>
      <c r="Q312" s="291" t="s">
        <v>2607</v>
      </c>
      <c r="R312" s="458">
        <v>8120</v>
      </c>
      <c r="S312" s="404">
        <v>32.1</v>
      </c>
      <c r="T312" s="459">
        <f t="shared" si="90"/>
        <v>260652</v>
      </c>
      <c r="U312" s="298"/>
      <c r="V312" s="288" t="s">
        <v>3288</v>
      </c>
      <c r="W312" s="296" t="str">
        <f t="shared" si="95"/>
        <v>Jan-00</v>
      </c>
      <c r="X312" s="293"/>
      <c r="Y312" s="293"/>
      <c r="Z312" s="318"/>
      <c r="AA312" s="293"/>
      <c r="AB312" s="293"/>
      <c r="AC312" s="298"/>
      <c r="AD312" s="298"/>
      <c r="AE312" s="512"/>
      <c r="AF312" s="513"/>
      <c r="AG312" s="514"/>
      <c r="AH312" s="514"/>
      <c r="AI312" s="514">
        <f t="shared" si="91"/>
        <v>0</v>
      </c>
      <c r="AJ312" s="514">
        <v>0</v>
      </c>
      <c r="AK312" s="514">
        <f t="shared" si="92"/>
        <v>0</v>
      </c>
      <c r="AL312" s="514"/>
      <c r="AM312" s="515"/>
      <c r="AN312" s="299"/>
      <c r="AO312" s="296">
        <f t="shared" si="96"/>
        <v>0</v>
      </c>
      <c r="AP312" s="274"/>
      <c r="AQ312" s="305"/>
      <c r="AR312" s="275">
        <f t="shared" si="97"/>
        <v>0</v>
      </c>
      <c r="AS312" s="280"/>
    </row>
    <row r="313" spans="2:45" x14ac:dyDescent="0.3">
      <c r="B313" s="287">
        <f t="shared" si="93"/>
        <v>309</v>
      </c>
      <c r="C313" s="272" t="s">
        <v>174</v>
      </c>
      <c r="D313" s="288" t="str">
        <f t="shared" si="94"/>
        <v>Oct-25</v>
      </c>
      <c r="E313" s="288" t="s">
        <v>107</v>
      </c>
      <c r="F313" s="289">
        <v>45942</v>
      </c>
      <c r="G313" s="290" t="s">
        <v>2041</v>
      </c>
      <c r="H313" s="291" t="s">
        <v>2598</v>
      </c>
      <c r="I313" s="290" t="s">
        <v>401</v>
      </c>
      <c r="J313" s="387">
        <v>8252001803</v>
      </c>
      <c r="K313" s="289">
        <v>45942</v>
      </c>
      <c r="L313" s="291" t="s">
        <v>2095</v>
      </c>
      <c r="M313" s="289">
        <v>45942</v>
      </c>
      <c r="N313" s="291" t="s">
        <v>255</v>
      </c>
      <c r="O313" s="296" t="s">
        <v>1445</v>
      </c>
      <c r="P313" s="291" t="s">
        <v>501</v>
      </c>
      <c r="Q313" s="291" t="s">
        <v>2608</v>
      </c>
      <c r="R313" s="458">
        <v>23710</v>
      </c>
      <c r="S313" s="404">
        <v>32.799999999999997</v>
      </c>
      <c r="T313" s="459">
        <f t="shared" si="90"/>
        <v>777687.99999999988</v>
      </c>
      <c r="U313" s="298"/>
      <c r="V313" s="288" t="s">
        <v>3288</v>
      </c>
      <c r="W313" s="296" t="str">
        <f t="shared" si="95"/>
        <v>Jan-00</v>
      </c>
      <c r="X313" s="293"/>
      <c r="Y313" s="293"/>
      <c r="Z313" s="318"/>
      <c r="AA313" s="293"/>
      <c r="AB313" s="293"/>
      <c r="AC313" s="298"/>
      <c r="AD313" s="298"/>
      <c r="AE313" s="512"/>
      <c r="AF313" s="513"/>
      <c r="AG313" s="514"/>
      <c r="AH313" s="514"/>
      <c r="AI313" s="514">
        <f t="shared" si="91"/>
        <v>0</v>
      </c>
      <c r="AJ313" s="514">
        <v>0</v>
      </c>
      <c r="AK313" s="514">
        <f t="shared" si="92"/>
        <v>0</v>
      </c>
      <c r="AL313" s="514"/>
      <c r="AM313" s="515"/>
      <c r="AN313" s="299"/>
      <c r="AO313" s="296">
        <f t="shared" si="96"/>
        <v>0</v>
      </c>
      <c r="AP313" s="274"/>
      <c r="AQ313" s="305"/>
      <c r="AR313" s="275">
        <f t="shared" si="97"/>
        <v>0</v>
      </c>
      <c r="AS313" s="280"/>
    </row>
    <row r="314" spans="2:45" x14ac:dyDescent="0.3">
      <c r="B314" s="287">
        <f t="shared" si="93"/>
        <v>310</v>
      </c>
      <c r="C314" s="272" t="s">
        <v>174</v>
      </c>
      <c r="D314" s="288" t="str">
        <f t="shared" si="94"/>
        <v>Oct-25</v>
      </c>
      <c r="E314" s="288" t="s">
        <v>2689</v>
      </c>
      <c r="F314" s="289">
        <v>45943</v>
      </c>
      <c r="G314" s="290" t="s">
        <v>2229</v>
      </c>
      <c r="H314" s="291" t="s">
        <v>2600</v>
      </c>
      <c r="I314" s="290" t="s">
        <v>1984</v>
      </c>
      <c r="J314" s="387">
        <v>122511108022</v>
      </c>
      <c r="K314" s="289">
        <v>45943</v>
      </c>
      <c r="L314" s="291" t="s">
        <v>2700</v>
      </c>
      <c r="M314" s="289">
        <v>45961</v>
      </c>
      <c r="N314" s="291" t="s">
        <v>255</v>
      </c>
      <c r="O314" s="296" t="s">
        <v>2690</v>
      </c>
      <c r="P314" s="291" t="s">
        <v>500</v>
      </c>
      <c r="Q314" s="291" t="s">
        <v>2607</v>
      </c>
      <c r="R314" s="458">
        <v>9740</v>
      </c>
      <c r="S314" s="404">
        <v>32.1</v>
      </c>
      <c r="T314" s="459">
        <f t="shared" si="90"/>
        <v>312654</v>
      </c>
      <c r="U314" s="298"/>
      <c r="V314" s="288" t="s">
        <v>3288</v>
      </c>
      <c r="W314" s="296" t="str">
        <f t="shared" si="95"/>
        <v>Jan-00</v>
      </c>
      <c r="X314" s="293"/>
      <c r="Y314" s="293"/>
      <c r="Z314" s="318"/>
      <c r="AA314" s="293"/>
      <c r="AB314" s="293"/>
      <c r="AC314" s="298"/>
      <c r="AD314" s="298"/>
      <c r="AE314" s="512"/>
      <c r="AF314" s="513"/>
      <c r="AG314" s="514"/>
      <c r="AH314" s="514"/>
      <c r="AI314" s="514"/>
      <c r="AJ314" s="514"/>
      <c r="AK314" s="514"/>
      <c r="AL314" s="514"/>
      <c r="AM314" s="515"/>
      <c r="AN314" s="299"/>
      <c r="AO314" s="296">
        <f t="shared" si="96"/>
        <v>0</v>
      </c>
      <c r="AP314" s="274"/>
      <c r="AQ314" s="305"/>
      <c r="AR314" s="275">
        <f t="shared" si="97"/>
        <v>0</v>
      </c>
      <c r="AS314" s="280"/>
    </row>
    <row r="315" spans="2:45" x14ac:dyDescent="0.3">
      <c r="B315" s="287">
        <f t="shared" si="93"/>
        <v>311</v>
      </c>
      <c r="C315" s="272" t="s">
        <v>174</v>
      </c>
      <c r="D315" s="288" t="str">
        <f t="shared" si="94"/>
        <v>Oct-25</v>
      </c>
      <c r="E315" s="288" t="s">
        <v>2689</v>
      </c>
      <c r="F315" s="289">
        <v>45943</v>
      </c>
      <c r="G315" s="290" t="s">
        <v>2230</v>
      </c>
      <c r="H315" s="291" t="s">
        <v>2600</v>
      </c>
      <c r="I315" s="290" t="s">
        <v>1984</v>
      </c>
      <c r="J315" s="387">
        <v>122511108066</v>
      </c>
      <c r="K315" s="289">
        <v>45943</v>
      </c>
      <c r="L315" s="291" t="s">
        <v>2701</v>
      </c>
      <c r="M315" s="289">
        <v>45961</v>
      </c>
      <c r="N315" s="291" t="s">
        <v>255</v>
      </c>
      <c r="O315" s="296" t="s">
        <v>2691</v>
      </c>
      <c r="P315" s="291" t="s">
        <v>500</v>
      </c>
      <c r="Q315" s="291" t="s">
        <v>2607</v>
      </c>
      <c r="R315" s="458">
        <v>10890</v>
      </c>
      <c r="S315" s="404">
        <v>32.1</v>
      </c>
      <c r="T315" s="459">
        <f t="shared" si="90"/>
        <v>349569</v>
      </c>
      <c r="U315" s="298"/>
      <c r="V315" s="288" t="s">
        <v>3288</v>
      </c>
      <c r="W315" s="296" t="str">
        <f t="shared" si="95"/>
        <v>Jan-00</v>
      </c>
      <c r="X315" s="293"/>
      <c r="Y315" s="293"/>
      <c r="Z315" s="318"/>
      <c r="AA315" s="293"/>
      <c r="AB315" s="293"/>
      <c r="AC315" s="298"/>
      <c r="AD315" s="298"/>
      <c r="AE315" s="512"/>
      <c r="AF315" s="513"/>
      <c r="AG315" s="514"/>
      <c r="AH315" s="514"/>
      <c r="AI315" s="514"/>
      <c r="AJ315" s="514"/>
      <c r="AK315" s="514"/>
      <c r="AL315" s="514"/>
      <c r="AM315" s="515"/>
      <c r="AN315" s="299"/>
      <c r="AO315" s="296">
        <f t="shared" si="96"/>
        <v>0</v>
      </c>
      <c r="AP315" s="274"/>
      <c r="AQ315" s="305"/>
      <c r="AR315" s="275">
        <f t="shared" si="97"/>
        <v>0</v>
      </c>
      <c r="AS315" s="280"/>
    </row>
    <row r="316" spans="2:45" x14ac:dyDescent="0.3">
      <c r="B316" s="287">
        <f t="shared" si="93"/>
        <v>312</v>
      </c>
      <c r="C316" s="272" t="s">
        <v>174</v>
      </c>
      <c r="D316" s="288" t="str">
        <f t="shared" si="94"/>
        <v>Oct-25</v>
      </c>
      <c r="E316" s="288" t="s">
        <v>2689</v>
      </c>
      <c r="F316" s="289">
        <v>45943</v>
      </c>
      <c r="G316" s="290" t="s">
        <v>2231</v>
      </c>
      <c r="H316" s="291" t="s">
        <v>2600</v>
      </c>
      <c r="I316" s="290" t="s">
        <v>1984</v>
      </c>
      <c r="J316" s="387">
        <v>122511108139</v>
      </c>
      <c r="K316" s="289">
        <v>45943</v>
      </c>
      <c r="L316" s="291" t="s">
        <v>2708</v>
      </c>
      <c r="M316" s="289">
        <v>45961</v>
      </c>
      <c r="N316" s="291" t="s">
        <v>255</v>
      </c>
      <c r="O316" s="296" t="s">
        <v>2692</v>
      </c>
      <c r="P316" s="291" t="s">
        <v>500</v>
      </c>
      <c r="Q316" s="291" t="s">
        <v>2607</v>
      </c>
      <c r="R316" s="458">
        <v>9390</v>
      </c>
      <c r="S316" s="404">
        <v>32.1</v>
      </c>
      <c r="T316" s="459">
        <f t="shared" si="90"/>
        <v>301419</v>
      </c>
      <c r="U316" s="298"/>
      <c r="V316" s="288" t="s">
        <v>3288</v>
      </c>
      <c r="W316" s="296" t="str">
        <f t="shared" si="95"/>
        <v>Jan-00</v>
      </c>
      <c r="X316" s="293"/>
      <c r="Y316" s="293"/>
      <c r="Z316" s="318"/>
      <c r="AA316" s="293"/>
      <c r="AB316" s="293"/>
      <c r="AC316" s="298"/>
      <c r="AD316" s="298"/>
      <c r="AE316" s="512"/>
      <c r="AF316" s="513"/>
      <c r="AG316" s="514"/>
      <c r="AH316" s="514"/>
      <c r="AI316" s="514"/>
      <c r="AJ316" s="514"/>
      <c r="AK316" s="514"/>
      <c r="AL316" s="514"/>
      <c r="AM316" s="515"/>
      <c r="AN316" s="299"/>
      <c r="AO316" s="296">
        <f t="shared" si="96"/>
        <v>0</v>
      </c>
      <c r="AP316" s="274"/>
      <c r="AQ316" s="305"/>
      <c r="AR316" s="275">
        <f t="shared" si="97"/>
        <v>0</v>
      </c>
      <c r="AS316" s="280"/>
    </row>
    <row r="317" spans="2:45" x14ac:dyDescent="0.3">
      <c r="B317" s="287">
        <f t="shared" si="93"/>
        <v>313</v>
      </c>
      <c r="C317" s="272" t="s">
        <v>174</v>
      </c>
      <c r="D317" s="288" t="str">
        <f t="shared" si="94"/>
        <v>Oct-25</v>
      </c>
      <c r="E317" s="288" t="s">
        <v>107</v>
      </c>
      <c r="F317" s="289">
        <v>45943</v>
      </c>
      <c r="G317" s="290" t="s">
        <v>2104</v>
      </c>
      <c r="H317" s="291" t="s">
        <v>2598</v>
      </c>
      <c r="I317" s="290" t="s">
        <v>401</v>
      </c>
      <c r="J317" s="387">
        <v>8252001804</v>
      </c>
      <c r="K317" s="289">
        <v>45943</v>
      </c>
      <c r="L317" s="291" t="s">
        <v>2140</v>
      </c>
      <c r="M317" s="289">
        <v>45943</v>
      </c>
      <c r="N317" s="291" t="s">
        <v>255</v>
      </c>
      <c r="O317" s="296" t="s">
        <v>314</v>
      </c>
      <c r="P317" s="291" t="s">
        <v>501</v>
      </c>
      <c r="Q317" s="291" t="s">
        <v>2608</v>
      </c>
      <c r="R317" s="458">
        <v>10620</v>
      </c>
      <c r="S317" s="404">
        <v>32.799999999999997</v>
      </c>
      <c r="T317" s="459">
        <f t="shared" si="90"/>
        <v>348335.99999999994</v>
      </c>
      <c r="U317" s="298"/>
      <c r="V317" s="288" t="s">
        <v>3288</v>
      </c>
      <c r="W317" s="296" t="str">
        <f t="shared" si="95"/>
        <v>Jan-00</v>
      </c>
      <c r="X317" s="293"/>
      <c r="Y317" s="293"/>
      <c r="Z317" s="318"/>
      <c r="AA317" s="293"/>
      <c r="AB317" s="293"/>
      <c r="AC317" s="298"/>
      <c r="AD317" s="298"/>
      <c r="AE317" s="512"/>
      <c r="AF317" s="513"/>
      <c r="AG317" s="514"/>
      <c r="AH317" s="514"/>
      <c r="AI317" s="514">
        <f>AG317+AH317</f>
        <v>0</v>
      </c>
      <c r="AJ317" s="514">
        <v>0</v>
      </c>
      <c r="AK317" s="514">
        <f>AE317-AJ317</f>
        <v>0</v>
      </c>
      <c r="AL317" s="514"/>
      <c r="AM317" s="515"/>
      <c r="AN317" s="299"/>
      <c r="AO317" s="296">
        <f t="shared" si="96"/>
        <v>0</v>
      </c>
      <c r="AP317" s="274"/>
      <c r="AQ317" s="305"/>
      <c r="AR317" s="275">
        <f t="shared" si="97"/>
        <v>0</v>
      </c>
      <c r="AS317" s="280"/>
    </row>
    <row r="318" spans="2:45" x14ac:dyDescent="0.3">
      <c r="B318" s="287">
        <f t="shared" si="93"/>
        <v>314</v>
      </c>
      <c r="C318" s="272" t="s">
        <v>174</v>
      </c>
      <c r="D318" s="288" t="str">
        <f t="shared" si="94"/>
        <v>Oct-25</v>
      </c>
      <c r="E318" s="288" t="s">
        <v>2689</v>
      </c>
      <c r="F318" s="289">
        <v>45944</v>
      </c>
      <c r="G318" s="290" t="s">
        <v>2232</v>
      </c>
      <c r="H318" s="291" t="s">
        <v>2600</v>
      </c>
      <c r="I318" s="290" t="s">
        <v>1984</v>
      </c>
      <c r="J318" s="387">
        <v>122511108852</v>
      </c>
      <c r="K318" s="289">
        <v>45944</v>
      </c>
      <c r="L318" s="291" t="s">
        <v>2703</v>
      </c>
      <c r="M318" s="289">
        <v>45961</v>
      </c>
      <c r="N318" s="291" t="s">
        <v>255</v>
      </c>
      <c r="O318" s="296" t="s">
        <v>2693</v>
      </c>
      <c r="P318" s="291" t="s">
        <v>500</v>
      </c>
      <c r="Q318" s="291" t="s">
        <v>2607</v>
      </c>
      <c r="R318" s="458">
        <v>9700</v>
      </c>
      <c r="S318" s="404">
        <v>32.1</v>
      </c>
      <c r="T318" s="459">
        <f t="shared" si="90"/>
        <v>311370</v>
      </c>
      <c r="U318" s="298"/>
      <c r="V318" s="288" t="s">
        <v>3288</v>
      </c>
      <c r="W318" s="296" t="str">
        <f t="shared" si="95"/>
        <v>Jan-00</v>
      </c>
      <c r="X318" s="293"/>
      <c r="Y318" s="293"/>
      <c r="Z318" s="318"/>
      <c r="AA318" s="293"/>
      <c r="AB318" s="293"/>
      <c r="AC318" s="298"/>
      <c r="AD318" s="298"/>
      <c r="AE318" s="512"/>
      <c r="AF318" s="513"/>
      <c r="AG318" s="514"/>
      <c r="AH318" s="514"/>
      <c r="AI318" s="514"/>
      <c r="AJ318" s="514"/>
      <c r="AK318" s="514"/>
      <c r="AL318" s="514"/>
      <c r="AM318" s="515"/>
      <c r="AN318" s="299"/>
      <c r="AO318" s="296">
        <f t="shared" si="96"/>
        <v>0</v>
      </c>
      <c r="AP318" s="274"/>
      <c r="AQ318" s="305"/>
      <c r="AR318" s="275">
        <f t="shared" si="97"/>
        <v>0</v>
      </c>
      <c r="AS318" s="280"/>
    </row>
    <row r="319" spans="2:45" x14ac:dyDescent="0.3">
      <c r="B319" s="287">
        <f t="shared" si="93"/>
        <v>315</v>
      </c>
      <c r="C319" s="272" t="s">
        <v>174</v>
      </c>
      <c r="D319" s="288" t="str">
        <f t="shared" si="94"/>
        <v>Oct-25</v>
      </c>
      <c r="E319" s="288" t="s">
        <v>2689</v>
      </c>
      <c r="F319" s="289">
        <v>45944</v>
      </c>
      <c r="G319" s="290" t="s">
        <v>2233</v>
      </c>
      <c r="H319" s="291" t="s">
        <v>2600</v>
      </c>
      <c r="I319" s="290" t="s">
        <v>1984</v>
      </c>
      <c r="J319" s="387">
        <v>122511108817</v>
      </c>
      <c r="K319" s="289">
        <v>45944</v>
      </c>
      <c r="L319" s="291" t="s">
        <v>2706</v>
      </c>
      <c r="M319" s="289">
        <v>45961</v>
      </c>
      <c r="N319" s="291" t="s">
        <v>255</v>
      </c>
      <c r="O319" s="296" t="s">
        <v>2690</v>
      </c>
      <c r="P319" s="291" t="s">
        <v>500</v>
      </c>
      <c r="Q319" s="291" t="s">
        <v>2607</v>
      </c>
      <c r="R319" s="458">
        <v>7450</v>
      </c>
      <c r="S319" s="404">
        <v>32.1</v>
      </c>
      <c r="T319" s="459">
        <f t="shared" si="90"/>
        <v>239145</v>
      </c>
      <c r="U319" s="298"/>
      <c r="V319" s="288" t="s">
        <v>3288</v>
      </c>
      <c r="W319" s="296" t="str">
        <f t="shared" si="95"/>
        <v>Jan-00</v>
      </c>
      <c r="X319" s="293"/>
      <c r="Y319" s="293"/>
      <c r="Z319" s="318"/>
      <c r="AA319" s="293"/>
      <c r="AB319" s="293"/>
      <c r="AC319" s="298"/>
      <c r="AD319" s="298"/>
      <c r="AE319" s="512"/>
      <c r="AF319" s="513"/>
      <c r="AG319" s="514"/>
      <c r="AH319" s="514"/>
      <c r="AI319" s="514"/>
      <c r="AJ319" s="514"/>
      <c r="AK319" s="514"/>
      <c r="AL319" s="514"/>
      <c r="AM319" s="515"/>
      <c r="AN319" s="299"/>
      <c r="AO319" s="296">
        <f t="shared" si="96"/>
        <v>0</v>
      </c>
      <c r="AP319" s="274"/>
      <c r="AQ319" s="305"/>
      <c r="AR319" s="275">
        <f t="shared" si="97"/>
        <v>0</v>
      </c>
      <c r="AS319" s="280"/>
    </row>
    <row r="320" spans="2:45" x14ac:dyDescent="0.3">
      <c r="B320" s="287">
        <f t="shared" si="93"/>
        <v>316</v>
      </c>
      <c r="C320" s="272" t="s">
        <v>174</v>
      </c>
      <c r="D320" s="288" t="str">
        <f t="shared" si="94"/>
        <v>Oct-25</v>
      </c>
      <c r="E320" s="288" t="s">
        <v>2689</v>
      </c>
      <c r="F320" s="289">
        <v>45944</v>
      </c>
      <c r="G320" s="290" t="s">
        <v>2234</v>
      </c>
      <c r="H320" s="291" t="s">
        <v>2600</v>
      </c>
      <c r="I320" s="290" t="s">
        <v>1984</v>
      </c>
      <c r="J320" s="387">
        <v>122511108815</v>
      </c>
      <c r="K320" s="289">
        <v>45944</v>
      </c>
      <c r="L320" s="291" t="s">
        <v>2707</v>
      </c>
      <c r="M320" s="289">
        <v>45963</v>
      </c>
      <c r="N320" s="291" t="s">
        <v>255</v>
      </c>
      <c r="O320" s="296" t="s">
        <v>2694</v>
      </c>
      <c r="P320" s="291" t="s">
        <v>500</v>
      </c>
      <c r="Q320" s="291" t="s">
        <v>2607</v>
      </c>
      <c r="R320" s="458">
        <v>3810</v>
      </c>
      <c r="S320" s="404">
        <v>32.1</v>
      </c>
      <c r="T320" s="459">
        <f t="shared" si="90"/>
        <v>122301</v>
      </c>
      <c r="U320" s="298"/>
      <c r="V320" s="288" t="s">
        <v>3288</v>
      </c>
      <c r="W320" s="296" t="str">
        <f t="shared" si="95"/>
        <v>Jan-00</v>
      </c>
      <c r="X320" s="293"/>
      <c r="Y320" s="293"/>
      <c r="Z320" s="318"/>
      <c r="AA320" s="293"/>
      <c r="AB320" s="293"/>
      <c r="AC320" s="298"/>
      <c r="AD320" s="298"/>
      <c r="AE320" s="512"/>
      <c r="AF320" s="513"/>
      <c r="AG320" s="514"/>
      <c r="AH320" s="514"/>
      <c r="AI320" s="514"/>
      <c r="AJ320" s="514"/>
      <c r="AK320" s="514"/>
      <c r="AL320" s="514"/>
      <c r="AM320" s="515"/>
      <c r="AN320" s="299"/>
      <c r="AO320" s="296">
        <f t="shared" si="96"/>
        <v>0</v>
      </c>
      <c r="AP320" s="274"/>
      <c r="AQ320" s="305"/>
      <c r="AR320" s="275">
        <f t="shared" si="97"/>
        <v>0</v>
      </c>
      <c r="AS320" s="280"/>
    </row>
    <row r="321" spans="2:45" x14ac:dyDescent="0.3">
      <c r="B321" s="287">
        <f t="shared" si="93"/>
        <v>317</v>
      </c>
      <c r="C321" s="272" t="s">
        <v>174</v>
      </c>
      <c r="D321" s="288" t="str">
        <f t="shared" si="94"/>
        <v>Oct-25</v>
      </c>
      <c r="E321" s="288" t="s">
        <v>2689</v>
      </c>
      <c r="F321" s="289">
        <v>45944</v>
      </c>
      <c r="G321" s="290" t="s">
        <v>2259</v>
      </c>
      <c r="H321" s="291" t="s">
        <v>2600</v>
      </c>
      <c r="I321" s="290" t="s">
        <v>1984</v>
      </c>
      <c r="J321" s="387">
        <v>122511108787</v>
      </c>
      <c r="K321" s="289">
        <v>45944</v>
      </c>
      <c r="L321" s="291" t="s">
        <v>2702</v>
      </c>
      <c r="M321" s="289">
        <v>45962</v>
      </c>
      <c r="N321" s="291" t="s">
        <v>255</v>
      </c>
      <c r="O321" s="296" t="s">
        <v>2695</v>
      </c>
      <c r="P321" s="291" t="s">
        <v>500</v>
      </c>
      <c r="Q321" s="291" t="s">
        <v>2607</v>
      </c>
      <c r="R321" s="458">
        <v>7850</v>
      </c>
      <c r="S321" s="404">
        <v>32.1</v>
      </c>
      <c r="T321" s="459">
        <f t="shared" si="90"/>
        <v>251985</v>
      </c>
      <c r="U321" s="298"/>
      <c r="V321" s="288" t="s">
        <v>3288</v>
      </c>
      <c r="W321" s="296" t="str">
        <f t="shared" si="95"/>
        <v>Jan-00</v>
      </c>
      <c r="X321" s="293"/>
      <c r="Y321" s="293"/>
      <c r="Z321" s="318"/>
      <c r="AA321" s="293"/>
      <c r="AB321" s="293"/>
      <c r="AC321" s="298"/>
      <c r="AD321" s="298"/>
      <c r="AE321" s="512"/>
      <c r="AF321" s="513"/>
      <c r="AG321" s="514"/>
      <c r="AH321" s="514"/>
      <c r="AI321" s="514"/>
      <c r="AJ321" s="514"/>
      <c r="AK321" s="514"/>
      <c r="AL321" s="514"/>
      <c r="AM321" s="515"/>
      <c r="AN321" s="299"/>
      <c r="AO321" s="296">
        <f t="shared" si="96"/>
        <v>0</v>
      </c>
      <c r="AP321" s="274"/>
      <c r="AQ321" s="305"/>
      <c r="AR321" s="275">
        <f t="shared" si="97"/>
        <v>0</v>
      </c>
      <c r="AS321" s="280"/>
    </row>
    <row r="322" spans="2:45" x14ac:dyDescent="0.3">
      <c r="B322" s="287">
        <f t="shared" si="93"/>
        <v>318</v>
      </c>
      <c r="C322" s="272" t="s">
        <v>174</v>
      </c>
      <c r="D322" s="288" t="str">
        <f t="shared" si="94"/>
        <v>Oct-25</v>
      </c>
      <c r="E322" s="288" t="s">
        <v>2689</v>
      </c>
      <c r="F322" s="289">
        <v>45944</v>
      </c>
      <c r="G322" s="290" t="s">
        <v>2260</v>
      </c>
      <c r="H322" s="291" t="s">
        <v>2600</v>
      </c>
      <c r="I322" s="290" t="s">
        <v>1984</v>
      </c>
      <c r="J322" s="387">
        <v>122511108786</v>
      </c>
      <c r="K322" s="289">
        <v>45944</v>
      </c>
      <c r="L322" s="291" t="s">
        <v>2704</v>
      </c>
      <c r="M322" s="289">
        <v>45962</v>
      </c>
      <c r="N322" s="291" t="s">
        <v>255</v>
      </c>
      <c r="O322" s="296" t="s">
        <v>2696</v>
      </c>
      <c r="P322" s="291" t="s">
        <v>500</v>
      </c>
      <c r="Q322" s="291" t="s">
        <v>2607</v>
      </c>
      <c r="R322" s="458">
        <v>6850</v>
      </c>
      <c r="S322" s="404">
        <v>32.1</v>
      </c>
      <c r="T322" s="459">
        <f t="shared" si="90"/>
        <v>219885</v>
      </c>
      <c r="U322" s="298"/>
      <c r="V322" s="288" t="s">
        <v>3288</v>
      </c>
      <c r="W322" s="296" t="str">
        <f t="shared" si="95"/>
        <v>Jan-00</v>
      </c>
      <c r="X322" s="293"/>
      <c r="Y322" s="293"/>
      <c r="Z322" s="318"/>
      <c r="AA322" s="293"/>
      <c r="AB322" s="293"/>
      <c r="AC322" s="298"/>
      <c r="AD322" s="298"/>
      <c r="AE322" s="512"/>
      <c r="AF322" s="513"/>
      <c r="AG322" s="514"/>
      <c r="AH322" s="514"/>
      <c r="AI322" s="514"/>
      <c r="AJ322" s="514"/>
      <c r="AK322" s="514"/>
      <c r="AL322" s="514"/>
      <c r="AM322" s="515"/>
      <c r="AN322" s="299"/>
      <c r="AO322" s="296">
        <f t="shared" si="96"/>
        <v>0</v>
      </c>
      <c r="AP322" s="274"/>
      <c r="AQ322" s="305"/>
      <c r="AR322" s="275">
        <f t="shared" si="97"/>
        <v>0</v>
      </c>
      <c r="AS322" s="280"/>
    </row>
    <row r="323" spans="2:45" x14ac:dyDescent="0.3">
      <c r="B323" s="287">
        <f t="shared" si="93"/>
        <v>319</v>
      </c>
      <c r="C323" s="272" t="s">
        <v>174</v>
      </c>
      <c r="D323" s="288" t="str">
        <f t="shared" si="94"/>
        <v>Oct-25</v>
      </c>
      <c r="E323" s="288" t="s">
        <v>107</v>
      </c>
      <c r="F323" s="289">
        <v>45944</v>
      </c>
      <c r="G323" s="290" t="s">
        <v>2105</v>
      </c>
      <c r="H323" s="291" t="s">
        <v>2598</v>
      </c>
      <c r="I323" s="290" t="s">
        <v>401</v>
      </c>
      <c r="J323" s="387">
        <v>6252000076</v>
      </c>
      <c r="K323" s="289">
        <v>45944</v>
      </c>
      <c r="L323" s="291" t="s">
        <v>2141</v>
      </c>
      <c r="M323" s="289">
        <v>45944</v>
      </c>
      <c r="N323" s="291" t="s">
        <v>255</v>
      </c>
      <c r="O323" s="296" t="s">
        <v>1427</v>
      </c>
      <c r="P323" s="291" t="s">
        <v>501</v>
      </c>
      <c r="Q323" s="291" t="s">
        <v>2608</v>
      </c>
      <c r="R323" s="458">
        <v>17890</v>
      </c>
      <c r="S323" s="404">
        <v>32.799999999999997</v>
      </c>
      <c r="T323" s="459">
        <f t="shared" si="90"/>
        <v>586792</v>
      </c>
      <c r="U323" s="298"/>
      <c r="V323" s="288" t="s">
        <v>3288</v>
      </c>
      <c r="W323" s="296" t="str">
        <f t="shared" si="95"/>
        <v>Jan-00</v>
      </c>
      <c r="X323" s="293"/>
      <c r="Y323" s="293"/>
      <c r="Z323" s="318"/>
      <c r="AA323" s="293"/>
      <c r="AB323" s="293"/>
      <c r="AC323" s="298"/>
      <c r="AD323" s="298"/>
      <c r="AE323" s="512"/>
      <c r="AF323" s="513"/>
      <c r="AG323" s="514"/>
      <c r="AH323" s="514"/>
      <c r="AI323" s="514">
        <f>AG323+AH323</f>
        <v>0</v>
      </c>
      <c r="AJ323" s="514">
        <v>0</v>
      </c>
      <c r="AK323" s="514">
        <f>AE323-AJ323</f>
        <v>0</v>
      </c>
      <c r="AL323" s="514"/>
      <c r="AM323" s="515"/>
      <c r="AN323" s="299"/>
      <c r="AO323" s="296">
        <f t="shared" si="96"/>
        <v>0</v>
      </c>
      <c r="AP323" s="274"/>
      <c r="AQ323" s="305"/>
      <c r="AR323" s="275">
        <f t="shared" si="97"/>
        <v>0</v>
      </c>
      <c r="AS323" s="280"/>
    </row>
    <row r="324" spans="2:45" x14ac:dyDescent="0.3">
      <c r="B324" s="287">
        <f t="shared" si="93"/>
        <v>320</v>
      </c>
      <c r="C324" s="272" t="s">
        <v>174</v>
      </c>
      <c r="D324" s="288" t="str">
        <f t="shared" si="94"/>
        <v>Oct-25</v>
      </c>
      <c r="E324" s="288" t="s">
        <v>2689</v>
      </c>
      <c r="F324" s="289">
        <v>45945</v>
      </c>
      <c r="G324" s="290" t="s">
        <v>2261</v>
      </c>
      <c r="H324" s="291" t="s">
        <v>2600</v>
      </c>
      <c r="I324" s="290" t="s">
        <v>1984</v>
      </c>
      <c r="J324" s="387">
        <v>122511109541</v>
      </c>
      <c r="K324" s="289">
        <v>45945</v>
      </c>
      <c r="L324" s="291" t="s">
        <v>2705</v>
      </c>
      <c r="M324" s="289">
        <v>45962</v>
      </c>
      <c r="N324" s="291" t="s">
        <v>255</v>
      </c>
      <c r="O324" s="296" t="s">
        <v>2697</v>
      </c>
      <c r="P324" s="291" t="s">
        <v>500</v>
      </c>
      <c r="Q324" s="291" t="s">
        <v>2607</v>
      </c>
      <c r="R324" s="458">
        <v>6330</v>
      </c>
      <c r="S324" s="404">
        <v>32.1</v>
      </c>
      <c r="T324" s="459">
        <f t="shared" si="90"/>
        <v>203193</v>
      </c>
      <c r="U324" s="298"/>
      <c r="V324" s="288" t="s">
        <v>3288</v>
      </c>
      <c r="W324" s="296" t="str">
        <f t="shared" si="95"/>
        <v>Jan-00</v>
      </c>
      <c r="X324" s="293"/>
      <c r="Y324" s="293"/>
      <c r="Z324" s="318"/>
      <c r="AA324" s="293"/>
      <c r="AB324" s="293"/>
      <c r="AC324" s="298"/>
      <c r="AD324" s="298"/>
      <c r="AE324" s="512"/>
      <c r="AF324" s="513"/>
      <c r="AG324" s="514"/>
      <c r="AH324" s="514"/>
      <c r="AI324" s="514"/>
      <c r="AJ324" s="514"/>
      <c r="AK324" s="514"/>
      <c r="AL324" s="514"/>
      <c r="AM324" s="515"/>
      <c r="AN324" s="299"/>
      <c r="AO324" s="296">
        <f t="shared" si="96"/>
        <v>0</v>
      </c>
      <c r="AP324" s="274"/>
      <c r="AQ324" s="305"/>
      <c r="AR324" s="275">
        <f t="shared" si="97"/>
        <v>0</v>
      </c>
      <c r="AS324" s="280"/>
    </row>
    <row r="325" spans="2:45" x14ac:dyDescent="0.3">
      <c r="B325" s="287">
        <f t="shared" si="93"/>
        <v>321</v>
      </c>
      <c r="C325" s="272" t="s">
        <v>174</v>
      </c>
      <c r="D325" s="288" t="str">
        <f t="shared" si="94"/>
        <v>Oct-25</v>
      </c>
      <c r="E325" s="288" t="s">
        <v>2689</v>
      </c>
      <c r="F325" s="289">
        <v>45945</v>
      </c>
      <c r="G325" s="290" t="s">
        <v>2262</v>
      </c>
      <c r="H325" s="291" t="s">
        <v>2600</v>
      </c>
      <c r="I325" s="290" t="s">
        <v>1984</v>
      </c>
      <c r="J325" s="387">
        <v>122511109619</v>
      </c>
      <c r="K325" s="289">
        <v>45945</v>
      </c>
      <c r="L325" s="291" t="s">
        <v>2725</v>
      </c>
      <c r="M325" s="289">
        <v>45962</v>
      </c>
      <c r="N325" s="291" t="s">
        <v>255</v>
      </c>
      <c r="O325" s="296" t="s">
        <v>2698</v>
      </c>
      <c r="P325" s="291" t="s">
        <v>500</v>
      </c>
      <c r="Q325" s="291" t="s">
        <v>2607</v>
      </c>
      <c r="R325" s="458">
        <v>6610</v>
      </c>
      <c r="S325" s="404">
        <v>32.1</v>
      </c>
      <c r="T325" s="459">
        <f t="shared" ref="T325:T384" si="98">R325*S325</f>
        <v>212181</v>
      </c>
      <c r="U325" s="298"/>
      <c r="V325" s="288" t="s">
        <v>3288</v>
      </c>
      <c r="W325" s="296" t="str">
        <f t="shared" si="95"/>
        <v>Jan-00</v>
      </c>
      <c r="X325" s="293"/>
      <c r="Y325" s="293"/>
      <c r="Z325" s="318"/>
      <c r="AA325" s="293"/>
      <c r="AB325" s="293"/>
      <c r="AC325" s="298"/>
      <c r="AD325" s="298"/>
      <c r="AE325" s="512"/>
      <c r="AF325" s="513"/>
      <c r="AG325" s="514"/>
      <c r="AH325" s="514"/>
      <c r="AI325" s="514"/>
      <c r="AJ325" s="514"/>
      <c r="AK325" s="514"/>
      <c r="AL325" s="514"/>
      <c r="AM325" s="515"/>
      <c r="AN325" s="299"/>
      <c r="AO325" s="296">
        <f t="shared" si="96"/>
        <v>0</v>
      </c>
      <c r="AP325" s="274"/>
      <c r="AQ325" s="305"/>
      <c r="AR325" s="275">
        <f t="shared" si="97"/>
        <v>0</v>
      </c>
      <c r="AS325" s="280"/>
    </row>
    <row r="326" spans="2:45" x14ac:dyDescent="0.3">
      <c r="B326" s="287">
        <f t="shared" ref="B326:B396" si="99">B325+1</f>
        <v>322</v>
      </c>
      <c r="C326" s="272" t="s">
        <v>174</v>
      </c>
      <c r="D326" s="288" t="str">
        <f t="shared" ref="D326:D384" si="100">TEXT(F326,"mmm-yy")</f>
        <v>Oct-25</v>
      </c>
      <c r="E326" s="288" t="s">
        <v>2689</v>
      </c>
      <c r="F326" s="289">
        <v>45945</v>
      </c>
      <c r="G326" s="290" t="s">
        <v>2263</v>
      </c>
      <c r="H326" s="291" t="s">
        <v>2600</v>
      </c>
      <c r="I326" s="290" t="s">
        <v>1984</v>
      </c>
      <c r="J326" s="387">
        <v>122511109518</v>
      </c>
      <c r="K326" s="289">
        <v>45945</v>
      </c>
      <c r="L326" s="291" t="s">
        <v>2709</v>
      </c>
      <c r="M326" s="289">
        <v>45962</v>
      </c>
      <c r="N326" s="291" t="s">
        <v>255</v>
      </c>
      <c r="O326" s="296" t="s">
        <v>2690</v>
      </c>
      <c r="P326" s="291" t="s">
        <v>500</v>
      </c>
      <c r="Q326" s="291" t="s">
        <v>2607</v>
      </c>
      <c r="R326" s="458">
        <v>5930</v>
      </c>
      <c r="S326" s="404">
        <v>32.1</v>
      </c>
      <c r="T326" s="459">
        <f t="shared" si="98"/>
        <v>190353</v>
      </c>
      <c r="U326" s="298"/>
      <c r="V326" s="288" t="s">
        <v>3288</v>
      </c>
      <c r="W326" s="296" t="str">
        <f t="shared" ref="W326:W393" si="101">TEXT(Z326,"mmm-yy")</f>
        <v>Jan-00</v>
      </c>
      <c r="X326" s="293"/>
      <c r="Y326" s="293"/>
      <c r="Z326" s="318"/>
      <c r="AA326" s="293"/>
      <c r="AB326" s="293"/>
      <c r="AC326" s="298"/>
      <c r="AD326" s="298"/>
      <c r="AE326" s="512"/>
      <c r="AF326" s="513"/>
      <c r="AG326" s="514"/>
      <c r="AH326" s="514"/>
      <c r="AI326" s="514"/>
      <c r="AJ326" s="514"/>
      <c r="AK326" s="514"/>
      <c r="AL326" s="514"/>
      <c r="AM326" s="515"/>
      <c r="AN326" s="299"/>
      <c r="AO326" s="296">
        <f t="shared" ref="AO326:AO389" si="102">AE326*S326</f>
        <v>0</v>
      </c>
      <c r="AP326" s="274"/>
      <c r="AQ326" s="305"/>
      <c r="AR326" s="275">
        <f t="shared" ref="AR326:AR389" si="103">AM326-AQ326</f>
        <v>0</v>
      </c>
      <c r="AS326" s="280"/>
    </row>
    <row r="327" spans="2:45" x14ac:dyDescent="0.3">
      <c r="B327" s="287">
        <f t="shared" si="99"/>
        <v>323</v>
      </c>
      <c r="C327" s="272" t="s">
        <v>174</v>
      </c>
      <c r="D327" s="288" t="str">
        <f t="shared" si="100"/>
        <v>Oct-25</v>
      </c>
      <c r="E327" s="288" t="s">
        <v>2689</v>
      </c>
      <c r="F327" s="289">
        <v>45945</v>
      </c>
      <c r="G327" s="290" t="s">
        <v>2264</v>
      </c>
      <c r="H327" s="291" t="s">
        <v>2600</v>
      </c>
      <c r="I327" s="290" t="s">
        <v>1984</v>
      </c>
      <c r="J327" s="387">
        <v>122511109585</v>
      </c>
      <c r="K327" s="289">
        <v>45945</v>
      </c>
      <c r="L327" s="291" t="s">
        <v>2711</v>
      </c>
      <c r="M327" s="289">
        <v>45962</v>
      </c>
      <c r="N327" s="291" t="s">
        <v>255</v>
      </c>
      <c r="O327" s="296" t="s">
        <v>2695</v>
      </c>
      <c r="P327" s="291" t="s">
        <v>500</v>
      </c>
      <c r="Q327" s="291" t="s">
        <v>2607</v>
      </c>
      <c r="R327" s="458">
        <v>7670</v>
      </c>
      <c r="S327" s="404">
        <v>32.1</v>
      </c>
      <c r="T327" s="459">
        <f t="shared" si="98"/>
        <v>246207</v>
      </c>
      <c r="U327" s="298"/>
      <c r="V327" s="288" t="s">
        <v>3288</v>
      </c>
      <c r="W327" s="296" t="str">
        <f t="shared" si="101"/>
        <v>Jan-00</v>
      </c>
      <c r="X327" s="293"/>
      <c r="Y327" s="293"/>
      <c r="Z327" s="318"/>
      <c r="AA327" s="293"/>
      <c r="AB327" s="293"/>
      <c r="AC327" s="298"/>
      <c r="AD327" s="298"/>
      <c r="AE327" s="512"/>
      <c r="AF327" s="513"/>
      <c r="AG327" s="514"/>
      <c r="AH327" s="514"/>
      <c r="AI327" s="514"/>
      <c r="AJ327" s="514"/>
      <c r="AK327" s="514"/>
      <c r="AL327" s="514"/>
      <c r="AM327" s="515"/>
      <c r="AN327" s="299"/>
      <c r="AO327" s="296">
        <f t="shared" si="102"/>
        <v>0</v>
      </c>
      <c r="AP327" s="274"/>
      <c r="AQ327" s="305"/>
      <c r="AR327" s="275">
        <f t="shared" si="103"/>
        <v>0</v>
      </c>
      <c r="AS327" s="280"/>
    </row>
    <row r="328" spans="2:45" x14ac:dyDescent="0.3">
      <c r="B328" s="287">
        <f t="shared" si="99"/>
        <v>324</v>
      </c>
      <c r="C328" s="272" t="s">
        <v>174</v>
      </c>
      <c r="D328" s="288" t="str">
        <f t="shared" si="100"/>
        <v>Oct-25</v>
      </c>
      <c r="E328" s="288" t="s">
        <v>107</v>
      </c>
      <c r="F328" s="289">
        <v>45945</v>
      </c>
      <c r="G328" s="290" t="s">
        <v>2106</v>
      </c>
      <c r="H328" s="291" t="s">
        <v>2600</v>
      </c>
      <c r="I328" s="290" t="s">
        <v>1984</v>
      </c>
      <c r="J328" s="387">
        <v>122511109501</v>
      </c>
      <c r="K328" s="289">
        <v>45945</v>
      </c>
      <c r="L328" s="291" t="s">
        <v>2142</v>
      </c>
      <c r="M328" s="289">
        <v>45945</v>
      </c>
      <c r="N328" s="291" t="s">
        <v>255</v>
      </c>
      <c r="O328" s="296" t="s">
        <v>704</v>
      </c>
      <c r="P328" s="291" t="s">
        <v>500</v>
      </c>
      <c r="Q328" s="291" t="s">
        <v>2607</v>
      </c>
      <c r="R328" s="458">
        <v>6730</v>
      </c>
      <c r="S328" s="404">
        <v>32.1</v>
      </c>
      <c r="T328" s="459">
        <f t="shared" si="98"/>
        <v>216033</v>
      </c>
      <c r="U328" s="298"/>
      <c r="V328" s="288" t="s">
        <v>3288</v>
      </c>
      <c r="W328" s="296" t="str">
        <f t="shared" si="101"/>
        <v>Jan-00</v>
      </c>
      <c r="X328" s="293"/>
      <c r="Y328" s="293"/>
      <c r="Z328" s="318"/>
      <c r="AA328" s="293"/>
      <c r="AB328" s="293"/>
      <c r="AC328" s="298"/>
      <c r="AD328" s="298"/>
      <c r="AE328" s="512"/>
      <c r="AF328" s="513"/>
      <c r="AG328" s="514"/>
      <c r="AH328" s="514"/>
      <c r="AI328" s="514">
        <f>AG328+AH328</f>
        <v>0</v>
      </c>
      <c r="AJ328" s="514">
        <v>0</v>
      </c>
      <c r="AK328" s="514">
        <f>AE328-AJ328</f>
        <v>0</v>
      </c>
      <c r="AL328" s="514"/>
      <c r="AM328" s="515"/>
      <c r="AN328" s="299"/>
      <c r="AO328" s="296">
        <f t="shared" si="102"/>
        <v>0</v>
      </c>
      <c r="AP328" s="274"/>
      <c r="AQ328" s="305"/>
      <c r="AR328" s="275">
        <f t="shared" si="103"/>
        <v>0</v>
      </c>
      <c r="AS328" s="280"/>
    </row>
    <row r="329" spans="2:45" x14ac:dyDescent="0.3">
      <c r="B329" s="287">
        <f t="shared" si="99"/>
        <v>325</v>
      </c>
      <c r="C329" s="272" t="s">
        <v>174</v>
      </c>
      <c r="D329" s="288" t="str">
        <f t="shared" si="100"/>
        <v>Oct-25</v>
      </c>
      <c r="E329" s="288" t="s">
        <v>107</v>
      </c>
      <c r="F329" s="289">
        <v>45945</v>
      </c>
      <c r="G329" s="290" t="s">
        <v>2108</v>
      </c>
      <c r="H329" s="291" t="s">
        <v>2596</v>
      </c>
      <c r="I329" s="290" t="s">
        <v>2616</v>
      </c>
      <c r="J329" s="387" t="s">
        <v>2145</v>
      </c>
      <c r="K329" s="289">
        <v>45945</v>
      </c>
      <c r="L329" s="291" t="s">
        <v>2146</v>
      </c>
      <c r="M329" s="289">
        <v>45945</v>
      </c>
      <c r="N329" s="291" t="s">
        <v>255</v>
      </c>
      <c r="O329" s="296" t="s">
        <v>402</v>
      </c>
      <c r="P329" s="291" t="s">
        <v>501</v>
      </c>
      <c r="Q329" s="291" t="s">
        <v>2601</v>
      </c>
      <c r="R329" s="458">
        <v>3440</v>
      </c>
      <c r="S329" s="404">
        <v>32.5</v>
      </c>
      <c r="T329" s="459">
        <f t="shared" si="98"/>
        <v>111800</v>
      </c>
      <c r="U329" s="298"/>
      <c r="V329" s="288" t="s">
        <v>3288</v>
      </c>
      <c r="W329" s="296" t="str">
        <f t="shared" si="101"/>
        <v>Jan-00</v>
      </c>
      <c r="X329" s="293"/>
      <c r="Y329" s="293"/>
      <c r="Z329" s="318"/>
      <c r="AA329" s="293"/>
      <c r="AB329" s="293"/>
      <c r="AC329" s="298"/>
      <c r="AD329" s="298"/>
      <c r="AE329" s="512"/>
      <c r="AF329" s="513"/>
      <c r="AG329" s="514"/>
      <c r="AH329" s="514"/>
      <c r="AI329" s="514">
        <f>AG329+AH329</f>
        <v>0</v>
      </c>
      <c r="AJ329" s="514">
        <v>0</v>
      </c>
      <c r="AK329" s="514">
        <f>AE329-AJ329</f>
        <v>0</v>
      </c>
      <c r="AL329" s="514"/>
      <c r="AM329" s="515"/>
      <c r="AN329" s="299"/>
      <c r="AO329" s="296">
        <f t="shared" si="102"/>
        <v>0</v>
      </c>
      <c r="AP329" s="274"/>
      <c r="AQ329" s="305"/>
      <c r="AR329" s="275">
        <f t="shared" si="103"/>
        <v>0</v>
      </c>
      <c r="AS329" s="280"/>
    </row>
    <row r="330" spans="2:45" x14ac:dyDescent="0.3">
      <c r="B330" s="287">
        <f t="shared" si="99"/>
        <v>326</v>
      </c>
      <c r="C330" s="272" t="s">
        <v>174</v>
      </c>
      <c r="D330" s="288" t="str">
        <f t="shared" si="100"/>
        <v>Oct-25</v>
      </c>
      <c r="E330" s="288" t="s">
        <v>107</v>
      </c>
      <c r="F330" s="289">
        <v>45945</v>
      </c>
      <c r="G330" s="290" t="s">
        <v>2109</v>
      </c>
      <c r="H330" s="291" t="s">
        <v>2598</v>
      </c>
      <c r="I330" s="290" t="s">
        <v>401</v>
      </c>
      <c r="J330" s="387">
        <v>4252002841</v>
      </c>
      <c r="K330" s="289">
        <v>45945</v>
      </c>
      <c r="L330" s="291" t="s">
        <v>2147</v>
      </c>
      <c r="M330" s="289">
        <v>45946</v>
      </c>
      <c r="N330" s="291" t="s">
        <v>255</v>
      </c>
      <c r="O330" s="296" t="s">
        <v>631</v>
      </c>
      <c r="P330" s="291" t="s">
        <v>501</v>
      </c>
      <c r="Q330" s="291" t="s">
        <v>2608</v>
      </c>
      <c r="R330" s="458">
        <v>9020</v>
      </c>
      <c r="S330" s="404">
        <v>32.799999999999997</v>
      </c>
      <c r="T330" s="459">
        <f t="shared" si="98"/>
        <v>295856</v>
      </c>
      <c r="U330" s="298"/>
      <c r="V330" s="288" t="s">
        <v>3288</v>
      </c>
      <c r="W330" s="296" t="str">
        <f t="shared" si="101"/>
        <v>Jan-00</v>
      </c>
      <c r="X330" s="293"/>
      <c r="Y330" s="293"/>
      <c r="Z330" s="318"/>
      <c r="AA330" s="293"/>
      <c r="AB330" s="293"/>
      <c r="AC330" s="298"/>
      <c r="AD330" s="298"/>
      <c r="AE330" s="512"/>
      <c r="AF330" s="513"/>
      <c r="AG330" s="514"/>
      <c r="AH330" s="514"/>
      <c r="AI330" s="514">
        <f>AG330+AH330</f>
        <v>0</v>
      </c>
      <c r="AJ330" s="514">
        <v>0</v>
      </c>
      <c r="AK330" s="514">
        <f>AE330-AJ330</f>
        <v>0</v>
      </c>
      <c r="AL330" s="514"/>
      <c r="AM330" s="515"/>
      <c r="AN330" s="299"/>
      <c r="AO330" s="296">
        <f t="shared" si="102"/>
        <v>0</v>
      </c>
      <c r="AP330" s="274"/>
      <c r="AQ330" s="305"/>
      <c r="AR330" s="275">
        <f t="shared" si="103"/>
        <v>0</v>
      </c>
      <c r="AS330" s="280"/>
    </row>
    <row r="331" spans="2:45" x14ac:dyDescent="0.3">
      <c r="B331" s="287">
        <f t="shared" si="99"/>
        <v>327</v>
      </c>
      <c r="C331" s="272" t="s">
        <v>174</v>
      </c>
      <c r="D331" s="288" t="str">
        <f t="shared" si="100"/>
        <v>Oct-25</v>
      </c>
      <c r="E331" s="288" t="s">
        <v>107</v>
      </c>
      <c r="F331" s="289">
        <v>45945</v>
      </c>
      <c r="G331" s="290" t="s">
        <v>2110</v>
      </c>
      <c r="H331" s="291" t="s">
        <v>2598</v>
      </c>
      <c r="I331" s="290" t="s">
        <v>401</v>
      </c>
      <c r="J331" s="387">
        <v>8252001834</v>
      </c>
      <c r="K331" s="289">
        <v>45945</v>
      </c>
      <c r="L331" s="291" t="s">
        <v>2148</v>
      </c>
      <c r="M331" s="289">
        <v>45946</v>
      </c>
      <c r="N331" s="291" t="s">
        <v>255</v>
      </c>
      <c r="O331" s="296" t="s">
        <v>2082</v>
      </c>
      <c r="P331" s="291" t="s">
        <v>501</v>
      </c>
      <c r="Q331" s="291" t="s">
        <v>2608</v>
      </c>
      <c r="R331" s="458">
        <v>32630</v>
      </c>
      <c r="S331" s="404">
        <v>32.799999999999997</v>
      </c>
      <c r="T331" s="459">
        <f t="shared" si="98"/>
        <v>1070264</v>
      </c>
      <c r="U331" s="298"/>
      <c r="V331" s="288" t="s">
        <v>3288</v>
      </c>
      <c r="W331" s="296" t="str">
        <f t="shared" si="101"/>
        <v>Jan-00</v>
      </c>
      <c r="X331" s="293"/>
      <c r="Y331" s="293"/>
      <c r="Z331" s="318"/>
      <c r="AA331" s="293"/>
      <c r="AB331" s="293"/>
      <c r="AC331" s="298"/>
      <c r="AD331" s="298"/>
      <c r="AE331" s="512"/>
      <c r="AF331" s="513"/>
      <c r="AG331" s="514"/>
      <c r="AH331" s="514"/>
      <c r="AI331" s="514">
        <f>AG331+AH331</f>
        <v>0</v>
      </c>
      <c r="AJ331" s="514">
        <v>0</v>
      </c>
      <c r="AK331" s="514">
        <f>AE331-AJ331</f>
        <v>0</v>
      </c>
      <c r="AL331" s="514"/>
      <c r="AM331" s="515"/>
      <c r="AN331" s="299"/>
      <c r="AO331" s="296">
        <f t="shared" si="102"/>
        <v>0</v>
      </c>
      <c r="AP331" s="274"/>
      <c r="AQ331" s="305"/>
      <c r="AR331" s="275">
        <f t="shared" si="103"/>
        <v>0</v>
      </c>
      <c r="AS331" s="280"/>
    </row>
    <row r="332" spans="2:45" x14ac:dyDescent="0.3">
      <c r="B332" s="287">
        <f t="shared" si="99"/>
        <v>328</v>
      </c>
      <c r="C332" s="272" t="s">
        <v>174</v>
      </c>
      <c r="D332" s="288" t="str">
        <f t="shared" si="100"/>
        <v>Oct-25</v>
      </c>
      <c r="E332" s="288" t="s">
        <v>2689</v>
      </c>
      <c r="F332" s="289">
        <v>45946</v>
      </c>
      <c r="G332" s="290" t="s">
        <v>2265</v>
      </c>
      <c r="H332" s="291" t="s">
        <v>2600</v>
      </c>
      <c r="I332" s="290" t="s">
        <v>1984</v>
      </c>
      <c r="J332" s="387">
        <v>122511110369</v>
      </c>
      <c r="K332" s="289">
        <v>45946</v>
      </c>
      <c r="L332" s="291" t="s">
        <v>2717</v>
      </c>
      <c r="M332" s="289">
        <v>45962</v>
      </c>
      <c r="N332" s="291" t="s">
        <v>255</v>
      </c>
      <c r="O332" s="296" t="s">
        <v>2691</v>
      </c>
      <c r="P332" s="291" t="s">
        <v>500</v>
      </c>
      <c r="Q332" s="291" t="s">
        <v>2607</v>
      </c>
      <c r="R332" s="458">
        <v>10250</v>
      </c>
      <c r="S332" s="404">
        <v>32.1</v>
      </c>
      <c r="T332" s="459">
        <f t="shared" si="98"/>
        <v>329025</v>
      </c>
      <c r="U332" s="298"/>
      <c r="V332" s="288" t="s">
        <v>3288</v>
      </c>
      <c r="W332" s="296" t="str">
        <f t="shared" si="101"/>
        <v>Jan-00</v>
      </c>
      <c r="X332" s="293"/>
      <c r="Y332" s="293"/>
      <c r="Z332" s="318"/>
      <c r="AA332" s="293"/>
      <c r="AB332" s="293"/>
      <c r="AC332" s="298"/>
      <c r="AD332" s="298"/>
      <c r="AE332" s="512"/>
      <c r="AF332" s="513"/>
      <c r="AG332" s="514"/>
      <c r="AH332" s="514"/>
      <c r="AI332" s="514"/>
      <c r="AJ332" s="514"/>
      <c r="AK332" s="514"/>
      <c r="AL332" s="514"/>
      <c r="AM332" s="515"/>
      <c r="AN332" s="299"/>
      <c r="AO332" s="296">
        <f t="shared" si="102"/>
        <v>0</v>
      </c>
      <c r="AP332" s="274"/>
      <c r="AQ332" s="305"/>
      <c r="AR332" s="275">
        <f t="shared" si="103"/>
        <v>0</v>
      </c>
      <c r="AS332" s="280"/>
    </row>
    <row r="333" spans="2:45" x14ac:dyDescent="0.3">
      <c r="B333" s="287">
        <f t="shared" si="99"/>
        <v>329</v>
      </c>
      <c r="C333" s="272" t="s">
        <v>174</v>
      </c>
      <c r="D333" s="288" t="str">
        <f t="shared" si="100"/>
        <v>Oct-25</v>
      </c>
      <c r="E333" s="288" t="s">
        <v>2689</v>
      </c>
      <c r="F333" s="289">
        <v>45946</v>
      </c>
      <c r="G333" s="290" t="s">
        <v>2266</v>
      </c>
      <c r="H333" s="291" t="s">
        <v>2600</v>
      </c>
      <c r="I333" s="290" t="s">
        <v>1984</v>
      </c>
      <c r="J333" s="387">
        <v>122511110368</v>
      </c>
      <c r="K333" s="289">
        <v>45946</v>
      </c>
      <c r="L333" s="291" t="s">
        <v>2712</v>
      </c>
      <c r="M333" s="289">
        <v>45962</v>
      </c>
      <c r="N333" s="291" t="s">
        <v>255</v>
      </c>
      <c r="O333" s="296" t="s">
        <v>2693</v>
      </c>
      <c r="P333" s="291" t="s">
        <v>500</v>
      </c>
      <c r="Q333" s="291" t="s">
        <v>2607</v>
      </c>
      <c r="R333" s="458">
        <v>6230</v>
      </c>
      <c r="S333" s="404">
        <v>32.1</v>
      </c>
      <c r="T333" s="459">
        <f t="shared" si="98"/>
        <v>199983</v>
      </c>
      <c r="U333" s="298"/>
      <c r="V333" s="288" t="s">
        <v>3288</v>
      </c>
      <c r="W333" s="296" t="str">
        <f t="shared" si="101"/>
        <v>Jan-00</v>
      </c>
      <c r="X333" s="293"/>
      <c r="Y333" s="293"/>
      <c r="Z333" s="318"/>
      <c r="AA333" s="293"/>
      <c r="AB333" s="293"/>
      <c r="AC333" s="298"/>
      <c r="AD333" s="298"/>
      <c r="AE333" s="512"/>
      <c r="AF333" s="513"/>
      <c r="AG333" s="514"/>
      <c r="AH333" s="514"/>
      <c r="AI333" s="514"/>
      <c r="AJ333" s="514"/>
      <c r="AK333" s="514"/>
      <c r="AL333" s="514"/>
      <c r="AM333" s="515"/>
      <c r="AN333" s="299"/>
      <c r="AO333" s="296">
        <f t="shared" si="102"/>
        <v>0</v>
      </c>
      <c r="AP333" s="274"/>
      <c r="AQ333" s="305"/>
      <c r="AR333" s="275">
        <f t="shared" si="103"/>
        <v>0</v>
      </c>
      <c r="AS333" s="280"/>
    </row>
    <row r="334" spans="2:45" x14ac:dyDescent="0.3">
      <c r="B334" s="287">
        <f t="shared" si="99"/>
        <v>330</v>
      </c>
      <c r="C334" s="272" t="s">
        <v>174</v>
      </c>
      <c r="D334" s="288" t="str">
        <f t="shared" si="100"/>
        <v>Oct-25</v>
      </c>
      <c r="E334" s="288" t="s">
        <v>2689</v>
      </c>
      <c r="F334" s="289">
        <v>45946</v>
      </c>
      <c r="G334" s="290" t="s">
        <v>2267</v>
      </c>
      <c r="H334" s="291" t="s">
        <v>2600</v>
      </c>
      <c r="I334" s="290" t="s">
        <v>1984</v>
      </c>
      <c r="J334" s="387">
        <v>122511110263</v>
      </c>
      <c r="K334" s="289">
        <v>45946</v>
      </c>
      <c r="L334" s="291" t="s">
        <v>2715</v>
      </c>
      <c r="M334" s="289">
        <v>45963</v>
      </c>
      <c r="N334" s="291" t="s">
        <v>255</v>
      </c>
      <c r="O334" s="296" t="s">
        <v>2695</v>
      </c>
      <c r="P334" s="291" t="s">
        <v>500</v>
      </c>
      <c r="Q334" s="291" t="s">
        <v>2607</v>
      </c>
      <c r="R334" s="458">
        <v>9940</v>
      </c>
      <c r="S334" s="404">
        <v>32.1</v>
      </c>
      <c r="T334" s="459">
        <f t="shared" si="98"/>
        <v>319074</v>
      </c>
      <c r="U334" s="298"/>
      <c r="V334" s="288" t="s">
        <v>3288</v>
      </c>
      <c r="W334" s="296" t="str">
        <f t="shared" si="101"/>
        <v>Jan-00</v>
      </c>
      <c r="X334" s="293"/>
      <c r="Y334" s="293"/>
      <c r="Z334" s="318"/>
      <c r="AA334" s="293"/>
      <c r="AB334" s="293"/>
      <c r="AC334" s="298"/>
      <c r="AD334" s="298"/>
      <c r="AE334" s="512"/>
      <c r="AF334" s="513"/>
      <c r="AG334" s="514"/>
      <c r="AH334" s="514"/>
      <c r="AI334" s="514"/>
      <c r="AJ334" s="514"/>
      <c r="AK334" s="514"/>
      <c r="AL334" s="514"/>
      <c r="AM334" s="515"/>
      <c r="AN334" s="299"/>
      <c r="AO334" s="296">
        <f t="shared" si="102"/>
        <v>0</v>
      </c>
      <c r="AP334" s="274"/>
      <c r="AQ334" s="305"/>
      <c r="AR334" s="275">
        <f t="shared" si="103"/>
        <v>0</v>
      </c>
      <c r="AS334" s="280"/>
    </row>
    <row r="335" spans="2:45" x14ac:dyDescent="0.3">
      <c r="B335" s="287">
        <f t="shared" si="99"/>
        <v>331</v>
      </c>
      <c r="C335" s="272" t="s">
        <v>174</v>
      </c>
      <c r="D335" s="288" t="str">
        <f t="shared" si="100"/>
        <v>Oct-25</v>
      </c>
      <c r="E335" s="288" t="s">
        <v>2689</v>
      </c>
      <c r="F335" s="289">
        <v>45947</v>
      </c>
      <c r="G335" s="290" t="s">
        <v>2268</v>
      </c>
      <c r="H335" s="291" t="s">
        <v>2600</v>
      </c>
      <c r="I335" s="290" t="s">
        <v>1984</v>
      </c>
      <c r="J335" s="387">
        <v>122511110973</v>
      </c>
      <c r="K335" s="289">
        <v>45947</v>
      </c>
      <c r="L335" s="291" t="s">
        <v>2716</v>
      </c>
      <c r="M335" s="289">
        <v>45962</v>
      </c>
      <c r="N335" s="291" t="s">
        <v>255</v>
      </c>
      <c r="O335" s="296" t="s">
        <v>2698</v>
      </c>
      <c r="P335" s="291" t="s">
        <v>500</v>
      </c>
      <c r="Q335" s="291" t="s">
        <v>2607</v>
      </c>
      <c r="R335" s="458">
        <v>7220</v>
      </c>
      <c r="S335" s="404">
        <v>32.1</v>
      </c>
      <c r="T335" s="459">
        <f t="shared" si="98"/>
        <v>231762</v>
      </c>
      <c r="U335" s="298"/>
      <c r="V335" s="288" t="s">
        <v>3288</v>
      </c>
      <c r="W335" s="296" t="str">
        <f t="shared" si="101"/>
        <v>Jan-00</v>
      </c>
      <c r="X335" s="293"/>
      <c r="Y335" s="293"/>
      <c r="Z335" s="318"/>
      <c r="AA335" s="293"/>
      <c r="AB335" s="293"/>
      <c r="AC335" s="298"/>
      <c r="AD335" s="298"/>
      <c r="AE335" s="512"/>
      <c r="AF335" s="513"/>
      <c r="AG335" s="514"/>
      <c r="AH335" s="514"/>
      <c r="AI335" s="514"/>
      <c r="AJ335" s="514"/>
      <c r="AK335" s="514"/>
      <c r="AL335" s="514"/>
      <c r="AM335" s="515"/>
      <c r="AN335" s="299"/>
      <c r="AO335" s="296">
        <f t="shared" si="102"/>
        <v>0</v>
      </c>
      <c r="AP335" s="274"/>
      <c r="AQ335" s="305"/>
      <c r="AR335" s="275">
        <f t="shared" si="103"/>
        <v>0</v>
      </c>
      <c r="AS335" s="280"/>
    </row>
    <row r="336" spans="2:45" x14ac:dyDescent="0.3">
      <c r="B336" s="287">
        <f t="shared" si="99"/>
        <v>332</v>
      </c>
      <c r="C336" s="272" t="s">
        <v>174</v>
      </c>
      <c r="D336" s="288" t="str">
        <f t="shared" si="100"/>
        <v>Oct-25</v>
      </c>
      <c r="E336" s="288" t="s">
        <v>2689</v>
      </c>
      <c r="F336" s="289">
        <v>45947</v>
      </c>
      <c r="G336" s="290" t="s">
        <v>2269</v>
      </c>
      <c r="H336" s="291" t="s">
        <v>2600</v>
      </c>
      <c r="I336" s="290" t="s">
        <v>1984</v>
      </c>
      <c r="J336" s="387">
        <v>122511110954</v>
      </c>
      <c r="K336" s="289">
        <v>45947</v>
      </c>
      <c r="L336" s="291" t="s">
        <v>2723</v>
      </c>
      <c r="M336" s="289">
        <v>45962</v>
      </c>
      <c r="N336" s="291" t="s">
        <v>255</v>
      </c>
      <c r="O336" s="296" t="s">
        <v>2693</v>
      </c>
      <c r="P336" s="291" t="s">
        <v>500</v>
      </c>
      <c r="Q336" s="291" t="s">
        <v>2607</v>
      </c>
      <c r="R336" s="458">
        <v>10840</v>
      </c>
      <c r="S336" s="404">
        <v>32.1</v>
      </c>
      <c r="T336" s="459">
        <f t="shared" si="98"/>
        <v>347964</v>
      </c>
      <c r="U336" s="298"/>
      <c r="V336" s="288" t="s">
        <v>3288</v>
      </c>
      <c r="W336" s="296" t="str">
        <f t="shared" si="101"/>
        <v>Jan-00</v>
      </c>
      <c r="X336" s="293"/>
      <c r="Y336" s="293"/>
      <c r="Z336" s="318"/>
      <c r="AA336" s="293"/>
      <c r="AB336" s="293"/>
      <c r="AC336" s="298"/>
      <c r="AD336" s="298"/>
      <c r="AE336" s="512"/>
      <c r="AF336" s="513"/>
      <c r="AG336" s="514"/>
      <c r="AH336" s="514"/>
      <c r="AI336" s="514"/>
      <c r="AJ336" s="514"/>
      <c r="AK336" s="514"/>
      <c r="AL336" s="514"/>
      <c r="AM336" s="515"/>
      <c r="AN336" s="299"/>
      <c r="AO336" s="296">
        <f t="shared" si="102"/>
        <v>0</v>
      </c>
      <c r="AP336" s="274"/>
      <c r="AQ336" s="305"/>
      <c r="AR336" s="275">
        <f t="shared" si="103"/>
        <v>0</v>
      </c>
      <c r="AS336" s="280"/>
    </row>
    <row r="337" spans="2:45" x14ac:dyDescent="0.3">
      <c r="B337" s="287">
        <f t="shared" si="99"/>
        <v>333</v>
      </c>
      <c r="C337" s="272" t="s">
        <v>174</v>
      </c>
      <c r="D337" s="288" t="str">
        <f t="shared" si="100"/>
        <v>Oct-25</v>
      </c>
      <c r="E337" s="288" t="s">
        <v>107</v>
      </c>
      <c r="F337" s="289">
        <v>45947</v>
      </c>
      <c r="G337" s="290" t="s">
        <v>2111</v>
      </c>
      <c r="H337" s="291" t="s">
        <v>2598</v>
      </c>
      <c r="I337" s="290" t="s">
        <v>401</v>
      </c>
      <c r="J337" s="387">
        <v>4252002859</v>
      </c>
      <c r="K337" s="289">
        <v>45947</v>
      </c>
      <c r="L337" s="291" t="s">
        <v>2149</v>
      </c>
      <c r="M337" s="289">
        <v>45947</v>
      </c>
      <c r="N337" s="291" t="s">
        <v>255</v>
      </c>
      <c r="O337" s="296" t="s">
        <v>2082</v>
      </c>
      <c r="P337" s="291" t="s">
        <v>501</v>
      </c>
      <c r="Q337" s="291" t="s">
        <v>2608</v>
      </c>
      <c r="R337" s="458">
        <v>26500</v>
      </c>
      <c r="S337" s="404">
        <v>32.799999999999997</v>
      </c>
      <c r="T337" s="459">
        <f t="shared" si="98"/>
        <v>869199.99999999988</v>
      </c>
      <c r="U337" s="298"/>
      <c r="V337" s="288" t="s">
        <v>3288</v>
      </c>
      <c r="W337" s="296" t="str">
        <f t="shared" si="101"/>
        <v>Jan-00</v>
      </c>
      <c r="X337" s="293"/>
      <c r="Y337" s="293"/>
      <c r="Z337" s="318"/>
      <c r="AA337" s="293"/>
      <c r="AB337" s="293"/>
      <c r="AC337" s="298"/>
      <c r="AD337" s="298"/>
      <c r="AE337" s="512"/>
      <c r="AF337" s="513"/>
      <c r="AG337" s="514"/>
      <c r="AH337" s="514"/>
      <c r="AI337" s="514">
        <f>AG337+AH337</f>
        <v>0</v>
      </c>
      <c r="AJ337" s="514">
        <v>0</v>
      </c>
      <c r="AK337" s="514">
        <f>AE337-AJ337</f>
        <v>0</v>
      </c>
      <c r="AL337" s="514"/>
      <c r="AM337" s="515"/>
      <c r="AN337" s="299"/>
      <c r="AO337" s="296">
        <f t="shared" si="102"/>
        <v>0</v>
      </c>
      <c r="AP337" s="274"/>
      <c r="AQ337" s="305"/>
      <c r="AR337" s="275">
        <f t="shared" si="103"/>
        <v>0</v>
      </c>
      <c r="AS337" s="280"/>
    </row>
    <row r="338" spans="2:45" x14ac:dyDescent="0.3">
      <c r="B338" s="287">
        <f t="shared" si="99"/>
        <v>334</v>
      </c>
      <c r="C338" s="272" t="s">
        <v>174</v>
      </c>
      <c r="D338" s="288" t="str">
        <f t="shared" si="100"/>
        <v>Oct-25</v>
      </c>
      <c r="E338" s="288" t="s">
        <v>107</v>
      </c>
      <c r="F338" s="289">
        <v>45947</v>
      </c>
      <c r="G338" s="290" t="s">
        <v>2112</v>
      </c>
      <c r="H338" s="291" t="s">
        <v>2598</v>
      </c>
      <c r="I338" s="290" t="s">
        <v>401</v>
      </c>
      <c r="J338" s="387">
        <v>8252001869</v>
      </c>
      <c r="K338" s="289">
        <v>45947</v>
      </c>
      <c r="L338" s="291" t="s">
        <v>2150</v>
      </c>
      <c r="M338" s="289">
        <v>45947</v>
      </c>
      <c r="N338" s="291" t="s">
        <v>255</v>
      </c>
      <c r="O338" s="296" t="s">
        <v>314</v>
      </c>
      <c r="P338" s="291" t="s">
        <v>501</v>
      </c>
      <c r="Q338" s="291" t="s">
        <v>2608</v>
      </c>
      <c r="R338" s="458">
        <v>20330</v>
      </c>
      <c r="S338" s="404">
        <v>32.799999999999997</v>
      </c>
      <c r="T338" s="459">
        <f t="shared" si="98"/>
        <v>666824</v>
      </c>
      <c r="U338" s="298"/>
      <c r="V338" s="288" t="s">
        <v>3288</v>
      </c>
      <c r="W338" s="296" t="str">
        <f t="shared" si="101"/>
        <v>Jan-00</v>
      </c>
      <c r="X338" s="293"/>
      <c r="Y338" s="293"/>
      <c r="Z338" s="318"/>
      <c r="AA338" s="293"/>
      <c r="AB338" s="293"/>
      <c r="AC338" s="298"/>
      <c r="AD338" s="298"/>
      <c r="AE338" s="512"/>
      <c r="AF338" s="513"/>
      <c r="AG338" s="514"/>
      <c r="AH338" s="514"/>
      <c r="AI338" s="514">
        <f>AG338+AH338</f>
        <v>0</v>
      </c>
      <c r="AJ338" s="514">
        <v>0</v>
      </c>
      <c r="AK338" s="514">
        <f>AE338-AJ338</f>
        <v>0</v>
      </c>
      <c r="AL338" s="514"/>
      <c r="AM338" s="515"/>
      <c r="AN338" s="299"/>
      <c r="AO338" s="296">
        <f t="shared" si="102"/>
        <v>0</v>
      </c>
      <c r="AP338" s="274"/>
      <c r="AQ338" s="305"/>
      <c r="AR338" s="275">
        <f t="shared" si="103"/>
        <v>0</v>
      </c>
      <c r="AS338" s="280"/>
    </row>
    <row r="339" spans="2:45" x14ac:dyDescent="0.3">
      <c r="B339" s="287">
        <f t="shared" si="99"/>
        <v>335</v>
      </c>
      <c r="C339" s="272" t="s">
        <v>174</v>
      </c>
      <c r="D339" s="288" t="str">
        <f t="shared" si="100"/>
        <v>Oct-25</v>
      </c>
      <c r="E339" s="288" t="s">
        <v>2689</v>
      </c>
      <c r="F339" s="289">
        <v>45948</v>
      </c>
      <c r="G339" s="290" t="s">
        <v>2270</v>
      </c>
      <c r="H339" s="291" t="s">
        <v>2600</v>
      </c>
      <c r="I339" s="290" t="s">
        <v>1984</v>
      </c>
      <c r="J339" s="387">
        <v>122511111776</v>
      </c>
      <c r="K339" s="289">
        <v>45948</v>
      </c>
      <c r="L339" s="291" t="s">
        <v>2721</v>
      </c>
      <c r="M339" s="289">
        <v>45962</v>
      </c>
      <c r="N339" s="291" t="s">
        <v>255</v>
      </c>
      <c r="O339" s="296" t="s">
        <v>2698</v>
      </c>
      <c r="P339" s="291" t="s">
        <v>500</v>
      </c>
      <c r="Q339" s="291" t="s">
        <v>2607</v>
      </c>
      <c r="R339" s="458">
        <v>6680</v>
      </c>
      <c r="S339" s="404">
        <v>32.1</v>
      </c>
      <c r="T339" s="459">
        <f t="shared" si="98"/>
        <v>214428</v>
      </c>
      <c r="U339" s="298"/>
      <c r="V339" s="288" t="s">
        <v>3288</v>
      </c>
      <c r="W339" s="296" t="str">
        <f t="shared" si="101"/>
        <v>Jan-00</v>
      </c>
      <c r="X339" s="293"/>
      <c r="Y339" s="293"/>
      <c r="Z339" s="318"/>
      <c r="AA339" s="293"/>
      <c r="AB339" s="293"/>
      <c r="AC339" s="298"/>
      <c r="AD339" s="298"/>
      <c r="AE339" s="512"/>
      <c r="AF339" s="513"/>
      <c r="AG339" s="514"/>
      <c r="AH339" s="514"/>
      <c r="AI339" s="514"/>
      <c r="AJ339" s="514"/>
      <c r="AK339" s="514"/>
      <c r="AL339" s="514"/>
      <c r="AM339" s="515"/>
      <c r="AN339" s="299"/>
      <c r="AO339" s="296">
        <f t="shared" si="102"/>
        <v>0</v>
      </c>
      <c r="AP339" s="274"/>
      <c r="AQ339" s="305"/>
      <c r="AR339" s="275">
        <f t="shared" si="103"/>
        <v>0</v>
      </c>
      <c r="AS339" s="280"/>
    </row>
    <row r="340" spans="2:45" x14ac:dyDescent="0.3">
      <c r="B340" s="287">
        <f t="shared" si="99"/>
        <v>336</v>
      </c>
      <c r="C340" s="272" t="s">
        <v>174</v>
      </c>
      <c r="D340" s="288" t="str">
        <f t="shared" si="100"/>
        <v>Oct-25</v>
      </c>
      <c r="E340" s="288" t="s">
        <v>2689</v>
      </c>
      <c r="F340" s="289">
        <v>45948</v>
      </c>
      <c r="G340" s="290" t="s">
        <v>2271</v>
      </c>
      <c r="H340" s="291" t="s">
        <v>2600</v>
      </c>
      <c r="I340" s="290" t="s">
        <v>1984</v>
      </c>
      <c r="J340" s="387">
        <v>122511111790</v>
      </c>
      <c r="K340" s="289">
        <v>45948</v>
      </c>
      <c r="L340" s="291" t="s">
        <v>2714</v>
      </c>
      <c r="M340" s="289">
        <v>45962</v>
      </c>
      <c r="N340" s="291" t="s">
        <v>255</v>
      </c>
      <c r="O340" s="296" t="s">
        <v>2697</v>
      </c>
      <c r="P340" s="291" t="s">
        <v>500</v>
      </c>
      <c r="Q340" s="291" t="s">
        <v>2607</v>
      </c>
      <c r="R340" s="458">
        <v>8820</v>
      </c>
      <c r="S340" s="404">
        <v>32.1</v>
      </c>
      <c r="T340" s="459">
        <f t="shared" si="98"/>
        <v>283122</v>
      </c>
      <c r="U340" s="298"/>
      <c r="V340" s="288" t="s">
        <v>3288</v>
      </c>
      <c r="W340" s="296" t="str">
        <f t="shared" si="101"/>
        <v>Jan-00</v>
      </c>
      <c r="X340" s="293"/>
      <c r="Y340" s="293"/>
      <c r="Z340" s="318"/>
      <c r="AA340" s="293"/>
      <c r="AB340" s="293"/>
      <c r="AC340" s="298"/>
      <c r="AD340" s="298"/>
      <c r="AE340" s="512"/>
      <c r="AF340" s="513"/>
      <c r="AG340" s="514"/>
      <c r="AH340" s="514"/>
      <c r="AI340" s="514"/>
      <c r="AJ340" s="514"/>
      <c r="AK340" s="514"/>
      <c r="AL340" s="514"/>
      <c r="AM340" s="515"/>
      <c r="AN340" s="299"/>
      <c r="AO340" s="296">
        <f t="shared" si="102"/>
        <v>0</v>
      </c>
      <c r="AP340" s="274"/>
      <c r="AQ340" s="305"/>
      <c r="AR340" s="275">
        <f t="shared" si="103"/>
        <v>0</v>
      </c>
      <c r="AS340" s="280"/>
    </row>
    <row r="341" spans="2:45" x14ac:dyDescent="0.3">
      <c r="B341" s="287">
        <f t="shared" si="99"/>
        <v>337</v>
      </c>
      <c r="C341" s="272" t="s">
        <v>174</v>
      </c>
      <c r="D341" s="288" t="str">
        <f t="shared" si="100"/>
        <v>Oct-25</v>
      </c>
      <c r="E341" s="288" t="s">
        <v>2689</v>
      </c>
      <c r="F341" s="289">
        <v>45948</v>
      </c>
      <c r="G341" s="290" t="s">
        <v>2272</v>
      </c>
      <c r="H341" s="291" t="s">
        <v>2600</v>
      </c>
      <c r="I341" s="290" t="s">
        <v>1984</v>
      </c>
      <c r="J341" s="387">
        <v>122511111726</v>
      </c>
      <c r="K341" s="289">
        <v>45948</v>
      </c>
      <c r="L341" s="291" t="s">
        <v>2722</v>
      </c>
      <c r="M341" s="289">
        <v>45962</v>
      </c>
      <c r="N341" s="291" t="s">
        <v>255</v>
      </c>
      <c r="O341" s="296" t="s">
        <v>2693</v>
      </c>
      <c r="P341" s="291" t="s">
        <v>500</v>
      </c>
      <c r="Q341" s="291" t="s">
        <v>2607</v>
      </c>
      <c r="R341" s="458">
        <v>10210</v>
      </c>
      <c r="S341" s="404">
        <v>32.1</v>
      </c>
      <c r="T341" s="459">
        <f t="shared" si="98"/>
        <v>327741</v>
      </c>
      <c r="U341" s="298"/>
      <c r="V341" s="288" t="s">
        <v>3288</v>
      </c>
      <c r="W341" s="296" t="str">
        <f t="shared" si="101"/>
        <v>Jan-00</v>
      </c>
      <c r="X341" s="293"/>
      <c r="Y341" s="293"/>
      <c r="Z341" s="318"/>
      <c r="AA341" s="293"/>
      <c r="AB341" s="293"/>
      <c r="AC341" s="298"/>
      <c r="AD341" s="298"/>
      <c r="AE341" s="512"/>
      <c r="AF341" s="513"/>
      <c r="AG341" s="514"/>
      <c r="AH341" s="514"/>
      <c r="AI341" s="514"/>
      <c r="AJ341" s="514"/>
      <c r="AK341" s="514"/>
      <c r="AL341" s="514"/>
      <c r="AM341" s="515"/>
      <c r="AN341" s="299"/>
      <c r="AO341" s="296">
        <f t="shared" si="102"/>
        <v>0</v>
      </c>
      <c r="AP341" s="274"/>
      <c r="AQ341" s="305"/>
      <c r="AR341" s="275">
        <f t="shared" si="103"/>
        <v>0</v>
      </c>
      <c r="AS341" s="280"/>
    </row>
    <row r="342" spans="2:45" x14ac:dyDescent="0.3">
      <c r="B342" s="287">
        <f t="shared" si="99"/>
        <v>338</v>
      </c>
      <c r="C342" s="272" t="s">
        <v>174</v>
      </c>
      <c r="D342" s="288" t="str">
        <f t="shared" si="100"/>
        <v>Oct-25</v>
      </c>
      <c r="E342" s="288" t="s">
        <v>107</v>
      </c>
      <c r="F342" s="289">
        <v>45948</v>
      </c>
      <c r="G342" s="290" t="s">
        <v>2113</v>
      </c>
      <c r="H342" s="291" t="s">
        <v>2596</v>
      </c>
      <c r="I342" s="290" t="s">
        <v>2616</v>
      </c>
      <c r="J342" s="387" t="s">
        <v>2151</v>
      </c>
      <c r="K342" s="289">
        <v>45948</v>
      </c>
      <c r="L342" s="291" t="s">
        <v>2152</v>
      </c>
      <c r="M342" s="289">
        <v>45948</v>
      </c>
      <c r="N342" s="291" t="s">
        <v>255</v>
      </c>
      <c r="O342" s="296" t="s">
        <v>2082</v>
      </c>
      <c r="P342" s="291" t="s">
        <v>501</v>
      </c>
      <c r="Q342" s="291" t="s">
        <v>2601</v>
      </c>
      <c r="R342" s="458">
        <v>7770</v>
      </c>
      <c r="S342" s="404">
        <v>32.5</v>
      </c>
      <c r="T342" s="459">
        <f t="shared" si="98"/>
        <v>252525</v>
      </c>
      <c r="U342" s="298"/>
      <c r="V342" s="288" t="s">
        <v>3288</v>
      </c>
      <c r="W342" s="296" t="str">
        <f t="shared" si="101"/>
        <v>Jan-00</v>
      </c>
      <c r="X342" s="293"/>
      <c r="Y342" s="293"/>
      <c r="Z342" s="318"/>
      <c r="AA342" s="293"/>
      <c r="AB342" s="293"/>
      <c r="AC342" s="298"/>
      <c r="AD342" s="298"/>
      <c r="AE342" s="512"/>
      <c r="AF342" s="513"/>
      <c r="AG342" s="514"/>
      <c r="AH342" s="514"/>
      <c r="AI342" s="514">
        <f>AG342+AH342</f>
        <v>0</v>
      </c>
      <c r="AJ342" s="514">
        <v>0</v>
      </c>
      <c r="AK342" s="514">
        <f>AE342-AJ342</f>
        <v>0</v>
      </c>
      <c r="AL342" s="514"/>
      <c r="AM342" s="515"/>
      <c r="AN342" s="299"/>
      <c r="AO342" s="296">
        <f t="shared" si="102"/>
        <v>0</v>
      </c>
      <c r="AP342" s="274"/>
      <c r="AQ342" s="305"/>
      <c r="AR342" s="275">
        <f t="shared" si="103"/>
        <v>0</v>
      </c>
      <c r="AS342" s="280"/>
    </row>
    <row r="343" spans="2:45" x14ac:dyDescent="0.3">
      <c r="B343" s="287">
        <f t="shared" si="99"/>
        <v>339</v>
      </c>
      <c r="C343" s="272" t="s">
        <v>174</v>
      </c>
      <c r="D343" s="288" t="str">
        <f t="shared" si="100"/>
        <v>Oct-25</v>
      </c>
      <c r="E343" s="288" t="s">
        <v>107</v>
      </c>
      <c r="F343" s="289">
        <v>45948</v>
      </c>
      <c r="G343" s="290" t="s">
        <v>2114</v>
      </c>
      <c r="H343" s="291" t="s">
        <v>2598</v>
      </c>
      <c r="I343" s="290" t="s">
        <v>401</v>
      </c>
      <c r="J343" s="387">
        <v>8252001874</v>
      </c>
      <c r="K343" s="289">
        <v>45948</v>
      </c>
      <c r="L343" s="291" t="s">
        <v>2153</v>
      </c>
      <c r="M343" s="289">
        <v>45948</v>
      </c>
      <c r="N343" s="291" t="s">
        <v>255</v>
      </c>
      <c r="O343" s="296" t="s">
        <v>314</v>
      </c>
      <c r="P343" s="291" t="s">
        <v>501</v>
      </c>
      <c r="Q343" s="291" t="s">
        <v>2608</v>
      </c>
      <c r="R343" s="458">
        <v>17940</v>
      </c>
      <c r="S343" s="404">
        <v>32.799999999999997</v>
      </c>
      <c r="T343" s="459">
        <f t="shared" si="98"/>
        <v>588432</v>
      </c>
      <c r="U343" s="298"/>
      <c r="V343" s="288" t="s">
        <v>3288</v>
      </c>
      <c r="W343" s="296" t="str">
        <f t="shared" si="101"/>
        <v>Jan-00</v>
      </c>
      <c r="X343" s="293"/>
      <c r="Y343" s="293"/>
      <c r="Z343" s="318"/>
      <c r="AA343" s="293"/>
      <c r="AB343" s="293"/>
      <c r="AC343" s="298"/>
      <c r="AD343" s="298"/>
      <c r="AE343" s="512"/>
      <c r="AF343" s="513"/>
      <c r="AG343" s="514"/>
      <c r="AH343" s="514"/>
      <c r="AI343" s="514">
        <f>AG343+AH343</f>
        <v>0</v>
      </c>
      <c r="AJ343" s="514">
        <v>0</v>
      </c>
      <c r="AK343" s="514">
        <f>AE343-AJ343</f>
        <v>0</v>
      </c>
      <c r="AL343" s="514"/>
      <c r="AM343" s="515"/>
      <c r="AN343" s="299"/>
      <c r="AO343" s="296">
        <f t="shared" si="102"/>
        <v>0</v>
      </c>
      <c r="AP343" s="274"/>
      <c r="AQ343" s="305"/>
      <c r="AR343" s="275">
        <f t="shared" si="103"/>
        <v>0</v>
      </c>
      <c r="AS343" s="280"/>
    </row>
    <row r="344" spans="2:45" x14ac:dyDescent="0.3">
      <c r="B344" s="287">
        <f t="shared" si="99"/>
        <v>340</v>
      </c>
      <c r="C344" s="272" t="s">
        <v>174</v>
      </c>
      <c r="D344" s="288" t="str">
        <f t="shared" si="100"/>
        <v>Oct-25</v>
      </c>
      <c r="E344" s="288" t="s">
        <v>2689</v>
      </c>
      <c r="F344" s="289">
        <v>45949</v>
      </c>
      <c r="G344" s="290" t="s">
        <v>2273</v>
      </c>
      <c r="H344" s="291" t="s">
        <v>2600</v>
      </c>
      <c r="I344" s="290" t="s">
        <v>1984</v>
      </c>
      <c r="J344" s="387">
        <v>122511112399</v>
      </c>
      <c r="K344" s="289">
        <v>45949</v>
      </c>
      <c r="L344" s="291" t="s">
        <v>2718</v>
      </c>
      <c r="M344" s="289">
        <v>45962</v>
      </c>
      <c r="N344" s="291" t="s">
        <v>255</v>
      </c>
      <c r="O344" s="296" t="s">
        <v>2695</v>
      </c>
      <c r="P344" s="291" t="s">
        <v>500</v>
      </c>
      <c r="Q344" s="291" t="s">
        <v>2607</v>
      </c>
      <c r="R344" s="458">
        <v>9040</v>
      </c>
      <c r="S344" s="404">
        <v>32.1</v>
      </c>
      <c r="T344" s="459">
        <f t="shared" si="98"/>
        <v>290184</v>
      </c>
      <c r="U344" s="298"/>
      <c r="V344" s="288" t="s">
        <v>3288</v>
      </c>
      <c r="W344" s="296" t="str">
        <f t="shared" si="101"/>
        <v>Jan-00</v>
      </c>
      <c r="X344" s="293"/>
      <c r="Y344" s="293"/>
      <c r="Z344" s="318"/>
      <c r="AA344" s="293"/>
      <c r="AB344" s="293"/>
      <c r="AC344" s="298"/>
      <c r="AD344" s="298"/>
      <c r="AE344" s="512"/>
      <c r="AF344" s="513"/>
      <c r="AG344" s="514"/>
      <c r="AH344" s="514"/>
      <c r="AI344" s="514"/>
      <c r="AJ344" s="514"/>
      <c r="AK344" s="514"/>
      <c r="AL344" s="514"/>
      <c r="AM344" s="515"/>
      <c r="AN344" s="299"/>
      <c r="AO344" s="296">
        <f t="shared" si="102"/>
        <v>0</v>
      </c>
      <c r="AP344" s="274"/>
      <c r="AQ344" s="305"/>
      <c r="AR344" s="275">
        <f t="shared" si="103"/>
        <v>0</v>
      </c>
      <c r="AS344" s="280"/>
    </row>
    <row r="345" spans="2:45" x14ac:dyDescent="0.3">
      <c r="B345" s="287">
        <f t="shared" si="99"/>
        <v>341</v>
      </c>
      <c r="C345" s="272" t="s">
        <v>174</v>
      </c>
      <c r="D345" s="288" t="str">
        <f t="shared" si="100"/>
        <v>Oct-25</v>
      </c>
      <c r="E345" s="288" t="s">
        <v>2689</v>
      </c>
      <c r="F345" s="289">
        <v>45949</v>
      </c>
      <c r="G345" s="290" t="s">
        <v>2274</v>
      </c>
      <c r="H345" s="291" t="s">
        <v>2600</v>
      </c>
      <c r="I345" s="290" t="s">
        <v>1984</v>
      </c>
      <c r="J345" s="387">
        <v>122511112418</v>
      </c>
      <c r="K345" s="289">
        <v>45949</v>
      </c>
      <c r="L345" s="291" t="s">
        <v>2724</v>
      </c>
      <c r="M345" s="289">
        <v>45962</v>
      </c>
      <c r="N345" s="291" t="s">
        <v>255</v>
      </c>
      <c r="O345" s="296" t="s">
        <v>2690</v>
      </c>
      <c r="P345" s="291" t="s">
        <v>500</v>
      </c>
      <c r="Q345" s="291" t="s">
        <v>2607</v>
      </c>
      <c r="R345" s="458">
        <v>8080</v>
      </c>
      <c r="S345" s="404">
        <v>32.1</v>
      </c>
      <c r="T345" s="459">
        <f t="shared" si="98"/>
        <v>259368</v>
      </c>
      <c r="U345" s="298"/>
      <c r="V345" s="288" t="s">
        <v>3288</v>
      </c>
      <c r="W345" s="296" t="str">
        <f t="shared" si="101"/>
        <v>Jan-00</v>
      </c>
      <c r="X345" s="293"/>
      <c r="Y345" s="293"/>
      <c r="Z345" s="318"/>
      <c r="AA345" s="293"/>
      <c r="AB345" s="293"/>
      <c r="AC345" s="298"/>
      <c r="AD345" s="298"/>
      <c r="AE345" s="512"/>
      <c r="AF345" s="513"/>
      <c r="AG345" s="514"/>
      <c r="AH345" s="514"/>
      <c r="AI345" s="514"/>
      <c r="AJ345" s="514"/>
      <c r="AK345" s="514"/>
      <c r="AL345" s="514"/>
      <c r="AM345" s="515"/>
      <c r="AN345" s="299"/>
      <c r="AO345" s="296">
        <f t="shared" si="102"/>
        <v>0</v>
      </c>
      <c r="AP345" s="274"/>
      <c r="AQ345" s="305"/>
      <c r="AR345" s="275">
        <f t="shared" si="103"/>
        <v>0</v>
      </c>
      <c r="AS345" s="280"/>
    </row>
    <row r="346" spans="2:45" x14ac:dyDescent="0.3">
      <c r="B346" s="287">
        <f t="shared" si="99"/>
        <v>342</v>
      </c>
      <c r="C346" s="272" t="s">
        <v>174</v>
      </c>
      <c r="D346" s="288" t="str">
        <f t="shared" si="100"/>
        <v>Oct-25</v>
      </c>
      <c r="E346" s="288" t="s">
        <v>107</v>
      </c>
      <c r="F346" s="289">
        <v>45949</v>
      </c>
      <c r="G346" s="290" t="s">
        <v>2116</v>
      </c>
      <c r="H346" s="291" t="s">
        <v>2598</v>
      </c>
      <c r="I346" s="290" t="s">
        <v>401</v>
      </c>
      <c r="J346" s="387">
        <v>8252001892</v>
      </c>
      <c r="K346" s="289">
        <v>45949</v>
      </c>
      <c r="L346" s="291" t="s">
        <v>2155</v>
      </c>
      <c r="M346" s="289">
        <v>45949</v>
      </c>
      <c r="N346" s="291" t="s">
        <v>255</v>
      </c>
      <c r="O346" s="296" t="s">
        <v>314</v>
      </c>
      <c r="P346" s="291" t="s">
        <v>501</v>
      </c>
      <c r="Q346" s="291" t="s">
        <v>2608</v>
      </c>
      <c r="R346" s="458">
        <v>19610</v>
      </c>
      <c r="S346" s="404">
        <v>32.799999999999997</v>
      </c>
      <c r="T346" s="459">
        <f t="shared" si="98"/>
        <v>643208</v>
      </c>
      <c r="U346" s="298"/>
      <c r="V346" s="288" t="s">
        <v>3288</v>
      </c>
      <c r="W346" s="296" t="str">
        <f t="shared" si="101"/>
        <v>Jan-00</v>
      </c>
      <c r="X346" s="293"/>
      <c r="Y346" s="293"/>
      <c r="Z346" s="318"/>
      <c r="AA346" s="293"/>
      <c r="AB346" s="293"/>
      <c r="AC346" s="298"/>
      <c r="AD346" s="298"/>
      <c r="AE346" s="512"/>
      <c r="AF346" s="513"/>
      <c r="AG346" s="514"/>
      <c r="AH346" s="514"/>
      <c r="AI346" s="514">
        <f>AG346+AH346</f>
        <v>0</v>
      </c>
      <c r="AJ346" s="514">
        <v>0</v>
      </c>
      <c r="AK346" s="514">
        <f>AE346-AJ346</f>
        <v>0</v>
      </c>
      <c r="AL346" s="514"/>
      <c r="AM346" s="515"/>
      <c r="AN346" s="299"/>
      <c r="AO346" s="296">
        <f t="shared" si="102"/>
        <v>0</v>
      </c>
      <c r="AP346" s="274"/>
      <c r="AQ346" s="305"/>
      <c r="AR346" s="275">
        <f t="shared" si="103"/>
        <v>0</v>
      </c>
      <c r="AS346" s="280"/>
    </row>
    <row r="347" spans="2:45" x14ac:dyDescent="0.3">
      <c r="B347" s="287">
        <f t="shared" si="99"/>
        <v>343</v>
      </c>
      <c r="C347" s="272" t="s">
        <v>174</v>
      </c>
      <c r="D347" s="288" t="str">
        <f t="shared" si="100"/>
        <v>Oct-25</v>
      </c>
      <c r="E347" s="288" t="s">
        <v>107</v>
      </c>
      <c r="F347" s="289">
        <v>45949</v>
      </c>
      <c r="G347" s="290" t="s">
        <v>2115</v>
      </c>
      <c r="H347" s="291" t="s">
        <v>2598</v>
      </c>
      <c r="I347" s="290" t="s">
        <v>401</v>
      </c>
      <c r="J347" s="387">
        <v>5252001057</v>
      </c>
      <c r="K347" s="289">
        <v>45949</v>
      </c>
      <c r="L347" s="291" t="s">
        <v>2154</v>
      </c>
      <c r="M347" s="289">
        <v>45949</v>
      </c>
      <c r="N347" s="291" t="s">
        <v>255</v>
      </c>
      <c r="O347" s="296" t="s">
        <v>910</v>
      </c>
      <c r="P347" s="291" t="s">
        <v>501</v>
      </c>
      <c r="Q347" s="291" t="s">
        <v>2608</v>
      </c>
      <c r="R347" s="458">
        <v>16880</v>
      </c>
      <c r="S347" s="404">
        <v>32.799999999999997</v>
      </c>
      <c r="T347" s="459">
        <f t="shared" si="98"/>
        <v>553664</v>
      </c>
      <c r="U347" s="298"/>
      <c r="V347" s="288" t="s">
        <v>3288</v>
      </c>
      <c r="W347" s="296" t="str">
        <f t="shared" si="101"/>
        <v>Jan-00</v>
      </c>
      <c r="X347" s="293"/>
      <c r="Y347" s="293"/>
      <c r="Z347" s="318"/>
      <c r="AA347" s="293"/>
      <c r="AB347" s="293"/>
      <c r="AC347" s="298"/>
      <c r="AD347" s="298"/>
      <c r="AE347" s="512"/>
      <c r="AF347" s="513"/>
      <c r="AG347" s="514"/>
      <c r="AH347" s="514"/>
      <c r="AI347" s="514">
        <f>AG347+AH347</f>
        <v>0</v>
      </c>
      <c r="AJ347" s="514">
        <v>0</v>
      </c>
      <c r="AK347" s="514">
        <f>AE347-AJ347</f>
        <v>0</v>
      </c>
      <c r="AL347" s="514"/>
      <c r="AM347" s="515"/>
      <c r="AN347" s="299"/>
      <c r="AO347" s="296">
        <f t="shared" si="102"/>
        <v>0</v>
      </c>
      <c r="AP347" s="274"/>
      <c r="AQ347" s="305"/>
      <c r="AR347" s="275">
        <f t="shared" si="103"/>
        <v>0</v>
      </c>
      <c r="AS347" s="280"/>
    </row>
    <row r="348" spans="2:45" x14ac:dyDescent="0.3">
      <c r="B348" s="287">
        <f t="shared" si="99"/>
        <v>344</v>
      </c>
      <c r="C348" s="272" t="s">
        <v>174</v>
      </c>
      <c r="D348" s="288" t="str">
        <f t="shared" si="100"/>
        <v>Oct-25</v>
      </c>
      <c r="E348" s="288" t="s">
        <v>2689</v>
      </c>
      <c r="F348" s="289">
        <v>45954</v>
      </c>
      <c r="G348" s="290" t="s">
        <v>2275</v>
      </c>
      <c r="H348" s="291" t="s">
        <v>2600</v>
      </c>
      <c r="I348" s="290" t="s">
        <v>1984</v>
      </c>
      <c r="J348" s="387">
        <v>122511113592</v>
      </c>
      <c r="K348" s="289">
        <v>45954</v>
      </c>
      <c r="L348" s="291" t="s">
        <v>2710</v>
      </c>
      <c r="M348" s="289">
        <v>45962</v>
      </c>
      <c r="N348" s="291" t="s">
        <v>255</v>
      </c>
      <c r="O348" s="296" t="s">
        <v>2699</v>
      </c>
      <c r="P348" s="291" t="s">
        <v>500</v>
      </c>
      <c r="Q348" s="291" t="s">
        <v>2607</v>
      </c>
      <c r="R348" s="458">
        <v>7390</v>
      </c>
      <c r="S348" s="404">
        <v>32.1</v>
      </c>
      <c r="T348" s="459">
        <f t="shared" si="98"/>
        <v>237219</v>
      </c>
      <c r="U348" s="298"/>
      <c r="V348" s="288" t="s">
        <v>3288</v>
      </c>
      <c r="W348" s="296" t="str">
        <f t="shared" si="101"/>
        <v>Jan-00</v>
      </c>
      <c r="X348" s="293"/>
      <c r="Y348" s="293"/>
      <c r="Z348" s="318"/>
      <c r="AA348" s="293"/>
      <c r="AB348" s="293"/>
      <c r="AC348" s="298"/>
      <c r="AD348" s="298"/>
      <c r="AE348" s="512"/>
      <c r="AF348" s="513"/>
      <c r="AG348" s="514"/>
      <c r="AH348" s="514"/>
      <c r="AI348" s="514"/>
      <c r="AJ348" s="514"/>
      <c r="AK348" s="514"/>
      <c r="AL348" s="514"/>
      <c r="AM348" s="515"/>
      <c r="AN348" s="299"/>
      <c r="AO348" s="296">
        <f t="shared" si="102"/>
        <v>0</v>
      </c>
      <c r="AP348" s="274"/>
      <c r="AQ348" s="305"/>
      <c r="AR348" s="275">
        <f t="shared" si="103"/>
        <v>0</v>
      </c>
      <c r="AS348" s="280"/>
    </row>
    <row r="349" spans="2:45" x14ac:dyDescent="0.3">
      <c r="B349" s="287">
        <f t="shared" si="99"/>
        <v>345</v>
      </c>
      <c r="C349" s="272" t="s">
        <v>174</v>
      </c>
      <c r="D349" s="288" t="str">
        <f t="shared" si="100"/>
        <v>Oct-25</v>
      </c>
      <c r="E349" s="288" t="s">
        <v>2689</v>
      </c>
      <c r="F349" s="289">
        <v>45954</v>
      </c>
      <c r="G349" s="290" t="s">
        <v>2276</v>
      </c>
      <c r="H349" s="291" t="s">
        <v>2600</v>
      </c>
      <c r="I349" s="290" t="s">
        <v>1984</v>
      </c>
      <c r="J349" s="387">
        <v>122511113593</v>
      </c>
      <c r="K349" s="289">
        <v>45954</v>
      </c>
      <c r="L349" s="291" t="s">
        <v>2720</v>
      </c>
      <c r="M349" s="289">
        <v>45962</v>
      </c>
      <c r="N349" s="291" t="s">
        <v>255</v>
      </c>
      <c r="O349" s="296" t="s">
        <v>2690</v>
      </c>
      <c r="P349" s="291" t="s">
        <v>500</v>
      </c>
      <c r="Q349" s="291" t="s">
        <v>2607</v>
      </c>
      <c r="R349" s="458">
        <v>8890</v>
      </c>
      <c r="S349" s="404">
        <v>32.1</v>
      </c>
      <c r="T349" s="459">
        <f t="shared" si="98"/>
        <v>285369</v>
      </c>
      <c r="U349" s="298"/>
      <c r="V349" s="288" t="s">
        <v>3288</v>
      </c>
      <c r="W349" s="296" t="str">
        <f t="shared" si="101"/>
        <v>Jan-00</v>
      </c>
      <c r="X349" s="293"/>
      <c r="Y349" s="293"/>
      <c r="Z349" s="318"/>
      <c r="AA349" s="293"/>
      <c r="AB349" s="293"/>
      <c r="AC349" s="298"/>
      <c r="AD349" s="298"/>
      <c r="AE349" s="512"/>
      <c r="AF349" s="513"/>
      <c r="AG349" s="514"/>
      <c r="AH349" s="514"/>
      <c r="AI349" s="514"/>
      <c r="AJ349" s="514"/>
      <c r="AK349" s="514"/>
      <c r="AL349" s="514"/>
      <c r="AM349" s="515"/>
      <c r="AN349" s="299"/>
      <c r="AO349" s="296">
        <f t="shared" si="102"/>
        <v>0</v>
      </c>
      <c r="AP349" s="274"/>
      <c r="AQ349" s="305"/>
      <c r="AR349" s="275">
        <f t="shared" si="103"/>
        <v>0</v>
      </c>
      <c r="AS349" s="280"/>
    </row>
    <row r="350" spans="2:45" x14ac:dyDescent="0.3">
      <c r="B350" s="287">
        <f t="shared" si="99"/>
        <v>346</v>
      </c>
      <c r="C350" s="272" t="s">
        <v>174</v>
      </c>
      <c r="D350" s="288" t="str">
        <f t="shared" si="100"/>
        <v>Oct-25</v>
      </c>
      <c r="E350" s="288" t="s">
        <v>2689</v>
      </c>
      <c r="F350" s="289">
        <v>45954</v>
      </c>
      <c r="G350" s="290" t="s">
        <v>2277</v>
      </c>
      <c r="H350" s="291" t="s">
        <v>2600</v>
      </c>
      <c r="I350" s="290" t="s">
        <v>1984</v>
      </c>
      <c r="J350" s="387">
        <v>122511113611</v>
      </c>
      <c r="K350" s="289">
        <v>45954</v>
      </c>
      <c r="L350" s="291" t="s">
        <v>2713</v>
      </c>
      <c r="M350" s="289">
        <v>45962</v>
      </c>
      <c r="N350" s="291" t="s">
        <v>255</v>
      </c>
      <c r="O350" s="296" t="s">
        <v>2697</v>
      </c>
      <c r="P350" s="291" t="s">
        <v>500</v>
      </c>
      <c r="Q350" s="291" t="s">
        <v>2607</v>
      </c>
      <c r="R350" s="458">
        <v>8090</v>
      </c>
      <c r="S350" s="404">
        <v>32.1</v>
      </c>
      <c r="T350" s="459">
        <f t="shared" si="98"/>
        <v>259689</v>
      </c>
      <c r="U350" s="298"/>
      <c r="V350" s="288" t="s">
        <v>3288</v>
      </c>
      <c r="W350" s="296" t="str">
        <f t="shared" si="101"/>
        <v>Jan-00</v>
      </c>
      <c r="X350" s="293"/>
      <c r="Y350" s="293"/>
      <c r="Z350" s="318"/>
      <c r="AA350" s="293"/>
      <c r="AB350" s="293"/>
      <c r="AC350" s="298"/>
      <c r="AD350" s="298"/>
      <c r="AE350" s="512"/>
      <c r="AF350" s="513"/>
      <c r="AG350" s="514"/>
      <c r="AH350" s="514"/>
      <c r="AI350" s="514"/>
      <c r="AJ350" s="514"/>
      <c r="AK350" s="514"/>
      <c r="AL350" s="514"/>
      <c r="AM350" s="515"/>
      <c r="AN350" s="299"/>
      <c r="AO350" s="296">
        <f t="shared" si="102"/>
        <v>0</v>
      </c>
      <c r="AP350" s="274"/>
      <c r="AQ350" s="305"/>
      <c r="AR350" s="275">
        <f t="shared" si="103"/>
        <v>0</v>
      </c>
      <c r="AS350" s="280"/>
    </row>
    <row r="351" spans="2:45" x14ac:dyDescent="0.3">
      <c r="B351" s="287">
        <f t="shared" si="99"/>
        <v>347</v>
      </c>
      <c r="C351" s="272" t="s">
        <v>174</v>
      </c>
      <c r="D351" s="288" t="str">
        <f t="shared" si="100"/>
        <v>Oct-25</v>
      </c>
      <c r="E351" s="288" t="s">
        <v>2689</v>
      </c>
      <c r="F351" s="289">
        <v>45954</v>
      </c>
      <c r="G351" s="290" t="s">
        <v>2278</v>
      </c>
      <c r="H351" s="291" t="s">
        <v>2600</v>
      </c>
      <c r="I351" s="290" t="s">
        <v>1984</v>
      </c>
      <c r="J351" s="387">
        <v>122511113610</v>
      </c>
      <c r="K351" s="289">
        <v>45954</v>
      </c>
      <c r="L351" s="291" t="s">
        <v>2719</v>
      </c>
      <c r="M351" s="289">
        <v>45962</v>
      </c>
      <c r="N351" s="291" t="s">
        <v>255</v>
      </c>
      <c r="O351" s="296" t="s">
        <v>2693</v>
      </c>
      <c r="P351" s="291" t="s">
        <v>500</v>
      </c>
      <c r="Q351" s="291" t="s">
        <v>2607</v>
      </c>
      <c r="R351" s="458">
        <v>8380</v>
      </c>
      <c r="S351" s="404">
        <v>32.1</v>
      </c>
      <c r="T351" s="459">
        <f t="shared" si="98"/>
        <v>268998</v>
      </c>
      <c r="U351" s="298"/>
      <c r="V351" s="288" t="s">
        <v>3288</v>
      </c>
      <c r="W351" s="296" t="str">
        <f t="shared" si="101"/>
        <v>Jan-00</v>
      </c>
      <c r="X351" s="293"/>
      <c r="Y351" s="293"/>
      <c r="Z351" s="318"/>
      <c r="AA351" s="293"/>
      <c r="AB351" s="293"/>
      <c r="AC351" s="298"/>
      <c r="AD351" s="298"/>
      <c r="AE351" s="512"/>
      <c r="AF351" s="513"/>
      <c r="AG351" s="514"/>
      <c r="AH351" s="514"/>
      <c r="AI351" s="514"/>
      <c r="AJ351" s="514"/>
      <c r="AK351" s="514"/>
      <c r="AL351" s="514"/>
      <c r="AM351" s="515"/>
      <c r="AN351" s="299"/>
      <c r="AO351" s="296">
        <f t="shared" si="102"/>
        <v>0</v>
      </c>
      <c r="AP351" s="274"/>
      <c r="AQ351" s="305"/>
      <c r="AR351" s="275">
        <f t="shared" si="103"/>
        <v>0</v>
      </c>
      <c r="AS351" s="280"/>
    </row>
    <row r="352" spans="2:45" x14ac:dyDescent="0.3">
      <c r="B352" s="287">
        <f t="shared" si="99"/>
        <v>348</v>
      </c>
      <c r="C352" s="272" t="s">
        <v>174</v>
      </c>
      <c r="D352" s="288" t="str">
        <f t="shared" si="100"/>
        <v>Oct-25</v>
      </c>
      <c r="E352" s="288" t="s">
        <v>107</v>
      </c>
      <c r="F352" s="289">
        <v>45955</v>
      </c>
      <c r="G352" s="290" t="s">
        <v>2182</v>
      </c>
      <c r="H352" s="291" t="s">
        <v>2600</v>
      </c>
      <c r="I352" s="290" t="s">
        <v>1984</v>
      </c>
      <c r="J352" s="387">
        <v>122511113845</v>
      </c>
      <c r="K352" s="289">
        <v>45955</v>
      </c>
      <c r="L352" s="291" t="s">
        <v>2190</v>
      </c>
      <c r="M352" s="289">
        <v>45955</v>
      </c>
      <c r="N352" s="291" t="s">
        <v>255</v>
      </c>
      <c r="O352" s="296" t="s">
        <v>992</v>
      </c>
      <c r="P352" s="291" t="s">
        <v>500</v>
      </c>
      <c r="Q352" s="291" t="s">
        <v>2607</v>
      </c>
      <c r="R352" s="458">
        <v>10940</v>
      </c>
      <c r="S352" s="404">
        <v>32.1</v>
      </c>
      <c r="T352" s="459">
        <f t="shared" si="98"/>
        <v>351174</v>
      </c>
      <c r="U352" s="298"/>
      <c r="V352" s="288" t="s">
        <v>3288</v>
      </c>
      <c r="W352" s="296" t="str">
        <f t="shared" si="101"/>
        <v>Jan-00</v>
      </c>
      <c r="X352" s="293"/>
      <c r="Y352" s="293"/>
      <c r="Z352" s="318"/>
      <c r="AA352" s="293"/>
      <c r="AB352" s="293"/>
      <c r="AC352" s="298"/>
      <c r="AD352" s="298"/>
      <c r="AE352" s="512"/>
      <c r="AF352" s="513"/>
      <c r="AG352" s="514"/>
      <c r="AH352" s="514"/>
      <c r="AI352" s="514">
        <f t="shared" ref="AI352:AI376" si="104">AG352+AH352</f>
        <v>0</v>
      </c>
      <c r="AJ352" s="514">
        <v>0</v>
      </c>
      <c r="AK352" s="514">
        <f t="shared" ref="AK352:AK376" si="105">AE352-AJ352</f>
        <v>0</v>
      </c>
      <c r="AL352" s="514"/>
      <c r="AM352" s="515"/>
      <c r="AN352" s="299"/>
      <c r="AO352" s="296">
        <f t="shared" si="102"/>
        <v>0</v>
      </c>
      <c r="AP352" s="274"/>
      <c r="AQ352" s="305"/>
      <c r="AR352" s="275">
        <f t="shared" si="103"/>
        <v>0</v>
      </c>
      <c r="AS352" s="280"/>
    </row>
    <row r="353" spans="2:45" x14ac:dyDescent="0.3">
      <c r="B353" s="287">
        <f t="shared" si="99"/>
        <v>349</v>
      </c>
      <c r="C353" s="272" t="s">
        <v>174</v>
      </c>
      <c r="D353" s="288" t="str">
        <f t="shared" si="100"/>
        <v>Oct-25</v>
      </c>
      <c r="E353" s="288" t="s">
        <v>107</v>
      </c>
      <c r="F353" s="289">
        <v>45955</v>
      </c>
      <c r="G353" s="290" t="s">
        <v>2183</v>
      </c>
      <c r="H353" s="291" t="s">
        <v>2600</v>
      </c>
      <c r="I353" s="290" t="s">
        <v>1984</v>
      </c>
      <c r="J353" s="387">
        <v>122511113844</v>
      </c>
      <c r="K353" s="289">
        <v>45955</v>
      </c>
      <c r="L353" s="291" t="s">
        <v>2191</v>
      </c>
      <c r="M353" s="289">
        <v>45955</v>
      </c>
      <c r="N353" s="291" t="s">
        <v>255</v>
      </c>
      <c r="O353" s="296" t="s">
        <v>989</v>
      </c>
      <c r="P353" s="291" t="s">
        <v>500</v>
      </c>
      <c r="Q353" s="291" t="s">
        <v>2607</v>
      </c>
      <c r="R353" s="458">
        <v>9420</v>
      </c>
      <c r="S353" s="404">
        <v>32.1</v>
      </c>
      <c r="T353" s="459">
        <f t="shared" si="98"/>
        <v>302382</v>
      </c>
      <c r="U353" s="298"/>
      <c r="V353" s="288" t="s">
        <v>3288</v>
      </c>
      <c r="W353" s="296" t="str">
        <f t="shared" si="101"/>
        <v>Jan-00</v>
      </c>
      <c r="X353" s="293"/>
      <c r="Y353" s="293"/>
      <c r="Z353" s="318"/>
      <c r="AA353" s="293"/>
      <c r="AB353" s="293"/>
      <c r="AC353" s="298"/>
      <c r="AD353" s="298"/>
      <c r="AE353" s="512"/>
      <c r="AF353" s="513"/>
      <c r="AG353" s="514"/>
      <c r="AH353" s="514"/>
      <c r="AI353" s="514">
        <f t="shared" si="104"/>
        <v>0</v>
      </c>
      <c r="AJ353" s="514">
        <v>0</v>
      </c>
      <c r="AK353" s="514">
        <f t="shared" si="105"/>
        <v>0</v>
      </c>
      <c r="AL353" s="514"/>
      <c r="AM353" s="515"/>
      <c r="AN353" s="299"/>
      <c r="AO353" s="296">
        <f t="shared" si="102"/>
        <v>0</v>
      </c>
      <c r="AP353" s="274"/>
      <c r="AQ353" s="275"/>
      <c r="AR353" s="275">
        <f t="shared" si="103"/>
        <v>0</v>
      </c>
      <c r="AS353" s="280"/>
    </row>
    <row r="354" spans="2:45" x14ac:dyDescent="0.3">
      <c r="B354" s="287">
        <f t="shared" si="99"/>
        <v>350</v>
      </c>
      <c r="C354" s="272" t="s">
        <v>174</v>
      </c>
      <c r="D354" s="288" t="str">
        <f t="shared" si="100"/>
        <v>Oct-25</v>
      </c>
      <c r="E354" s="288" t="s">
        <v>107</v>
      </c>
      <c r="F354" s="289">
        <v>45955</v>
      </c>
      <c r="G354" s="290" t="s">
        <v>2184</v>
      </c>
      <c r="H354" s="291" t="s">
        <v>2600</v>
      </c>
      <c r="I354" s="290" t="s">
        <v>1984</v>
      </c>
      <c r="J354" s="387">
        <v>122511113866</v>
      </c>
      <c r="K354" s="289">
        <v>45955</v>
      </c>
      <c r="L354" s="291" t="s">
        <v>2192</v>
      </c>
      <c r="M354" s="289">
        <v>45955</v>
      </c>
      <c r="N354" s="291" t="s">
        <v>255</v>
      </c>
      <c r="O354" s="296" t="s">
        <v>708</v>
      </c>
      <c r="P354" s="291" t="s">
        <v>500</v>
      </c>
      <c r="Q354" s="291" t="s">
        <v>2607</v>
      </c>
      <c r="R354" s="458">
        <v>8160</v>
      </c>
      <c r="S354" s="404">
        <v>32.1</v>
      </c>
      <c r="T354" s="459">
        <f t="shared" si="98"/>
        <v>261936</v>
      </c>
      <c r="U354" s="298"/>
      <c r="V354" s="288" t="s">
        <v>3288</v>
      </c>
      <c r="W354" s="296" t="str">
        <f t="shared" si="101"/>
        <v>Jan-00</v>
      </c>
      <c r="X354" s="293"/>
      <c r="Y354" s="293"/>
      <c r="Z354" s="318"/>
      <c r="AA354" s="293"/>
      <c r="AB354" s="293"/>
      <c r="AC354" s="298"/>
      <c r="AD354" s="298"/>
      <c r="AE354" s="512"/>
      <c r="AF354" s="513"/>
      <c r="AG354" s="514"/>
      <c r="AH354" s="514"/>
      <c r="AI354" s="514">
        <f t="shared" si="104"/>
        <v>0</v>
      </c>
      <c r="AJ354" s="514">
        <v>0</v>
      </c>
      <c r="AK354" s="514">
        <f t="shared" si="105"/>
        <v>0</v>
      </c>
      <c r="AL354" s="514"/>
      <c r="AM354" s="515"/>
      <c r="AN354" s="299"/>
      <c r="AO354" s="296">
        <f t="shared" si="102"/>
        <v>0</v>
      </c>
      <c r="AP354" s="274"/>
      <c r="AQ354" s="275"/>
      <c r="AR354" s="275">
        <f t="shared" si="103"/>
        <v>0</v>
      </c>
      <c r="AS354" s="280"/>
    </row>
    <row r="355" spans="2:45" x14ac:dyDescent="0.3">
      <c r="B355" s="287">
        <f t="shared" si="99"/>
        <v>351</v>
      </c>
      <c r="C355" s="272" t="s">
        <v>174</v>
      </c>
      <c r="D355" s="288" t="str">
        <f t="shared" si="100"/>
        <v>Oct-25</v>
      </c>
      <c r="E355" s="288" t="s">
        <v>107</v>
      </c>
      <c r="F355" s="289">
        <v>45955</v>
      </c>
      <c r="G355" s="290" t="s">
        <v>2185</v>
      </c>
      <c r="H355" s="291" t="s">
        <v>2600</v>
      </c>
      <c r="I355" s="290" t="s">
        <v>1984</v>
      </c>
      <c r="J355" s="387">
        <v>142511015311</v>
      </c>
      <c r="K355" s="289">
        <v>45955</v>
      </c>
      <c r="L355" s="291" t="s">
        <v>2193</v>
      </c>
      <c r="M355" s="289">
        <v>45955</v>
      </c>
      <c r="N355" s="291" t="s">
        <v>255</v>
      </c>
      <c r="O355" s="296" t="s">
        <v>979</v>
      </c>
      <c r="P355" s="291" t="s">
        <v>500</v>
      </c>
      <c r="Q355" s="291" t="s">
        <v>2607</v>
      </c>
      <c r="R355" s="458">
        <v>7000</v>
      </c>
      <c r="S355" s="404">
        <v>32.1</v>
      </c>
      <c r="T355" s="459">
        <f t="shared" si="98"/>
        <v>224700</v>
      </c>
      <c r="U355" s="298"/>
      <c r="V355" s="288" t="s">
        <v>3288</v>
      </c>
      <c r="W355" s="296" t="str">
        <f t="shared" si="101"/>
        <v>Jan-00</v>
      </c>
      <c r="X355" s="293"/>
      <c r="Y355" s="293"/>
      <c r="Z355" s="318"/>
      <c r="AA355" s="293"/>
      <c r="AB355" s="293"/>
      <c r="AC355" s="298"/>
      <c r="AD355" s="298"/>
      <c r="AE355" s="512"/>
      <c r="AF355" s="513"/>
      <c r="AG355" s="514"/>
      <c r="AH355" s="514"/>
      <c r="AI355" s="514">
        <f t="shared" si="104"/>
        <v>0</v>
      </c>
      <c r="AJ355" s="514">
        <v>0</v>
      </c>
      <c r="AK355" s="514">
        <f t="shared" si="105"/>
        <v>0</v>
      </c>
      <c r="AL355" s="514"/>
      <c r="AM355" s="515"/>
      <c r="AN355" s="299"/>
      <c r="AO355" s="296">
        <f t="shared" si="102"/>
        <v>0</v>
      </c>
      <c r="AP355" s="274"/>
      <c r="AQ355" s="275"/>
      <c r="AR355" s="275">
        <f t="shared" si="103"/>
        <v>0</v>
      </c>
      <c r="AS355" s="280"/>
    </row>
    <row r="356" spans="2:45" x14ac:dyDescent="0.3">
      <c r="B356" s="287">
        <f t="shared" si="99"/>
        <v>352</v>
      </c>
      <c r="C356" s="272" t="s">
        <v>174</v>
      </c>
      <c r="D356" s="288" t="str">
        <f t="shared" si="100"/>
        <v>Oct-25</v>
      </c>
      <c r="E356" s="288" t="s">
        <v>107</v>
      </c>
      <c r="F356" s="289">
        <v>45955</v>
      </c>
      <c r="G356" s="290" t="s">
        <v>2186</v>
      </c>
      <c r="H356" s="291" t="s">
        <v>2600</v>
      </c>
      <c r="I356" s="290" t="s">
        <v>1984</v>
      </c>
      <c r="J356" s="387">
        <v>142511015312</v>
      </c>
      <c r="K356" s="289">
        <v>45955</v>
      </c>
      <c r="L356" s="291" t="s">
        <v>2194</v>
      </c>
      <c r="M356" s="289">
        <v>45955</v>
      </c>
      <c r="N356" s="291" t="s">
        <v>255</v>
      </c>
      <c r="O356" s="296" t="s">
        <v>979</v>
      </c>
      <c r="P356" s="291" t="s">
        <v>500</v>
      </c>
      <c r="Q356" s="291" t="s">
        <v>2607</v>
      </c>
      <c r="R356" s="458">
        <v>810</v>
      </c>
      <c r="S356" s="404">
        <v>32.1</v>
      </c>
      <c r="T356" s="459">
        <f t="shared" si="98"/>
        <v>26001</v>
      </c>
      <c r="U356" s="298"/>
      <c r="V356" s="288" t="s">
        <v>3288</v>
      </c>
      <c r="W356" s="296" t="str">
        <f t="shared" si="101"/>
        <v>Jan-00</v>
      </c>
      <c r="X356" s="293"/>
      <c r="Y356" s="293"/>
      <c r="Z356" s="318"/>
      <c r="AA356" s="293"/>
      <c r="AB356" s="293"/>
      <c r="AC356" s="298"/>
      <c r="AD356" s="298"/>
      <c r="AE356" s="512"/>
      <c r="AF356" s="513"/>
      <c r="AG356" s="514"/>
      <c r="AH356" s="514"/>
      <c r="AI356" s="514">
        <f t="shared" si="104"/>
        <v>0</v>
      </c>
      <c r="AJ356" s="514">
        <v>0</v>
      </c>
      <c r="AK356" s="514">
        <f t="shared" si="105"/>
        <v>0</v>
      </c>
      <c r="AL356" s="514"/>
      <c r="AM356" s="515"/>
      <c r="AN356" s="299"/>
      <c r="AO356" s="296">
        <f t="shared" si="102"/>
        <v>0</v>
      </c>
      <c r="AP356" s="274"/>
      <c r="AQ356" s="275"/>
      <c r="AR356" s="275">
        <f t="shared" si="103"/>
        <v>0</v>
      </c>
      <c r="AS356" s="280"/>
    </row>
    <row r="357" spans="2:45" x14ac:dyDescent="0.3">
      <c r="B357" s="287">
        <f t="shared" si="99"/>
        <v>353</v>
      </c>
      <c r="C357" s="272" t="s">
        <v>174</v>
      </c>
      <c r="D357" s="288" t="str">
        <f t="shared" si="100"/>
        <v>Oct-25</v>
      </c>
      <c r="E357" s="288" t="s">
        <v>107</v>
      </c>
      <c r="F357" s="289">
        <v>45956</v>
      </c>
      <c r="G357" s="290" t="s">
        <v>2188</v>
      </c>
      <c r="H357" s="291" t="s">
        <v>2600</v>
      </c>
      <c r="I357" s="290" t="s">
        <v>1984</v>
      </c>
      <c r="J357" s="387">
        <v>122511114291</v>
      </c>
      <c r="K357" s="289">
        <v>45956</v>
      </c>
      <c r="L357" s="291" t="s">
        <v>2196</v>
      </c>
      <c r="M357" s="289">
        <v>45956</v>
      </c>
      <c r="N357" s="291" t="s">
        <v>255</v>
      </c>
      <c r="O357" s="296" t="s">
        <v>989</v>
      </c>
      <c r="P357" s="291" t="s">
        <v>500</v>
      </c>
      <c r="Q357" s="291" t="s">
        <v>2607</v>
      </c>
      <c r="R357" s="458">
        <v>6420</v>
      </c>
      <c r="S357" s="404">
        <v>32.1</v>
      </c>
      <c r="T357" s="459">
        <f t="shared" si="98"/>
        <v>206082</v>
      </c>
      <c r="U357" s="298"/>
      <c r="V357" s="288" t="s">
        <v>3288</v>
      </c>
      <c r="W357" s="296" t="str">
        <f t="shared" si="101"/>
        <v>Jan-00</v>
      </c>
      <c r="X357" s="293"/>
      <c r="Y357" s="293"/>
      <c r="Z357" s="318"/>
      <c r="AA357" s="293"/>
      <c r="AB357" s="293"/>
      <c r="AC357" s="298"/>
      <c r="AD357" s="298"/>
      <c r="AE357" s="512"/>
      <c r="AF357" s="513"/>
      <c r="AG357" s="514"/>
      <c r="AH357" s="514"/>
      <c r="AI357" s="514">
        <f t="shared" si="104"/>
        <v>0</v>
      </c>
      <c r="AJ357" s="514">
        <v>0</v>
      </c>
      <c r="AK357" s="514">
        <f t="shared" si="105"/>
        <v>0</v>
      </c>
      <c r="AL357" s="514"/>
      <c r="AM357" s="515"/>
      <c r="AN357" s="299"/>
      <c r="AO357" s="296">
        <f t="shared" si="102"/>
        <v>0</v>
      </c>
      <c r="AP357" s="274"/>
      <c r="AQ357" s="275"/>
      <c r="AR357" s="275">
        <f t="shared" si="103"/>
        <v>0</v>
      </c>
      <c r="AS357" s="280"/>
    </row>
    <row r="358" spans="2:45" x14ac:dyDescent="0.3">
      <c r="B358" s="287">
        <f t="shared" si="99"/>
        <v>354</v>
      </c>
      <c r="C358" s="272" t="s">
        <v>174</v>
      </c>
      <c r="D358" s="288" t="str">
        <f t="shared" si="100"/>
        <v>Oct-25</v>
      </c>
      <c r="E358" s="288" t="s">
        <v>107</v>
      </c>
      <c r="F358" s="289">
        <v>45956</v>
      </c>
      <c r="G358" s="290" t="s">
        <v>2187</v>
      </c>
      <c r="H358" s="291" t="s">
        <v>2600</v>
      </c>
      <c r="I358" s="290" t="s">
        <v>1984</v>
      </c>
      <c r="J358" s="387">
        <v>122511114299</v>
      </c>
      <c r="K358" s="289">
        <v>45956</v>
      </c>
      <c r="L358" s="291" t="s">
        <v>2195</v>
      </c>
      <c r="M358" s="289">
        <v>45956</v>
      </c>
      <c r="N358" s="291" t="s">
        <v>255</v>
      </c>
      <c r="O358" s="296" t="s">
        <v>992</v>
      </c>
      <c r="P358" s="291" t="s">
        <v>500</v>
      </c>
      <c r="Q358" s="291" t="s">
        <v>2607</v>
      </c>
      <c r="R358" s="458">
        <v>8480</v>
      </c>
      <c r="S358" s="404">
        <v>32.1</v>
      </c>
      <c r="T358" s="459">
        <f t="shared" si="98"/>
        <v>272208</v>
      </c>
      <c r="U358" s="298"/>
      <c r="V358" s="288" t="s">
        <v>3288</v>
      </c>
      <c r="W358" s="296" t="str">
        <f t="shared" si="101"/>
        <v>Jan-00</v>
      </c>
      <c r="X358" s="293"/>
      <c r="Y358" s="293"/>
      <c r="Z358" s="318"/>
      <c r="AA358" s="293"/>
      <c r="AB358" s="293"/>
      <c r="AC358" s="298"/>
      <c r="AD358" s="298"/>
      <c r="AE358" s="512"/>
      <c r="AF358" s="513"/>
      <c r="AG358" s="514"/>
      <c r="AH358" s="514"/>
      <c r="AI358" s="514">
        <f t="shared" si="104"/>
        <v>0</v>
      </c>
      <c r="AJ358" s="514">
        <v>0</v>
      </c>
      <c r="AK358" s="514">
        <f t="shared" si="105"/>
        <v>0</v>
      </c>
      <c r="AL358" s="514"/>
      <c r="AM358" s="515"/>
      <c r="AN358" s="299"/>
      <c r="AO358" s="296">
        <f t="shared" si="102"/>
        <v>0</v>
      </c>
      <c r="AP358" s="274"/>
      <c r="AQ358" s="275"/>
      <c r="AR358" s="275">
        <f t="shared" si="103"/>
        <v>0</v>
      </c>
      <c r="AS358" s="280"/>
    </row>
    <row r="359" spans="2:45" x14ac:dyDescent="0.3">
      <c r="B359" s="287">
        <f t="shared" si="99"/>
        <v>355</v>
      </c>
      <c r="C359" s="272" t="s">
        <v>174</v>
      </c>
      <c r="D359" s="288" t="str">
        <f t="shared" si="100"/>
        <v>Oct-25</v>
      </c>
      <c r="E359" s="288" t="s">
        <v>107</v>
      </c>
      <c r="F359" s="289">
        <v>45956</v>
      </c>
      <c r="G359" s="290" t="s">
        <v>2189</v>
      </c>
      <c r="H359" s="291" t="s">
        <v>2600</v>
      </c>
      <c r="I359" s="290" t="s">
        <v>1984</v>
      </c>
      <c r="J359" s="387">
        <v>122511114318</v>
      </c>
      <c r="K359" s="289">
        <v>45956</v>
      </c>
      <c r="L359" s="291" t="s">
        <v>2197</v>
      </c>
      <c r="M359" s="289">
        <v>45956</v>
      </c>
      <c r="N359" s="291" t="s">
        <v>255</v>
      </c>
      <c r="O359" s="296" t="s">
        <v>979</v>
      </c>
      <c r="P359" s="291" t="s">
        <v>500</v>
      </c>
      <c r="Q359" s="291" t="s">
        <v>2607</v>
      </c>
      <c r="R359" s="458">
        <v>8580</v>
      </c>
      <c r="S359" s="404">
        <v>32.1</v>
      </c>
      <c r="T359" s="459">
        <f t="shared" si="98"/>
        <v>275418</v>
      </c>
      <c r="U359" s="298"/>
      <c r="V359" s="288" t="s">
        <v>3288</v>
      </c>
      <c r="W359" s="296" t="str">
        <f t="shared" si="101"/>
        <v>Jan-00</v>
      </c>
      <c r="X359" s="293"/>
      <c r="Y359" s="293"/>
      <c r="Z359" s="318"/>
      <c r="AA359" s="293"/>
      <c r="AB359" s="293"/>
      <c r="AC359" s="298"/>
      <c r="AD359" s="298"/>
      <c r="AE359" s="512"/>
      <c r="AF359" s="513"/>
      <c r="AG359" s="514"/>
      <c r="AH359" s="514"/>
      <c r="AI359" s="514">
        <f t="shared" si="104"/>
        <v>0</v>
      </c>
      <c r="AJ359" s="514">
        <v>0</v>
      </c>
      <c r="AK359" s="514">
        <f t="shared" si="105"/>
        <v>0</v>
      </c>
      <c r="AL359" s="514"/>
      <c r="AM359" s="515"/>
      <c r="AN359" s="299"/>
      <c r="AO359" s="296">
        <f t="shared" si="102"/>
        <v>0</v>
      </c>
      <c r="AP359" s="274"/>
      <c r="AQ359" s="275"/>
      <c r="AR359" s="275">
        <f t="shared" si="103"/>
        <v>0</v>
      </c>
      <c r="AS359" s="280"/>
    </row>
    <row r="360" spans="2:45" x14ac:dyDescent="0.3">
      <c r="B360" s="287">
        <f t="shared" si="99"/>
        <v>356</v>
      </c>
      <c r="C360" s="272" t="s">
        <v>174</v>
      </c>
      <c r="D360" s="288" t="str">
        <f t="shared" si="100"/>
        <v>Oct-25</v>
      </c>
      <c r="E360" s="288" t="s">
        <v>107</v>
      </c>
      <c r="F360" s="289">
        <v>45956</v>
      </c>
      <c r="G360" s="290" t="s">
        <v>2198</v>
      </c>
      <c r="H360" s="291" t="s">
        <v>2598</v>
      </c>
      <c r="I360" s="290" t="s">
        <v>401</v>
      </c>
      <c r="J360" s="387">
        <v>4252002926</v>
      </c>
      <c r="K360" s="289">
        <v>45956</v>
      </c>
      <c r="L360" s="291" t="s">
        <v>2210</v>
      </c>
      <c r="M360" s="289">
        <v>45957</v>
      </c>
      <c r="N360" s="291" t="s">
        <v>255</v>
      </c>
      <c r="O360" s="296" t="s">
        <v>314</v>
      </c>
      <c r="P360" s="291" t="s">
        <v>501</v>
      </c>
      <c r="Q360" s="291" t="s">
        <v>2608</v>
      </c>
      <c r="R360" s="458">
        <v>20660</v>
      </c>
      <c r="S360" s="404">
        <v>32.799999999999997</v>
      </c>
      <c r="T360" s="459">
        <f t="shared" si="98"/>
        <v>677647.99999999988</v>
      </c>
      <c r="U360" s="298"/>
      <c r="V360" s="288" t="s">
        <v>3288</v>
      </c>
      <c r="W360" s="296" t="str">
        <f t="shared" si="101"/>
        <v>Jan-00</v>
      </c>
      <c r="X360" s="293"/>
      <c r="Y360" s="293"/>
      <c r="Z360" s="318"/>
      <c r="AA360" s="293"/>
      <c r="AB360" s="293"/>
      <c r="AC360" s="298"/>
      <c r="AD360" s="298"/>
      <c r="AE360" s="512"/>
      <c r="AF360" s="513"/>
      <c r="AG360" s="514"/>
      <c r="AH360" s="514"/>
      <c r="AI360" s="514">
        <f t="shared" si="104"/>
        <v>0</v>
      </c>
      <c r="AJ360" s="514">
        <v>0</v>
      </c>
      <c r="AK360" s="514">
        <f t="shared" si="105"/>
        <v>0</v>
      </c>
      <c r="AL360" s="514"/>
      <c r="AM360" s="515"/>
      <c r="AN360" s="299"/>
      <c r="AO360" s="296">
        <f t="shared" si="102"/>
        <v>0</v>
      </c>
      <c r="AP360" s="274"/>
      <c r="AQ360" s="275"/>
      <c r="AR360" s="275">
        <f t="shared" si="103"/>
        <v>0</v>
      </c>
      <c r="AS360" s="280"/>
    </row>
    <row r="361" spans="2:45" x14ac:dyDescent="0.3">
      <c r="B361" s="287">
        <f t="shared" si="99"/>
        <v>357</v>
      </c>
      <c r="C361" s="272" t="s">
        <v>174</v>
      </c>
      <c r="D361" s="288" t="str">
        <f t="shared" si="100"/>
        <v>Oct-25</v>
      </c>
      <c r="E361" s="288" t="s">
        <v>107</v>
      </c>
      <c r="F361" s="289">
        <v>45957</v>
      </c>
      <c r="G361" s="290" t="s">
        <v>2201</v>
      </c>
      <c r="H361" s="291" t="s">
        <v>2600</v>
      </c>
      <c r="I361" s="290" t="s">
        <v>1984</v>
      </c>
      <c r="J361" s="387">
        <v>122511114824</v>
      </c>
      <c r="K361" s="289">
        <v>45957</v>
      </c>
      <c r="L361" s="291" t="s">
        <v>2213</v>
      </c>
      <c r="M361" s="289">
        <v>45957</v>
      </c>
      <c r="N361" s="291" t="s">
        <v>255</v>
      </c>
      <c r="O361" s="296" t="s">
        <v>989</v>
      </c>
      <c r="P361" s="291" t="s">
        <v>500</v>
      </c>
      <c r="Q361" s="291" t="s">
        <v>2607</v>
      </c>
      <c r="R361" s="458">
        <v>8870</v>
      </c>
      <c r="S361" s="404">
        <v>32.1</v>
      </c>
      <c r="T361" s="459">
        <f t="shared" si="98"/>
        <v>284727</v>
      </c>
      <c r="U361" s="298"/>
      <c r="V361" s="288" t="s">
        <v>3288</v>
      </c>
      <c r="W361" s="296" t="str">
        <f t="shared" si="101"/>
        <v>Jan-00</v>
      </c>
      <c r="X361" s="293"/>
      <c r="Y361" s="293"/>
      <c r="Z361" s="318"/>
      <c r="AA361" s="293"/>
      <c r="AB361" s="293"/>
      <c r="AC361" s="298"/>
      <c r="AD361" s="298"/>
      <c r="AE361" s="512"/>
      <c r="AF361" s="513"/>
      <c r="AG361" s="514"/>
      <c r="AH361" s="514"/>
      <c r="AI361" s="514">
        <f t="shared" si="104"/>
        <v>0</v>
      </c>
      <c r="AJ361" s="514">
        <v>0</v>
      </c>
      <c r="AK361" s="514">
        <f t="shared" si="105"/>
        <v>0</v>
      </c>
      <c r="AL361" s="514"/>
      <c r="AM361" s="515"/>
      <c r="AN361" s="299"/>
      <c r="AO361" s="296">
        <f t="shared" si="102"/>
        <v>0</v>
      </c>
      <c r="AP361" s="274"/>
      <c r="AQ361" s="275"/>
      <c r="AR361" s="275">
        <f t="shared" si="103"/>
        <v>0</v>
      </c>
      <c r="AS361" s="280"/>
    </row>
    <row r="362" spans="2:45" x14ac:dyDescent="0.3">
      <c r="B362" s="287">
        <f t="shared" si="99"/>
        <v>358</v>
      </c>
      <c r="C362" s="272" t="s">
        <v>174</v>
      </c>
      <c r="D362" s="288" t="str">
        <f t="shared" si="100"/>
        <v>Oct-25</v>
      </c>
      <c r="E362" s="288" t="s">
        <v>107</v>
      </c>
      <c r="F362" s="289">
        <v>45957</v>
      </c>
      <c r="G362" s="290" t="s">
        <v>2200</v>
      </c>
      <c r="H362" s="291" t="s">
        <v>2600</v>
      </c>
      <c r="I362" s="290" t="s">
        <v>1984</v>
      </c>
      <c r="J362" s="387">
        <v>122511114788</v>
      </c>
      <c r="K362" s="289">
        <v>45957</v>
      </c>
      <c r="L362" s="291" t="s">
        <v>2212</v>
      </c>
      <c r="M362" s="289">
        <v>45957</v>
      </c>
      <c r="N362" s="291" t="s">
        <v>255</v>
      </c>
      <c r="O362" s="296" t="s">
        <v>992</v>
      </c>
      <c r="P362" s="291" t="s">
        <v>500</v>
      </c>
      <c r="Q362" s="291" t="s">
        <v>2607</v>
      </c>
      <c r="R362" s="458">
        <v>8210</v>
      </c>
      <c r="S362" s="404">
        <v>32.1</v>
      </c>
      <c r="T362" s="459">
        <f t="shared" si="98"/>
        <v>263541</v>
      </c>
      <c r="U362" s="298"/>
      <c r="V362" s="288" t="s">
        <v>3288</v>
      </c>
      <c r="W362" s="296" t="str">
        <f t="shared" si="101"/>
        <v>Jan-00</v>
      </c>
      <c r="X362" s="293"/>
      <c r="Y362" s="293"/>
      <c r="Z362" s="318"/>
      <c r="AA362" s="293"/>
      <c r="AB362" s="293"/>
      <c r="AC362" s="298"/>
      <c r="AD362" s="298"/>
      <c r="AE362" s="512"/>
      <c r="AF362" s="513"/>
      <c r="AG362" s="514"/>
      <c r="AH362" s="514"/>
      <c r="AI362" s="514">
        <f t="shared" si="104"/>
        <v>0</v>
      </c>
      <c r="AJ362" s="514">
        <v>0</v>
      </c>
      <c r="AK362" s="514">
        <f t="shared" si="105"/>
        <v>0</v>
      </c>
      <c r="AL362" s="514"/>
      <c r="AM362" s="515"/>
      <c r="AN362" s="299"/>
      <c r="AO362" s="296">
        <f t="shared" si="102"/>
        <v>0</v>
      </c>
      <c r="AP362" s="274"/>
      <c r="AQ362" s="275"/>
      <c r="AR362" s="275">
        <f t="shared" si="103"/>
        <v>0</v>
      </c>
      <c r="AS362" s="280"/>
    </row>
    <row r="363" spans="2:45" x14ac:dyDescent="0.3">
      <c r="B363" s="287">
        <f t="shared" si="99"/>
        <v>359</v>
      </c>
      <c r="C363" s="272" t="s">
        <v>174</v>
      </c>
      <c r="D363" s="288" t="str">
        <f t="shared" si="100"/>
        <v>Oct-25</v>
      </c>
      <c r="E363" s="288" t="s">
        <v>107</v>
      </c>
      <c r="F363" s="289">
        <v>45957</v>
      </c>
      <c r="G363" s="290" t="s">
        <v>2199</v>
      </c>
      <c r="H363" s="291" t="s">
        <v>2600</v>
      </c>
      <c r="I363" s="290" t="s">
        <v>1984</v>
      </c>
      <c r="J363" s="387">
        <v>122511114811</v>
      </c>
      <c r="K363" s="289">
        <v>45957</v>
      </c>
      <c r="L363" s="291" t="s">
        <v>2211</v>
      </c>
      <c r="M363" s="289">
        <v>45957</v>
      </c>
      <c r="N363" s="291" t="s">
        <v>255</v>
      </c>
      <c r="O363" s="296" t="s">
        <v>994</v>
      </c>
      <c r="P363" s="291" t="s">
        <v>500</v>
      </c>
      <c r="Q363" s="291" t="s">
        <v>2607</v>
      </c>
      <c r="R363" s="458">
        <v>7320</v>
      </c>
      <c r="S363" s="404">
        <v>32.1</v>
      </c>
      <c r="T363" s="459">
        <f t="shared" si="98"/>
        <v>234972</v>
      </c>
      <c r="U363" s="298"/>
      <c r="V363" s="288" t="s">
        <v>3288</v>
      </c>
      <c r="W363" s="296" t="str">
        <f t="shared" si="101"/>
        <v>Jan-00</v>
      </c>
      <c r="X363" s="293"/>
      <c r="Y363" s="293"/>
      <c r="Z363" s="318"/>
      <c r="AA363" s="293"/>
      <c r="AB363" s="293"/>
      <c r="AC363" s="298"/>
      <c r="AD363" s="298"/>
      <c r="AE363" s="512"/>
      <c r="AF363" s="513"/>
      <c r="AG363" s="514"/>
      <c r="AH363" s="514"/>
      <c r="AI363" s="514">
        <f t="shared" si="104"/>
        <v>0</v>
      </c>
      <c r="AJ363" s="514">
        <v>0</v>
      </c>
      <c r="AK363" s="514">
        <f t="shared" si="105"/>
        <v>0</v>
      </c>
      <c r="AL363" s="514"/>
      <c r="AM363" s="515"/>
      <c r="AN363" s="299"/>
      <c r="AO363" s="296">
        <f t="shared" si="102"/>
        <v>0</v>
      </c>
      <c r="AP363" s="274"/>
      <c r="AQ363" s="275"/>
      <c r="AR363" s="275">
        <f t="shared" si="103"/>
        <v>0</v>
      </c>
      <c r="AS363" s="280"/>
    </row>
    <row r="364" spans="2:45" x14ac:dyDescent="0.3">
      <c r="B364" s="287">
        <f t="shared" si="99"/>
        <v>360</v>
      </c>
      <c r="C364" s="272" t="s">
        <v>174</v>
      </c>
      <c r="D364" s="288" t="str">
        <f t="shared" si="100"/>
        <v>Oct-25</v>
      </c>
      <c r="E364" s="288" t="s">
        <v>107</v>
      </c>
      <c r="F364" s="289">
        <v>45957</v>
      </c>
      <c r="G364" s="290" t="s">
        <v>2202</v>
      </c>
      <c r="H364" s="291" t="s">
        <v>2598</v>
      </c>
      <c r="I364" s="290" t="s">
        <v>401</v>
      </c>
      <c r="J364" s="387">
        <v>5252001072</v>
      </c>
      <c r="K364" s="289">
        <v>45957</v>
      </c>
      <c r="L364" s="291" t="s">
        <v>2214</v>
      </c>
      <c r="M364" s="289">
        <v>45957</v>
      </c>
      <c r="N364" s="291" t="s">
        <v>255</v>
      </c>
      <c r="O364" s="296" t="s">
        <v>559</v>
      </c>
      <c r="P364" s="291" t="s">
        <v>501</v>
      </c>
      <c r="Q364" s="291" t="s">
        <v>2608</v>
      </c>
      <c r="R364" s="458">
        <v>8720</v>
      </c>
      <c r="S364" s="404">
        <v>32.799999999999997</v>
      </c>
      <c r="T364" s="459">
        <f t="shared" si="98"/>
        <v>286016</v>
      </c>
      <c r="U364" s="298"/>
      <c r="V364" s="288" t="s">
        <v>3288</v>
      </c>
      <c r="W364" s="296" t="str">
        <f t="shared" si="101"/>
        <v>Jan-00</v>
      </c>
      <c r="X364" s="293"/>
      <c r="Y364" s="293"/>
      <c r="Z364" s="318"/>
      <c r="AA364" s="293"/>
      <c r="AB364" s="293"/>
      <c r="AC364" s="298"/>
      <c r="AD364" s="298"/>
      <c r="AE364" s="512"/>
      <c r="AF364" s="513"/>
      <c r="AG364" s="514"/>
      <c r="AH364" s="514"/>
      <c r="AI364" s="514">
        <f t="shared" si="104"/>
        <v>0</v>
      </c>
      <c r="AJ364" s="514">
        <v>0</v>
      </c>
      <c r="AK364" s="514">
        <f t="shared" si="105"/>
        <v>0</v>
      </c>
      <c r="AL364" s="514"/>
      <c r="AM364" s="515"/>
      <c r="AN364" s="299"/>
      <c r="AO364" s="296">
        <f t="shared" si="102"/>
        <v>0</v>
      </c>
      <c r="AP364" s="274"/>
      <c r="AQ364" s="275"/>
      <c r="AR364" s="275">
        <f t="shared" si="103"/>
        <v>0</v>
      </c>
      <c r="AS364" s="280"/>
    </row>
    <row r="365" spans="2:45" x14ac:dyDescent="0.3">
      <c r="B365" s="287">
        <f t="shared" si="99"/>
        <v>361</v>
      </c>
      <c r="C365" s="272" t="s">
        <v>174</v>
      </c>
      <c r="D365" s="288" t="str">
        <f t="shared" si="100"/>
        <v>Oct-25</v>
      </c>
      <c r="E365" s="288" t="s">
        <v>107</v>
      </c>
      <c r="F365" s="289">
        <v>45957</v>
      </c>
      <c r="G365" s="290" t="s">
        <v>2203</v>
      </c>
      <c r="H365" s="291" t="s">
        <v>2598</v>
      </c>
      <c r="I365" s="290" t="s">
        <v>401</v>
      </c>
      <c r="J365" s="387">
        <v>4252002947</v>
      </c>
      <c r="K365" s="289">
        <v>45957</v>
      </c>
      <c r="L365" s="291" t="s">
        <v>2215</v>
      </c>
      <c r="M365" s="289">
        <v>45958</v>
      </c>
      <c r="N365" s="291" t="s">
        <v>255</v>
      </c>
      <c r="O365" s="296" t="s">
        <v>299</v>
      </c>
      <c r="P365" s="291" t="s">
        <v>501</v>
      </c>
      <c r="Q365" s="291" t="s">
        <v>2608</v>
      </c>
      <c r="R365" s="458">
        <v>22130</v>
      </c>
      <c r="S365" s="404">
        <v>32.799999999999997</v>
      </c>
      <c r="T365" s="459">
        <f t="shared" si="98"/>
        <v>725863.99999999988</v>
      </c>
      <c r="U365" s="298"/>
      <c r="V365" s="288" t="s">
        <v>3288</v>
      </c>
      <c r="W365" s="296" t="str">
        <f t="shared" si="101"/>
        <v>Jan-00</v>
      </c>
      <c r="X365" s="293"/>
      <c r="Y365" s="293"/>
      <c r="Z365" s="318"/>
      <c r="AA365" s="293"/>
      <c r="AB365" s="293"/>
      <c r="AC365" s="298"/>
      <c r="AD365" s="298"/>
      <c r="AE365" s="512"/>
      <c r="AF365" s="513"/>
      <c r="AG365" s="514"/>
      <c r="AH365" s="514"/>
      <c r="AI365" s="514">
        <f t="shared" si="104"/>
        <v>0</v>
      </c>
      <c r="AJ365" s="514">
        <v>0</v>
      </c>
      <c r="AK365" s="514">
        <f t="shared" si="105"/>
        <v>0</v>
      </c>
      <c r="AL365" s="514"/>
      <c r="AM365" s="515"/>
      <c r="AN365" s="299"/>
      <c r="AO365" s="296">
        <f t="shared" si="102"/>
        <v>0</v>
      </c>
      <c r="AP365" s="274"/>
      <c r="AQ365" s="275"/>
      <c r="AR365" s="275">
        <f t="shared" si="103"/>
        <v>0</v>
      </c>
      <c r="AS365" s="280"/>
    </row>
    <row r="366" spans="2:45" x14ac:dyDescent="0.3">
      <c r="B366" s="287">
        <f t="shared" si="99"/>
        <v>362</v>
      </c>
      <c r="C366" s="272" t="s">
        <v>174</v>
      </c>
      <c r="D366" s="288" t="str">
        <f t="shared" si="100"/>
        <v>Oct-25</v>
      </c>
      <c r="E366" s="288" t="s">
        <v>107</v>
      </c>
      <c r="F366" s="289">
        <v>45958</v>
      </c>
      <c r="G366" s="290" t="s">
        <v>2204</v>
      </c>
      <c r="H366" s="291" t="s">
        <v>2600</v>
      </c>
      <c r="I366" s="290" t="s">
        <v>1984</v>
      </c>
      <c r="J366" s="387">
        <v>122511115508</v>
      </c>
      <c r="K366" s="289">
        <v>45958</v>
      </c>
      <c r="L366" s="291" t="s">
        <v>2216</v>
      </c>
      <c r="M366" s="289">
        <v>45958</v>
      </c>
      <c r="N366" s="291" t="s">
        <v>255</v>
      </c>
      <c r="O366" s="296" t="s">
        <v>994</v>
      </c>
      <c r="P366" s="291" t="s">
        <v>500</v>
      </c>
      <c r="Q366" s="291" t="s">
        <v>2607</v>
      </c>
      <c r="R366" s="458">
        <v>10470</v>
      </c>
      <c r="S366" s="404">
        <v>32.1</v>
      </c>
      <c r="T366" s="459">
        <f t="shared" si="98"/>
        <v>336087</v>
      </c>
      <c r="U366" s="298"/>
      <c r="V366" s="288" t="s">
        <v>3288</v>
      </c>
      <c r="W366" s="296" t="str">
        <f t="shared" si="101"/>
        <v>Jan-00</v>
      </c>
      <c r="X366" s="293"/>
      <c r="Y366" s="293"/>
      <c r="Z366" s="318"/>
      <c r="AA366" s="293"/>
      <c r="AB366" s="293"/>
      <c r="AC366" s="298"/>
      <c r="AD366" s="298"/>
      <c r="AE366" s="512"/>
      <c r="AF366" s="513"/>
      <c r="AG366" s="514"/>
      <c r="AH366" s="514"/>
      <c r="AI366" s="514">
        <f t="shared" si="104"/>
        <v>0</v>
      </c>
      <c r="AJ366" s="514">
        <v>0</v>
      </c>
      <c r="AK366" s="514">
        <f t="shared" si="105"/>
        <v>0</v>
      </c>
      <c r="AL366" s="514"/>
      <c r="AM366" s="515"/>
      <c r="AN366" s="299"/>
      <c r="AO366" s="296">
        <f t="shared" si="102"/>
        <v>0</v>
      </c>
      <c r="AP366" s="274"/>
      <c r="AQ366" s="275"/>
      <c r="AR366" s="275">
        <f t="shared" si="103"/>
        <v>0</v>
      </c>
      <c r="AS366" s="280"/>
    </row>
    <row r="367" spans="2:45" x14ac:dyDescent="0.3">
      <c r="B367" s="287">
        <f t="shared" si="99"/>
        <v>363</v>
      </c>
      <c r="C367" s="272" t="s">
        <v>174</v>
      </c>
      <c r="D367" s="288" t="str">
        <f t="shared" si="100"/>
        <v>Oct-25</v>
      </c>
      <c r="E367" s="288" t="s">
        <v>107</v>
      </c>
      <c r="F367" s="289">
        <v>45958</v>
      </c>
      <c r="G367" s="290" t="s">
        <v>2205</v>
      </c>
      <c r="H367" s="291" t="s">
        <v>2600</v>
      </c>
      <c r="I367" s="290" t="s">
        <v>1984</v>
      </c>
      <c r="J367" s="387">
        <v>122511115477</v>
      </c>
      <c r="K367" s="289">
        <v>45958</v>
      </c>
      <c r="L367" s="291" t="s">
        <v>2217</v>
      </c>
      <c r="M367" s="289">
        <v>45958</v>
      </c>
      <c r="N367" s="291" t="s">
        <v>255</v>
      </c>
      <c r="O367" s="296" t="s">
        <v>992</v>
      </c>
      <c r="P367" s="291" t="s">
        <v>500</v>
      </c>
      <c r="Q367" s="291" t="s">
        <v>2607</v>
      </c>
      <c r="R367" s="458">
        <v>12370</v>
      </c>
      <c r="S367" s="404">
        <v>32.1</v>
      </c>
      <c r="T367" s="459">
        <f t="shared" si="98"/>
        <v>397077</v>
      </c>
      <c r="U367" s="298"/>
      <c r="V367" s="288" t="s">
        <v>3288</v>
      </c>
      <c r="W367" s="296" t="str">
        <f t="shared" si="101"/>
        <v>Jan-00</v>
      </c>
      <c r="X367" s="293"/>
      <c r="Y367" s="293"/>
      <c r="Z367" s="318"/>
      <c r="AA367" s="293"/>
      <c r="AB367" s="293"/>
      <c r="AC367" s="298"/>
      <c r="AD367" s="298"/>
      <c r="AE367" s="512"/>
      <c r="AF367" s="513"/>
      <c r="AG367" s="514"/>
      <c r="AH367" s="514"/>
      <c r="AI367" s="514">
        <f t="shared" si="104"/>
        <v>0</v>
      </c>
      <c r="AJ367" s="514">
        <v>0</v>
      </c>
      <c r="AK367" s="514">
        <f t="shared" si="105"/>
        <v>0</v>
      </c>
      <c r="AL367" s="514"/>
      <c r="AM367" s="515"/>
      <c r="AN367" s="299"/>
      <c r="AO367" s="296">
        <f t="shared" si="102"/>
        <v>0</v>
      </c>
      <c r="AP367" s="274"/>
      <c r="AQ367" s="275"/>
      <c r="AR367" s="275">
        <f t="shared" si="103"/>
        <v>0</v>
      </c>
      <c r="AS367" s="280"/>
    </row>
    <row r="368" spans="2:45" x14ac:dyDescent="0.3">
      <c r="B368" s="287">
        <f t="shared" si="99"/>
        <v>364</v>
      </c>
      <c r="C368" s="272" t="s">
        <v>174</v>
      </c>
      <c r="D368" s="288" t="str">
        <f t="shared" si="100"/>
        <v>Oct-25</v>
      </c>
      <c r="E368" s="288" t="s">
        <v>107</v>
      </c>
      <c r="F368" s="289">
        <v>45958</v>
      </c>
      <c r="G368" s="290" t="s">
        <v>2206</v>
      </c>
      <c r="H368" s="291" t="s">
        <v>2600</v>
      </c>
      <c r="I368" s="290" t="s">
        <v>1984</v>
      </c>
      <c r="J368" s="387">
        <v>122511115539</v>
      </c>
      <c r="K368" s="289">
        <v>45958</v>
      </c>
      <c r="L368" s="291" t="s">
        <v>2218</v>
      </c>
      <c r="M368" s="289">
        <v>45958</v>
      </c>
      <c r="N368" s="291" t="s">
        <v>255</v>
      </c>
      <c r="O368" s="296" t="s">
        <v>989</v>
      </c>
      <c r="P368" s="291" t="s">
        <v>500</v>
      </c>
      <c r="Q368" s="291" t="s">
        <v>2607</v>
      </c>
      <c r="R368" s="458">
        <v>10160</v>
      </c>
      <c r="S368" s="404">
        <v>32.1</v>
      </c>
      <c r="T368" s="459">
        <f t="shared" si="98"/>
        <v>326136</v>
      </c>
      <c r="U368" s="298"/>
      <c r="V368" s="288" t="s">
        <v>3288</v>
      </c>
      <c r="W368" s="296" t="str">
        <f t="shared" si="101"/>
        <v>Jan-00</v>
      </c>
      <c r="X368" s="293"/>
      <c r="Y368" s="293"/>
      <c r="Z368" s="318"/>
      <c r="AA368" s="293"/>
      <c r="AB368" s="293"/>
      <c r="AC368" s="298"/>
      <c r="AD368" s="298"/>
      <c r="AE368" s="512"/>
      <c r="AF368" s="513"/>
      <c r="AG368" s="514"/>
      <c r="AH368" s="514"/>
      <c r="AI368" s="514">
        <f t="shared" si="104"/>
        <v>0</v>
      </c>
      <c r="AJ368" s="514">
        <v>0</v>
      </c>
      <c r="AK368" s="514">
        <f t="shared" si="105"/>
        <v>0</v>
      </c>
      <c r="AL368" s="514"/>
      <c r="AM368" s="515"/>
      <c r="AN368" s="299"/>
      <c r="AO368" s="296">
        <f t="shared" si="102"/>
        <v>0</v>
      </c>
      <c r="AP368" s="274"/>
      <c r="AQ368" s="275"/>
      <c r="AR368" s="275">
        <f t="shared" si="103"/>
        <v>0</v>
      </c>
      <c r="AS368" s="280"/>
    </row>
    <row r="369" spans="2:45" x14ac:dyDescent="0.3">
      <c r="B369" s="287">
        <f t="shared" si="99"/>
        <v>365</v>
      </c>
      <c r="C369" s="272" t="s">
        <v>174</v>
      </c>
      <c r="D369" s="288" t="str">
        <f t="shared" si="100"/>
        <v>Oct-25</v>
      </c>
      <c r="E369" s="288" t="s">
        <v>107</v>
      </c>
      <c r="F369" s="289">
        <v>45958</v>
      </c>
      <c r="G369" s="290" t="s">
        <v>2207</v>
      </c>
      <c r="H369" s="291" t="s">
        <v>2598</v>
      </c>
      <c r="I369" s="290" t="s">
        <v>401</v>
      </c>
      <c r="J369" s="387">
        <v>6252000090</v>
      </c>
      <c r="K369" s="289">
        <v>45958</v>
      </c>
      <c r="L369" s="291" t="s">
        <v>2219</v>
      </c>
      <c r="M369" s="289">
        <v>45958</v>
      </c>
      <c r="N369" s="291" t="s">
        <v>255</v>
      </c>
      <c r="O369" s="296" t="s">
        <v>402</v>
      </c>
      <c r="P369" s="291" t="s">
        <v>501</v>
      </c>
      <c r="Q369" s="291" t="s">
        <v>2608</v>
      </c>
      <c r="R369" s="458">
        <v>18360</v>
      </c>
      <c r="S369" s="404">
        <v>32.799999999999997</v>
      </c>
      <c r="T369" s="459">
        <f t="shared" si="98"/>
        <v>602208</v>
      </c>
      <c r="U369" s="298"/>
      <c r="V369" s="288" t="s">
        <v>3288</v>
      </c>
      <c r="W369" s="296" t="str">
        <f t="shared" si="101"/>
        <v>Jan-00</v>
      </c>
      <c r="X369" s="293"/>
      <c r="Y369" s="293"/>
      <c r="Z369" s="318"/>
      <c r="AA369" s="293"/>
      <c r="AB369" s="293"/>
      <c r="AC369" s="298"/>
      <c r="AD369" s="298"/>
      <c r="AE369" s="512"/>
      <c r="AF369" s="513"/>
      <c r="AG369" s="514"/>
      <c r="AH369" s="514"/>
      <c r="AI369" s="514">
        <f t="shared" si="104"/>
        <v>0</v>
      </c>
      <c r="AJ369" s="514">
        <v>0</v>
      </c>
      <c r="AK369" s="514">
        <f t="shared" si="105"/>
        <v>0</v>
      </c>
      <c r="AL369" s="514"/>
      <c r="AM369" s="515"/>
      <c r="AN369" s="299"/>
      <c r="AO369" s="296">
        <f t="shared" si="102"/>
        <v>0</v>
      </c>
      <c r="AP369" s="274"/>
      <c r="AQ369" s="275"/>
      <c r="AR369" s="275">
        <f t="shared" si="103"/>
        <v>0</v>
      </c>
      <c r="AS369" s="280"/>
    </row>
    <row r="370" spans="2:45" x14ac:dyDescent="0.3">
      <c r="B370" s="287">
        <f t="shared" si="99"/>
        <v>366</v>
      </c>
      <c r="C370" s="272" t="s">
        <v>174</v>
      </c>
      <c r="D370" s="288" t="str">
        <f t="shared" si="100"/>
        <v>Oct-25</v>
      </c>
      <c r="E370" s="288" t="s">
        <v>107</v>
      </c>
      <c r="F370" s="289">
        <v>45958</v>
      </c>
      <c r="G370" s="290" t="s">
        <v>2208</v>
      </c>
      <c r="H370" s="291" t="s">
        <v>2598</v>
      </c>
      <c r="I370" s="290" t="s">
        <v>401</v>
      </c>
      <c r="J370" s="387">
        <v>8252001917</v>
      </c>
      <c r="K370" s="289">
        <v>45958</v>
      </c>
      <c r="L370" s="291" t="s">
        <v>2220</v>
      </c>
      <c r="M370" s="289">
        <v>45958</v>
      </c>
      <c r="N370" s="291" t="s">
        <v>255</v>
      </c>
      <c r="O370" s="296" t="s">
        <v>1494</v>
      </c>
      <c r="P370" s="291" t="s">
        <v>501</v>
      </c>
      <c r="Q370" s="291" t="s">
        <v>2608</v>
      </c>
      <c r="R370" s="458">
        <v>35250</v>
      </c>
      <c r="S370" s="404">
        <v>32.799999999999997</v>
      </c>
      <c r="T370" s="459">
        <f t="shared" si="98"/>
        <v>1156200</v>
      </c>
      <c r="U370" s="298"/>
      <c r="V370" s="288" t="s">
        <v>3288</v>
      </c>
      <c r="W370" s="296" t="str">
        <f t="shared" si="101"/>
        <v>Jan-00</v>
      </c>
      <c r="X370" s="293"/>
      <c r="Y370" s="293"/>
      <c r="Z370" s="318"/>
      <c r="AA370" s="293"/>
      <c r="AB370" s="293"/>
      <c r="AC370" s="298"/>
      <c r="AD370" s="298"/>
      <c r="AE370" s="512"/>
      <c r="AF370" s="513"/>
      <c r="AG370" s="514"/>
      <c r="AH370" s="514"/>
      <c r="AI370" s="514">
        <f t="shared" si="104"/>
        <v>0</v>
      </c>
      <c r="AJ370" s="514">
        <v>0</v>
      </c>
      <c r="AK370" s="514">
        <f t="shared" si="105"/>
        <v>0</v>
      </c>
      <c r="AL370" s="514"/>
      <c r="AM370" s="515"/>
      <c r="AN370" s="299"/>
      <c r="AO370" s="296">
        <f t="shared" si="102"/>
        <v>0</v>
      </c>
      <c r="AP370" s="274"/>
      <c r="AQ370" s="275"/>
      <c r="AR370" s="275">
        <f t="shared" si="103"/>
        <v>0</v>
      </c>
      <c r="AS370" s="280"/>
    </row>
    <row r="371" spans="2:45" x14ac:dyDescent="0.3">
      <c r="B371" s="287">
        <f t="shared" si="99"/>
        <v>367</v>
      </c>
      <c r="C371" s="272" t="s">
        <v>174</v>
      </c>
      <c r="D371" s="288" t="str">
        <f t="shared" si="100"/>
        <v>Oct-25</v>
      </c>
      <c r="E371" s="288" t="s">
        <v>107</v>
      </c>
      <c r="F371" s="289">
        <v>45958</v>
      </c>
      <c r="G371" s="290" t="s">
        <v>2209</v>
      </c>
      <c r="H371" s="291" t="s">
        <v>2598</v>
      </c>
      <c r="I371" s="290" t="s">
        <v>401</v>
      </c>
      <c r="J371" s="387">
        <v>4252002962</v>
      </c>
      <c r="K371" s="289">
        <v>45958</v>
      </c>
      <c r="L371" s="291" t="s">
        <v>2221</v>
      </c>
      <c r="M371" s="289">
        <v>45958</v>
      </c>
      <c r="N371" s="291" t="s">
        <v>255</v>
      </c>
      <c r="O371" s="296" t="s">
        <v>314</v>
      </c>
      <c r="P371" s="291" t="s">
        <v>501</v>
      </c>
      <c r="Q371" s="291" t="s">
        <v>2608</v>
      </c>
      <c r="R371" s="458">
        <v>14670</v>
      </c>
      <c r="S371" s="404">
        <v>32.799999999999997</v>
      </c>
      <c r="T371" s="459">
        <f t="shared" si="98"/>
        <v>481175.99999999994</v>
      </c>
      <c r="U371" s="298"/>
      <c r="V371" s="288" t="s">
        <v>3288</v>
      </c>
      <c r="W371" s="296" t="str">
        <f t="shared" si="101"/>
        <v>Jan-00</v>
      </c>
      <c r="X371" s="293"/>
      <c r="Y371" s="293"/>
      <c r="Z371" s="318"/>
      <c r="AA371" s="293"/>
      <c r="AB371" s="293"/>
      <c r="AC371" s="298"/>
      <c r="AD371" s="298"/>
      <c r="AE371" s="512"/>
      <c r="AF371" s="513"/>
      <c r="AG371" s="514"/>
      <c r="AH371" s="514"/>
      <c r="AI371" s="514">
        <f t="shared" si="104"/>
        <v>0</v>
      </c>
      <c r="AJ371" s="514">
        <v>0</v>
      </c>
      <c r="AK371" s="514">
        <f t="shared" si="105"/>
        <v>0</v>
      </c>
      <c r="AL371" s="514"/>
      <c r="AM371" s="515"/>
      <c r="AN371" s="299"/>
      <c r="AO371" s="296">
        <f t="shared" si="102"/>
        <v>0</v>
      </c>
      <c r="AP371" s="274"/>
      <c r="AQ371" s="275"/>
      <c r="AR371" s="275">
        <f t="shared" si="103"/>
        <v>0</v>
      </c>
      <c r="AS371" s="280"/>
    </row>
    <row r="372" spans="2:45" x14ac:dyDescent="0.3">
      <c r="B372" s="287">
        <f t="shared" si="99"/>
        <v>368</v>
      </c>
      <c r="C372" s="272" t="s">
        <v>174</v>
      </c>
      <c r="D372" s="288" t="str">
        <f t="shared" si="100"/>
        <v>Oct-25</v>
      </c>
      <c r="E372" s="288" t="s">
        <v>107</v>
      </c>
      <c r="F372" s="289">
        <v>45959</v>
      </c>
      <c r="G372" s="290" t="s">
        <v>2225</v>
      </c>
      <c r="H372" s="291" t="s">
        <v>2600</v>
      </c>
      <c r="I372" s="290" t="s">
        <v>1984</v>
      </c>
      <c r="J372" s="387">
        <v>122511116183</v>
      </c>
      <c r="K372" s="289">
        <v>45959</v>
      </c>
      <c r="L372" s="291" t="s">
        <v>2238</v>
      </c>
      <c r="M372" s="289">
        <v>45959</v>
      </c>
      <c r="N372" s="291" t="s">
        <v>255</v>
      </c>
      <c r="O372" s="296" t="s">
        <v>992</v>
      </c>
      <c r="P372" s="291" t="s">
        <v>500</v>
      </c>
      <c r="Q372" s="291" t="s">
        <v>2607</v>
      </c>
      <c r="R372" s="458">
        <v>7530</v>
      </c>
      <c r="S372" s="404">
        <v>32.1</v>
      </c>
      <c r="T372" s="459">
        <f t="shared" si="98"/>
        <v>241713</v>
      </c>
      <c r="U372" s="298"/>
      <c r="V372" s="288" t="s">
        <v>3288</v>
      </c>
      <c r="W372" s="296" t="str">
        <f t="shared" si="101"/>
        <v>Jan-00</v>
      </c>
      <c r="X372" s="293"/>
      <c r="Y372" s="293"/>
      <c r="Z372" s="318"/>
      <c r="AA372" s="293"/>
      <c r="AB372" s="293"/>
      <c r="AC372" s="298"/>
      <c r="AD372" s="298"/>
      <c r="AE372" s="512"/>
      <c r="AF372" s="513"/>
      <c r="AG372" s="514"/>
      <c r="AH372" s="514"/>
      <c r="AI372" s="514">
        <f t="shared" si="104"/>
        <v>0</v>
      </c>
      <c r="AJ372" s="514">
        <v>0</v>
      </c>
      <c r="AK372" s="514">
        <f t="shared" si="105"/>
        <v>0</v>
      </c>
      <c r="AL372" s="514"/>
      <c r="AM372" s="515"/>
      <c r="AN372" s="299"/>
      <c r="AO372" s="296">
        <f t="shared" si="102"/>
        <v>0</v>
      </c>
      <c r="AP372" s="274"/>
      <c r="AQ372" s="275"/>
      <c r="AR372" s="275">
        <f t="shared" si="103"/>
        <v>0</v>
      </c>
      <c r="AS372" s="280"/>
    </row>
    <row r="373" spans="2:45" x14ac:dyDescent="0.3">
      <c r="B373" s="287">
        <f t="shared" si="99"/>
        <v>369</v>
      </c>
      <c r="C373" s="272" t="s">
        <v>174</v>
      </c>
      <c r="D373" s="288" t="str">
        <f t="shared" si="100"/>
        <v>Oct-25</v>
      </c>
      <c r="E373" s="288" t="s">
        <v>107</v>
      </c>
      <c r="F373" s="289">
        <v>45959</v>
      </c>
      <c r="G373" s="290" t="s">
        <v>2224</v>
      </c>
      <c r="H373" s="291" t="s">
        <v>2600</v>
      </c>
      <c r="I373" s="290" t="s">
        <v>1984</v>
      </c>
      <c r="J373" s="387">
        <v>122511116211</v>
      </c>
      <c r="K373" s="289">
        <v>45959</v>
      </c>
      <c r="L373" s="291" t="s">
        <v>2237</v>
      </c>
      <c r="M373" s="289">
        <v>45959</v>
      </c>
      <c r="N373" s="291" t="s">
        <v>255</v>
      </c>
      <c r="O373" s="296" t="s">
        <v>989</v>
      </c>
      <c r="P373" s="291" t="s">
        <v>500</v>
      </c>
      <c r="Q373" s="291" t="s">
        <v>2607</v>
      </c>
      <c r="R373" s="458">
        <v>8440</v>
      </c>
      <c r="S373" s="404">
        <v>32.1</v>
      </c>
      <c r="T373" s="459">
        <f t="shared" si="98"/>
        <v>270924</v>
      </c>
      <c r="U373" s="298"/>
      <c r="V373" s="288" t="s">
        <v>3288</v>
      </c>
      <c r="W373" s="296" t="str">
        <f t="shared" si="101"/>
        <v>Jan-00</v>
      </c>
      <c r="X373" s="293"/>
      <c r="Y373" s="293"/>
      <c r="Z373" s="318"/>
      <c r="AA373" s="293"/>
      <c r="AB373" s="293"/>
      <c r="AC373" s="298"/>
      <c r="AD373" s="298"/>
      <c r="AE373" s="512"/>
      <c r="AF373" s="513"/>
      <c r="AG373" s="514"/>
      <c r="AH373" s="514"/>
      <c r="AI373" s="514">
        <f t="shared" si="104"/>
        <v>0</v>
      </c>
      <c r="AJ373" s="514">
        <v>0</v>
      </c>
      <c r="AK373" s="514">
        <f t="shared" si="105"/>
        <v>0</v>
      </c>
      <c r="AL373" s="514"/>
      <c r="AM373" s="515"/>
      <c r="AN373" s="299"/>
      <c r="AO373" s="296">
        <f t="shared" si="102"/>
        <v>0</v>
      </c>
      <c r="AP373" s="274"/>
      <c r="AQ373" s="275"/>
      <c r="AR373" s="275">
        <f t="shared" si="103"/>
        <v>0</v>
      </c>
      <c r="AS373" s="280"/>
    </row>
    <row r="374" spans="2:45" x14ac:dyDescent="0.3">
      <c r="B374" s="287">
        <f t="shared" si="99"/>
        <v>370</v>
      </c>
      <c r="C374" s="272" t="s">
        <v>174</v>
      </c>
      <c r="D374" s="288" t="str">
        <f t="shared" si="100"/>
        <v>Oct-25</v>
      </c>
      <c r="E374" s="288" t="s">
        <v>107</v>
      </c>
      <c r="F374" s="289">
        <v>45959</v>
      </c>
      <c r="G374" s="290" t="s">
        <v>2226</v>
      </c>
      <c r="H374" s="291" t="s">
        <v>2598</v>
      </c>
      <c r="I374" s="290" t="s">
        <v>401</v>
      </c>
      <c r="J374" s="387">
        <v>8252001923</v>
      </c>
      <c r="K374" s="289">
        <v>45959</v>
      </c>
      <c r="L374" s="291" t="s">
        <v>2239</v>
      </c>
      <c r="M374" s="289">
        <v>45960</v>
      </c>
      <c r="N374" s="291" t="s">
        <v>255</v>
      </c>
      <c r="O374" s="296" t="s">
        <v>1494</v>
      </c>
      <c r="P374" s="291" t="s">
        <v>501</v>
      </c>
      <c r="Q374" s="291" t="s">
        <v>2608</v>
      </c>
      <c r="R374" s="458">
        <v>30800</v>
      </c>
      <c r="S374" s="404">
        <v>32.799999999999997</v>
      </c>
      <c r="T374" s="459">
        <f t="shared" si="98"/>
        <v>1010239.9999999999</v>
      </c>
      <c r="U374" s="298"/>
      <c r="V374" s="288" t="s">
        <v>3288</v>
      </c>
      <c r="W374" s="296" t="str">
        <f t="shared" si="101"/>
        <v>Jan-00</v>
      </c>
      <c r="X374" s="293"/>
      <c r="Y374" s="293"/>
      <c r="Z374" s="318"/>
      <c r="AA374" s="293"/>
      <c r="AB374" s="293"/>
      <c r="AC374" s="298"/>
      <c r="AD374" s="298"/>
      <c r="AE374" s="512"/>
      <c r="AF374" s="513"/>
      <c r="AG374" s="514"/>
      <c r="AH374" s="514"/>
      <c r="AI374" s="514">
        <f t="shared" si="104"/>
        <v>0</v>
      </c>
      <c r="AJ374" s="514">
        <v>0</v>
      </c>
      <c r="AK374" s="514">
        <f t="shared" si="105"/>
        <v>0</v>
      </c>
      <c r="AL374" s="514"/>
      <c r="AM374" s="515"/>
      <c r="AN374" s="299"/>
      <c r="AO374" s="296">
        <f t="shared" si="102"/>
        <v>0</v>
      </c>
      <c r="AP374" s="274"/>
      <c r="AQ374" s="275"/>
      <c r="AR374" s="275">
        <f t="shared" si="103"/>
        <v>0</v>
      </c>
      <c r="AS374" s="280"/>
    </row>
    <row r="375" spans="2:45" x14ac:dyDescent="0.3">
      <c r="B375" s="287">
        <f t="shared" si="99"/>
        <v>371</v>
      </c>
      <c r="C375" s="272" t="s">
        <v>174</v>
      </c>
      <c r="D375" s="288" t="str">
        <f t="shared" si="100"/>
        <v>Oct-25</v>
      </c>
      <c r="E375" s="288" t="s">
        <v>107</v>
      </c>
      <c r="F375" s="289">
        <v>45960</v>
      </c>
      <c r="G375" s="290" t="s">
        <v>2228</v>
      </c>
      <c r="H375" s="291" t="s">
        <v>2600</v>
      </c>
      <c r="I375" s="290" t="s">
        <v>1984</v>
      </c>
      <c r="J375" s="387">
        <v>122511116819</v>
      </c>
      <c r="K375" s="289">
        <v>45960</v>
      </c>
      <c r="L375" s="291" t="s">
        <v>2241</v>
      </c>
      <c r="M375" s="289">
        <v>45960</v>
      </c>
      <c r="N375" s="291" t="s">
        <v>255</v>
      </c>
      <c r="O375" s="296" t="s">
        <v>992</v>
      </c>
      <c r="P375" s="291" t="s">
        <v>500</v>
      </c>
      <c r="Q375" s="291" t="s">
        <v>2607</v>
      </c>
      <c r="R375" s="458">
        <v>10700</v>
      </c>
      <c r="S375" s="404">
        <v>32.1</v>
      </c>
      <c r="T375" s="459">
        <f t="shared" si="98"/>
        <v>343470</v>
      </c>
      <c r="U375" s="298"/>
      <c r="V375" s="288" t="s">
        <v>3288</v>
      </c>
      <c r="W375" s="296" t="str">
        <f t="shared" si="101"/>
        <v>Jan-00</v>
      </c>
      <c r="X375" s="293"/>
      <c r="Y375" s="293"/>
      <c r="Z375" s="318"/>
      <c r="AA375" s="293"/>
      <c r="AB375" s="293"/>
      <c r="AC375" s="298"/>
      <c r="AD375" s="298"/>
      <c r="AE375" s="512"/>
      <c r="AF375" s="513"/>
      <c r="AG375" s="514"/>
      <c r="AH375" s="514"/>
      <c r="AI375" s="514">
        <f t="shared" si="104"/>
        <v>0</v>
      </c>
      <c r="AJ375" s="514">
        <v>0</v>
      </c>
      <c r="AK375" s="514">
        <f t="shared" si="105"/>
        <v>0</v>
      </c>
      <c r="AL375" s="514"/>
      <c r="AM375" s="515"/>
      <c r="AN375" s="299"/>
      <c r="AO375" s="296">
        <f t="shared" si="102"/>
        <v>0</v>
      </c>
      <c r="AP375" s="274"/>
      <c r="AQ375" s="275"/>
      <c r="AR375" s="275">
        <f t="shared" si="103"/>
        <v>0</v>
      </c>
      <c r="AS375" s="280"/>
    </row>
    <row r="376" spans="2:45" x14ac:dyDescent="0.3">
      <c r="B376" s="287">
        <f t="shared" si="99"/>
        <v>372</v>
      </c>
      <c r="C376" s="272" t="s">
        <v>174</v>
      </c>
      <c r="D376" s="288" t="str">
        <f t="shared" si="100"/>
        <v>Oct-25</v>
      </c>
      <c r="E376" s="288" t="s">
        <v>107</v>
      </c>
      <c r="F376" s="289">
        <v>45960</v>
      </c>
      <c r="G376" s="290" t="s">
        <v>2227</v>
      </c>
      <c r="H376" s="291" t="s">
        <v>2600</v>
      </c>
      <c r="I376" s="290" t="s">
        <v>1984</v>
      </c>
      <c r="J376" s="387">
        <v>122511116820</v>
      </c>
      <c r="K376" s="289">
        <v>45960</v>
      </c>
      <c r="L376" s="291" t="s">
        <v>2240</v>
      </c>
      <c r="M376" s="289">
        <v>45960</v>
      </c>
      <c r="N376" s="291" t="s">
        <v>255</v>
      </c>
      <c r="O376" s="296" t="s">
        <v>994</v>
      </c>
      <c r="P376" s="291" t="s">
        <v>500</v>
      </c>
      <c r="Q376" s="291" t="s">
        <v>2607</v>
      </c>
      <c r="R376" s="458">
        <v>8370</v>
      </c>
      <c r="S376" s="404">
        <v>32.1</v>
      </c>
      <c r="T376" s="459">
        <f t="shared" si="98"/>
        <v>268677</v>
      </c>
      <c r="U376" s="298"/>
      <c r="V376" s="288" t="s">
        <v>3288</v>
      </c>
      <c r="W376" s="296" t="str">
        <f t="shared" si="101"/>
        <v>Jan-00</v>
      </c>
      <c r="X376" s="293"/>
      <c r="Y376" s="293"/>
      <c r="Z376" s="318"/>
      <c r="AA376" s="293"/>
      <c r="AB376" s="293"/>
      <c r="AC376" s="298"/>
      <c r="AD376" s="298"/>
      <c r="AE376" s="512"/>
      <c r="AF376" s="513"/>
      <c r="AG376" s="514"/>
      <c r="AH376" s="514"/>
      <c r="AI376" s="514">
        <f t="shared" si="104"/>
        <v>0</v>
      </c>
      <c r="AJ376" s="514">
        <v>0</v>
      </c>
      <c r="AK376" s="514">
        <f t="shared" si="105"/>
        <v>0</v>
      </c>
      <c r="AL376" s="514"/>
      <c r="AM376" s="515"/>
      <c r="AN376" s="299"/>
      <c r="AO376" s="296">
        <f t="shared" si="102"/>
        <v>0</v>
      </c>
      <c r="AP376" s="274"/>
      <c r="AQ376" s="275"/>
      <c r="AR376" s="275">
        <f t="shared" si="103"/>
        <v>0</v>
      </c>
      <c r="AS376" s="280"/>
    </row>
    <row r="377" spans="2:45" x14ac:dyDescent="0.3">
      <c r="B377" s="287">
        <f t="shared" si="99"/>
        <v>373</v>
      </c>
      <c r="C377" s="272" t="s">
        <v>174</v>
      </c>
      <c r="D377" s="288" t="str">
        <f t="shared" si="100"/>
        <v>Oct-25</v>
      </c>
      <c r="E377" s="288" t="s">
        <v>107</v>
      </c>
      <c r="F377" s="289">
        <v>45961</v>
      </c>
      <c r="G377" s="290" t="s">
        <v>2746</v>
      </c>
      <c r="H377" s="291" t="s">
        <v>2600</v>
      </c>
      <c r="I377" s="290" t="s">
        <v>1984</v>
      </c>
      <c r="J377" s="387">
        <v>122511117449</v>
      </c>
      <c r="K377" s="289">
        <v>45961</v>
      </c>
      <c r="L377" s="291" t="s">
        <v>2747</v>
      </c>
      <c r="M377" s="289">
        <v>45961</v>
      </c>
      <c r="N377" s="291" t="s">
        <v>255</v>
      </c>
      <c r="O377" s="296" t="s">
        <v>979</v>
      </c>
      <c r="P377" s="291" t="s">
        <v>500</v>
      </c>
      <c r="Q377" s="291" t="s">
        <v>2748</v>
      </c>
      <c r="R377" s="458">
        <v>10500</v>
      </c>
      <c r="S377" s="404">
        <v>32.1</v>
      </c>
      <c r="T377" s="459">
        <f t="shared" si="98"/>
        <v>337050</v>
      </c>
      <c r="U377" s="298"/>
      <c r="V377" s="288" t="s">
        <v>3288</v>
      </c>
      <c r="W377" s="296" t="str">
        <f t="shared" si="101"/>
        <v>Jan-00</v>
      </c>
      <c r="X377" s="293"/>
      <c r="Y377" s="293"/>
      <c r="Z377" s="318"/>
      <c r="AA377" s="293"/>
      <c r="AB377" s="293"/>
      <c r="AC377" s="298"/>
      <c r="AD377" s="298"/>
      <c r="AE377" s="512"/>
      <c r="AF377" s="513"/>
      <c r="AG377" s="514"/>
      <c r="AH377" s="514"/>
      <c r="AI377" s="514"/>
      <c r="AJ377" s="514"/>
      <c r="AK377" s="514"/>
      <c r="AL377" s="514"/>
      <c r="AM377" s="515"/>
      <c r="AN377" s="299"/>
      <c r="AO377" s="296">
        <f t="shared" si="102"/>
        <v>0</v>
      </c>
      <c r="AP377" s="274"/>
      <c r="AQ377" s="275"/>
      <c r="AR377" s="275">
        <f t="shared" si="103"/>
        <v>0</v>
      </c>
      <c r="AS377" s="280"/>
    </row>
    <row r="378" spans="2:45" x14ac:dyDescent="0.3">
      <c r="B378" s="287">
        <f t="shared" si="99"/>
        <v>374</v>
      </c>
      <c r="C378" s="272" t="s">
        <v>174</v>
      </c>
      <c r="D378" s="288" t="str">
        <f t="shared" si="100"/>
        <v>Oct-25</v>
      </c>
      <c r="E378" s="288" t="s">
        <v>107</v>
      </c>
      <c r="F378" s="289">
        <v>45961</v>
      </c>
      <c r="G378" s="290" t="s">
        <v>2235</v>
      </c>
      <c r="H378" s="291" t="s">
        <v>2598</v>
      </c>
      <c r="I378" s="290" t="s">
        <v>401</v>
      </c>
      <c r="J378" s="387">
        <v>5252001102</v>
      </c>
      <c r="K378" s="289">
        <v>45961</v>
      </c>
      <c r="L378" s="291" t="s">
        <v>2242</v>
      </c>
      <c r="M378" s="289">
        <v>45961</v>
      </c>
      <c r="N378" s="291" t="s">
        <v>255</v>
      </c>
      <c r="O378" s="296" t="s">
        <v>697</v>
      </c>
      <c r="P378" s="291" t="s">
        <v>501</v>
      </c>
      <c r="Q378" s="291" t="s">
        <v>2608</v>
      </c>
      <c r="R378" s="458">
        <v>7750</v>
      </c>
      <c r="S378" s="404">
        <v>32.799999999999997</v>
      </c>
      <c r="T378" s="459">
        <f t="shared" si="98"/>
        <v>254199.99999999997</v>
      </c>
      <c r="U378" s="298"/>
      <c r="V378" s="288" t="s">
        <v>3288</v>
      </c>
      <c r="W378" s="296" t="str">
        <f t="shared" si="101"/>
        <v>Jan-00</v>
      </c>
      <c r="X378" s="293"/>
      <c r="Y378" s="293"/>
      <c r="Z378" s="318"/>
      <c r="AA378" s="293"/>
      <c r="AB378" s="293"/>
      <c r="AC378" s="298"/>
      <c r="AD378" s="298"/>
      <c r="AE378" s="512"/>
      <c r="AF378" s="513"/>
      <c r="AG378" s="514"/>
      <c r="AH378" s="514"/>
      <c r="AI378" s="514">
        <f t="shared" ref="AI378:AI385" si="106">AG378+AH378</f>
        <v>0</v>
      </c>
      <c r="AJ378" s="514">
        <v>0</v>
      </c>
      <c r="AK378" s="514">
        <f t="shared" ref="AK378:AK385" si="107">AE378-AJ378</f>
        <v>0</v>
      </c>
      <c r="AL378" s="514"/>
      <c r="AM378" s="515"/>
      <c r="AN378" s="299"/>
      <c r="AO378" s="296">
        <f t="shared" si="102"/>
        <v>0</v>
      </c>
      <c r="AP378" s="274"/>
      <c r="AQ378" s="275"/>
      <c r="AR378" s="275">
        <f t="shared" si="103"/>
        <v>0</v>
      </c>
      <c r="AS378" s="280"/>
    </row>
    <row r="379" spans="2:45" x14ac:dyDescent="0.3">
      <c r="B379" s="287">
        <f t="shared" si="99"/>
        <v>375</v>
      </c>
      <c r="C379" s="272" t="s">
        <v>174</v>
      </c>
      <c r="D379" s="288" t="str">
        <f t="shared" si="100"/>
        <v>Oct-25</v>
      </c>
      <c r="E379" s="288" t="s">
        <v>107</v>
      </c>
      <c r="F379" s="289">
        <v>45961</v>
      </c>
      <c r="G379" s="290" t="s">
        <v>2236</v>
      </c>
      <c r="H379" s="291" t="s">
        <v>2598</v>
      </c>
      <c r="I379" s="290" t="s">
        <v>401</v>
      </c>
      <c r="J379" s="387">
        <v>5252001109</v>
      </c>
      <c r="K379" s="289">
        <v>45961</v>
      </c>
      <c r="L379" s="291" t="s">
        <v>2243</v>
      </c>
      <c r="M379" s="289">
        <v>45961</v>
      </c>
      <c r="N379" s="291" t="s">
        <v>255</v>
      </c>
      <c r="O379" s="296" t="s">
        <v>697</v>
      </c>
      <c r="P379" s="291" t="s">
        <v>501</v>
      </c>
      <c r="Q379" s="291" t="s">
        <v>2608</v>
      </c>
      <c r="R379" s="458">
        <v>6370</v>
      </c>
      <c r="S379" s="404">
        <v>32.799999999999997</v>
      </c>
      <c r="T379" s="459">
        <f t="shared" si="98"/>
        <v>208935.99999999997</v>
      </c>
      <c r="U379" s="298"/>
      <c r="V379" s="288" t="s">
        <v>3288</v>
      </c>
      <c r="W379" s="296" t="str">
        <f t="shared" si="101"/>
        <v>Jan-00</v>
      </c>
      <c r="X379" s="293"/>
      <c r="Y379" s="293"/>
      <c r="Z379" s="318"/>
      <c r="AA379" s="293"/>
      <c r="AB379" s="293"/>
      <c r="AC379" s="298"/>
      <c r="AD379" s="298"/>
      <c r="AE379" s="512"/>
      <c r="AF379" s="513"/>
      <c r="AG379" s="514"/>
      <c r="AH379" s="514"/>
      <c r="AI379" s="514">
        <f t="shared" si="106"/>
        <v>0</v>
      </c>
      <c r="AJ379" s="514">
        <v>0</v>
      </c>
      <c r="AK379" s="514">
        <f t="shared" si="107"/>
        <v>0</v>
      </c>
      <c r="AL379" s="514"/>
      <c r="AM379" s="515">
        <f>(AG379+AH379)-AL379</f>
        <v>0</v>
      </c>
      <c r="AN379" s="299"/>
      <c r="AO379" s="296">
        <f t="shared" si="102"/>
        <v>0</v>
      </c>
      <c r="AP379" s="274"/>
      <c r="AQ379" s="275"/>
      <c r="AR379" s="275">
        <f t="shared" si="103"/>
        <v>0</v>
      </c>
      <c r="AS379" s="280"/>
    </row>
    <row r="380" spans="2:45" x14ac:dyDescent="0.3">
      <c r="B380" s="287">
        <f t="shared" si="99"/>
        <v>376</v>
      </c>
      <c r="C380" s="272" t="s">
        <v>174</v>
      </c>
      <c r="D380" s="288" t="str">
        <f t="shared" si="100"/>
        <v>Oct-25</v>
      </c>
      <c r="E380" s="288" t="s">
        <v>107</v>
      </c>
      <c r="F380" s="289">
        <v>45961</v>
      </c>
      <c r="G380" s="290" t="s">
        <v>2750</v>
      </c>
      <c r="H380" s="291" t="s">
        <v>400</v>
      </c>
      <c r="I380" s="290" t="s">
        <v>401</v>
      </c>
      <c r="J380" s="387">
        <v>8252001928</v>
      </c>
      <c r="K380" s="289">
        <v>45961</v>
      </c>
      <c r="L380" s="291" t="s">
        <v>2751</v>
      </c>
      <c r="M380" s="289">
        <v>45961</v>
      </c>
      <c r="N380" s="291" t="s">
        <v>255</v>
      </c>
      <c r="O380" s="296" t="s">
        <v>631</v>
      </c>
      <c r="P380" s="291" t="s">
        <v>500</v>
      </c>
      <c r="Q380" s="291" t="s">
        <v>2683</v>
      </c>
      <c r="R380" s="458">
        <v>28470</v>
      </c>
      <c r="S380" s="404">
        <v>32.799999999999997</v>
      </c>
      <c r="T380" s="459">
        <f t="shared" si="98"/>
        <v>933815.99999999988</v>
      </c>
      <c r="U380" s="298"/>
      <c r="V380" s="288" t="s">
        <v>3288</v>
      </c>
      <c r="W380" s="296" t="str">
        <f t="shared" si="101"/>
        <v>Jan-00</v>
      </c>
      <c r="X380" s="293"/>
      <c r="Y380" s="293"/>
      <c r="Z380" s="318"/>
      <c r="AA380" s="293"/>
      <c r="AB380" s="293"/>
      <c r="AC380" s="298"/>
      <c r="AD380" s="298"/>
      <c r="AE380" s="512"/>
      <c r="AF380" s="513"/>
      <c r="AG380" s="514"/>
      <c r="AH380" s="514"/>
      <c r="AI380" s="514">
        <f t="shared" si="106"/>
        <v>0</v>
      </c>
      <c r="AJ380" s="514">
        <v>0</v>
      </c>
      <c r="AK380" s="514">
        <f t="shared" si="107"/>
        <v>0</v>
      </c>
      <c r="AL380" s="514"/>
      <c r="AM380" s="515"/>
      <c r="AN380" s="299"/>
      <c r="AO380" s="296">
        <f t="shared" si="102"/>
        <v>0</v>
      </c>
      <c r="AP380" s="274"/>
      <c r="AQ380" s="275"/>
      <c r="AR380" s="275">
        <f t="shared" si="103"/>
        <v>0</v>
      </c>
      <c r="AS380" s="280"/>
    </row>
    <row r="381" spans="2:45" x14ac:dyDescent="0.3">
      <c r="B381" s="287">
        <f t="shared" si="99"/>
        <v>377</v>
      </c>
      <c r="C381" s="272" t="s">
        <v>174</v>
      </c>
      <c r="D381" s="288" t="str">
        <f t="shared" si="100"/>
        <v>Dec-25</v>
      </c>
      <c r="E381" s="288" t="s">
        <v>2754</v>
      </c>
      <c r="F381" s="289">
        <v>46022</v>
      </c>
      <c r="G381" s="290" t="s">
        <v>2414</v>
      </c>
      <c r="H381" s="291" t="s">
        <v>196</v>
      </c>
      <c r="I381" s="296" t="s">
        <v>2680</v>
      </c>
      <c r="J381" s="387" t="s">
        <v>2417</v>
      </c>
      <c r="K381" s="289">
        <v>46022</v>
      </c>
      <c r="L381" s="291" t="s">
        <v>2420</v>
      </c>
      <c r="M381" s="289">
        <v>46022</v>
      </c>
      <c r="N381" s="291" t="s">
        <v>255</v>
      </c>
      <c r="O381" s="296">
        <v>0</v>
      </c>
      <c r="P381" s="291" t="s">
        <v>2754</v>
      </c>
      <c r="Q381" s="291" t="s">
        <v>2683</v>
      </c>
      <c r="R381" s="458">
        <v>35215</v>
      </c>
      <c r="S381" s="404">
        <v>23.931999999999999</v>
      </c>
      <c r="T381" s="459">
        <f t="shared" si="98"/>
        <v>842765.38</v>
      </c>
      <c r="U381" s="298" t="s">
        <v>2754</v>
      </c>
      <c r="V381" s="288" t="s">
        <v>313</v>
      </c>
      <c r="W381" s="296" t="str">
        <f t="shared" si="101"/>
        <v>Jan-26</v>
      </c>
      <c r="X381" s="293" t="s">
        <v>2754</v>
      </c>
      <c r="Y381" s="293" t="s">
        <v>2658</v>
      </c>
      <c r="Z381" s="318">
        <v>46043</v>
      </c>
      <c r="AA381" s="293" t="s">
        <v>2656</v>
      </c>
      <c r="AB381" s="293" t="s">
        <v>2353</v>
      </c>
      <c r="AC381" s="298" t="s">
        <v>2754</v>
      </c>
      <c r="AD381" s="298" t="s">
        <v>2682</v>
      </c>
      <c r="AE381" s="512">
        <v>34800</v>
      </c>
      <c r="AF381" s="513">
        <v>30.5</v>
      </c>
      <c r="AG381" s="514">
        <f t="shared" ref="AG381:AG394" si="108">AE381*AF381</f>
        <v>1061400</v>
      </c>
      <c r="AH381" s="514">
        <v>-1830</v>
      </c>
      <c r="AI381" s="514">
        <f t="shared" si="106"/>
        <v>1059570</v>
      </c>
      <c r="AJ381" s="514">
        <v>0</v>
      </c>
      <c r="AK381" s="514">
        <f t="shared" si="107"/>
        <v>34800</v>
      </c>
      <c r="AL381" s="514">
        <f t="shared" ref="AL381:AL385" si="109">AE381*S381</f>
        <v>832833.6</v>
      </c>
      <c r="AM381" s="515">
        <f t="shared" ref="AM381:AM386" si="110">(AG381+AH381)-AL381</f>
        <v>226736.40000000002</v>
      </c>
      <c r="AN381" s="299">
        <f t="shared" ref="AN381:AN386" si="111">IFERROR(AM381/(AG381+AH381),0)</f>
        <v>0.21398907103825138</v>
      </c>
      <c r="AO381" s="296">
        <f t="shared" si="102"/>
        <v>832833.6</v>
      </c>
      <c r="AP381" s="274">
        <f t="shared" ref="AP381:AP404" si="112">(Z381-K381)</f>
        <v>21</v>
      </c>
      <c r="AQ381" s="275">
        <f t="shared" ref="AQ381:AQ386" si="113">T381*9.35%*AP381/365</f>
        <v>4533.6159551506853</v>
      </c>
      <c r="AR381" s="275">
        <f t="shared" si="103"/>
        <v>222202.78404484934</v>
      </c>
      <c r="AS381" s="280">
        <f t="shared" ref="AS381:AS386" si="114">IFERROR(AR381/(AG381+AH381),0)</f>
        <v>0.20971033914215137</v>
      </c>
    </row>
    <row r="382" spans="2:45" x14ac:dyDescent="0.3">
      <c r="B382" s="287">
        <f t="shared" si="99"/>
        <v>378</v>
      </c>
      <c r="C382" s="272" t="s">
        <v>174</v>
      </c>
      <c r="D382" s="288" t="str">
        <f t="shared" si="100"/>
        <v>Jan-26</v>
      </c>
      <c r="E382" s="288" t="s">
        <v>2754</v>
      </c>
      <c r="F382" s="289">
        <v>46035</v>
      </c>
      <c r="G382" s="290" t="s">
        <v>2581</v>
      </c>
      <c r="H382" s="291" t="s">
        <v>196</v>
      </c>
      <c r="I382" s="296" t="s">
        <v>2680</v>
      </c>
      <c r="J382" s="387" t="s">
        <v>2583</v>
      </c>
      <c r="K382" s="289">
        <v>46031</v>
      </c>
      <c r="L382" s="291" t="s">
        <v>2587</v>
      </c>
      <c r="M382" s="289">
        <v>46035</v>
      </c>
      <c r="N382" s="291" t="s">
        <v>255</v>
      </c>
      <c r="O382" s="296">
        <v>0</v>
      </c>
      <c r="P382" s="291" t="s">
        <v>2754</v>
      </c>
      <c r="Q382" s="291" t="s">
        <v>2683</v>
      </c>
      <c r="R382" s="458">
        <v>10510</v>
      </c>
      <c r="S382" s="404">
        <v>24.050999999999998</v>
      </c>
      <c r="T382" s="459">
        <f t="shared" si="98"/>
        <v>252776.00999999998</v>
      </c>
      <c r="U382" s="298" t="s">
        <v>2754</v>
      </c>
      <c r="V382" s="288" t="s">
        <v>313</v>
      </c>
      <c r="W382" s="296" t="str">
        <f t="shared" si="101"/>
        <v>Jan-26</v>
      </c>
      <c r="X382" s="293" t="s">
        <v>2754</v>
      </c>
      <c r="Y382" s="293" t="s">
        <v>2752</v>
      </c>
      <c r="Z382" s="318">
        <v>46051</v>
      </c>
      <c r="AA382" s="293" t="s">
        <v>2753</v>
      </c>
      <c r="AB382" s="293" t="s">
        <v>2353</v>
      </c>
      <c r="AC382" s="298" t="s">
        <v>2754</v>
      </c>
      <c r="AD382" s="298" t="s">
        <v>2682</v>
      </c>
      <c r="AE382" s="512">
        <v>23485</v>
      </c>
      <c r="AF382" s="513">
        <v>31</v>
      </c>
      <c r="AG382" s="514">
        <f t="shared" si="108"/>
        <v>728035</v>
      </c>
      <c r="AH382" s="514">
        <v>0</v>
      </c>
      <c r="AI382" s="514">
        <f t="shared" si="106"/>
        <v>728035</v>
      </c>
      <c r="AJ382" s="514">
        <v>0</v>
      </c>
      <c r="AK382" s="514">
        <f t="shared" si="107"/>
        <v>23485</v>
      </c>
      <c r="AL382" s="514">
        <f t="shared" si="109"/>
        <v>564837.73499999999</v>
      </c>
      <c r="AM382" s="515">
        <f t="shared" si="110"/>
        <v>163197.26500000001</v>
      </c>
      <c r="AN382" s="299">
        <f t="shared" si="111"/>
        <v>0.22416129032258067</v>
      </c>
      <c r="AO382" s="296">
        <f t="shared" si="102"/>
        <v>564837.73499999999</v>
      </c>
      <c r="AP382" s="274">
        <f t="shared" si="112"/>
        <v>20</v>
      </c>
      <c r="AQ382" s="275">
        <f t="shared" si="113"/>
        <v>1295.0442156164381</v>
      </c>
      <c r="AR382" s="275">
        <f t="shared" si="103"/>
        <v>161902.22078438356</v>
      </c>
      <c r="AS382" s="280">
        <f t="shared" si="114"/>
        <v>0.22238246895325578</v>
      </c>
    </row>
    <row r="383" spans="2:45" x14ac:dyDescent="0.3">
      <c r="B383" s="287">
        <f t="shared" si="99"/>
        <v>379</v>
      </c>
      <c r="C383" s="272" t="s">
        <v>174</v>
      </c>
      <c r="D383" s="288" t="str">
        <f t="shared" ref="D383" si="115">TEXT(F383,"mmm-yy")</f>
        <v>Jan-26</v>
      </c>
      <c r="E383" s="288" t="s">
        <v>2754</v>
      </c>
      <c r="F383" s="289">
        <v>46035</v>
      </c>
      <c r="G383" s="290"/>
      <c r="H383" s="291" t="s">
        <v>196</v>
      </c>
      <c r="I383" s="296" t="s">
        <v>2680</v>
      </c>
      <c r="J383" s="387"/>
      <c r="K383" s="289"/>
      <c r="L383" s="291"/>
      <c r="M383" s="289"/>
      <c r="N383" s="291"/>
      <c r="O383" s="296"/>
      <c r="P383" s="291" t="s">
        <v>2754</v>
      </c>
      <c r="Q383" s="291" t="s">
        <v>2683</v>
      </c>
      <c r="R383" s="458">
        <v>0</v>
      </c>
      <c r="S383" s="404">
        <v>25.0154</v>
      </c>
      <c r="T383" s="459">
        <f t="shared" si="98"/>
        <v>0</v>
      </c>
      <c r="U383" s="298" t="s">
        <v>2754</v>
      </c>
      <c r="V383" s="288" t="s">
        <v>313</v>
      </c>
      <c r="W383" s="296" t="str">
        <f t="shared" ref="W383:W384" si="116">TEXT(Z383,"mmm-yy")</f>
        <v>Mar-26</v>
      </c>
      <c r="X383" s="293" t="s">
        <v>2754</v>
      </c>
      <c r="Y383" s="293" t="s">
        <v>2919</v>
      </c>
      <c r="Z383" s="318">
        <v>46092</v>
      </c>
      <c r="AA383" s="293" t="s">
        <v>2920</v>
      </c>
      <c r="AB383" s="293" t="s">
        <v>2353</v>
      </c>
      <c r="AC383" s="298" t="s">
        <v>2754</v>
      </c>
      <c r="AD383" s="298" t="s">
        <v>2682</v>
      </c>
      <c r="AE383" s="512">
        <v>23880</v>
      </c>
      <c r="AF383" s="513">
        <v>31.75</v>
      </c>
      <c r="AG383" s="514">
        <f t="shared" si="108"/>
        <v>758190</v>
      </c>
      <c r="AH383" s="514">
        <v>-1270</v>
      </c>
      <c r="AI383" s="514">
        <f t="shared" si="106"/>
        <v>756920</v>
      </c>
      <c r="AJ383" s="514">
        <v>0</v>
      </c>
      <c r="AK383" s="514">
        <f t="shared" si="107"/>
        <v>23880</v>
      </c>
      <c r="AL383" s="514">
        <f t="shared" si="109"/>
        <v>597367.75199999998</v>
      </c>
      <c r="AM383" s="515">
        <f t="shared" si="110"/>
        <v>159552.24800000002</v>
      </c>
      <c r="AN383" s="299">
        <f t="shared" si="111"/>
        <v>0.21079142842044077</v>
      </c>
      <c r="AO383" s="296">
        <f t="shared" si="102"/>
        <v>597367.75199999998</v>
      </c>
      <c r="AP383" s="274">
        <f t="shared" si="112"/>
        <v>46092</v>
      </c>
      <c r="AQ383" s="275">
        <f t="shared" si="113"/>
        <v>0</v>
      </c>
      <c r="AR383" s="275">
        <f t="shared" si="103"/>
        <v>159552.24800000002</v>
      </c>
      <c r="AS383" s="280">
        <f t="shared" si="114"/>
        <v>0.21079142842044077</v>
      </c>
    </row>
    <row r="384" spans="2:45" x14ac:dyDescent="0.3">
      <c r="B384" s="287">
        <f t="shared" si="99"/>
        <v>380</v>
      </c>
      <c r="C384" s="272" t="s">
        <v>174</v>
      </c>
      <c r="D384" s="288" t="str">
        <f t="shared" si="100"/>
        <v>Jan-26</v>
      </c>
      <c r="E384" s="288" t="s">
        <v>2754</v>
      </c>
      <c r="F384" s="289">
        <v>46042</v>
      </c>
      <c r="G384" s="290" t="s">
        <v>2660</v>
      </c>
      <c r="H384" s="291" t="s">
        <v>196</v>
      </c>
      <c r="I384" s="296" t="s">
        <v>2680</v>
      </c>
      <c r="J384" s="387" t="s">
        <v>2662</v>
      </c>
      <c r="K384" s="289">
        <v>46042</v>
      </c>
      <c r="L384" s="291" t="s">
        <v>2666</v>
      </c>
      <c r="M384" s="289">
        <v>46044</v>
      </c>
      <c r="N384" s="291" t="s">
        <v>255</v>
      </c>
      <c r="O384" s="296">
        <v>0</v>
      </c>
      <c r="P384" s="291" t="s">
        <v>2754</v>
      </c>
      <c r="Q384" s="291" t="s">
        <v>2683</v>
      </c>
      <c r="R384" s="458">
        <v>14340</v>
      </c>
      <c r="S384" s="404">
        <v>24.629000000000001</v>
      </c>
      <c r="T384" s="459">
        <f t="shared" si="98"/>
        <v>353179.86000000004</v>
      </c>
      <c r="U384" s="298" t="s">
        <v>2754</v>
      </c>
      <c r="V384" s="288" t="s">
        <v>313</v>
      </c>
      <c r="W384" s="296" t="str">
        <f t="shared" si="116"/>
        <v>Mar-26</v>
      </c>
      <c r="X384" s="293" t="s">
        <v>2754</v>
      </c>
      <c r="Y384" s="293" t="s">
        <v>2922</v>
      </c>
      <c r="Z384" s="318">
        <v>46090</v>
      </c>
      <c r="AA384" s="293" t="s">
        <v>2921</v>
      </c>
      <c r="AB384" s="293" t="s">
        <v>2353</v>
      </c>
      <c r="AC384" s="298" t="s">
        <v>2754</v>
      </c>
      <c r="AD384" s="298" t="s">
        <v>2682</v>
      </c>
      <c r="AE384" s="512">
        <v>25105</v>
      </c>
      <c r="AF384" s="513">
        <v>31.75</v>
      </c>
      <c r="AG384" s="514">
        <f t="shared" si="108"/>
        <v>797083.75</v>
      </c>
      <c r="AH384" s="514">
        <v>0</v>
      </c>
      <c r="AI384" s="514">
        <f t="shared" si="106"/>
        <v>797083.75</v>
      </c>
      <c r="AJ384" s="514">
        <v>0</v>
      </c>
      <c r="AK384" s="514">
        <f t="shared" si="107"/>
        <v>25105</v>
      </c>
      <c r="AL384" s="514">
        <f t="shared" si="109"/>
        <v>618311.04500000004</v>
      </c>
      <c r="AM384" s="515">
        <f t="shared" si="110"/>
        <v>178772.70499999996</v>
      </c>
      <c r="AN384" s="299">
        <f t="shared" si="111"/>
        <v>0.22428346456692907</v>
      </c>
      <c r="AO384" s="296">
        <f t="shared" si="102"/>
        <v>618311.04500000004</v>
      </c>
      <c r="AP384" s="274">
        <f t="shared" si="112"/>
        <v>48</v>
      </c>
      <c r="AQ384" s="275">
        <f t="shared" si="113"/>
        <v>4342.6608539178087</v>
      </c>
      <c r="AR384" s="275">
        <f t="shared" si="103"/>
        <v>174430.04414608216</v>
      </c>
      <c r="AS384" s="280">
        <f t="shared" si="114"/>
        <v>0.21883527815751125</v>
      </c>
    </row>
    <row r="385" spans="2:45" x14ac:dyDescent="0.3">
      <c r="B385" s="287">
        <f t="shared" si="99"/>
        <v>381</v>
      </c>
      <c r="C385" s="272" t="s">
        <v>174</v>
      </c>
      <c r="D385" s="288" t="str">
        <f t="shared" ref="D385:D388" si="117">TEXT(F385,"mmm-yy")</f>
        <v>Feb-26</v>
      </c>
      <c r="E385" s="288" t="s">
        <v>2754</v>
      </c>
      <c r="F385" s="289">
        <v>46065</v>
      </c>
      <c r="G385" s="290" t="s">
        <v>2964</v>
      </c>
      <c r="H385" s="291" t="s">
        <v>196</v>
      </c>
      <c r="I385" s="296" t="s">
        <v>2680</v>
      </c>
      <c r="J385" s="387" t="s">
        <v>2964</v>
      </c>
      <c r="K385" s="289">
        <v>46059</v>
      </c>
      <c r="L385" s="291" t="s">
        <v>2968</v>
      </c>
      <c r="M385" s="289">
        <v>46065</v>
      </c>
      <c r="N385" s="291" t="s">
        <v>255</v>
      </c>
      <c r="O385" s="296">
        <v>0</v>
      </c>
      <c r="P385" s="291" t="s">
        <v>2754</v>
      </c>
      <c r="Q385" s="291" t="s">
        <v>2683</v>
      </c>
      <c r="R385" s="458">
        <v>16265</v>
      </c>
      <c r="S385" s="404">
        <v>24.975000000000001</v>
      </c>
      <c r="T385" s="459">
        <f t="shared" ref="T385" si="118">R385*S385</f>
        <v>406218.375</v>
      </c>
      <c r="U385" s="298" t="s">
        <v>2754</v>
      </c>
      <c r="V385" s="288" t="s">
        <v>313</v>
      </c>
      <c r="W385" s="296" t="str">
        <f t="shared" ref="W385" si="119">TEXT(Z385,"mmm-yy")</f>
        <v>Mar-26</v>
      </c>
      <c r="X385" s="293" t="s">
        <v>2754</v>
      </c>
      <c r="Y385" s="293" t="s">
        <v>3022</v>
      </c>
      <c r="Z385" s="318">
        <v>46108</v>
      </c>
      <c r="AA385" s="293" t="s">
        <v>3023</v>
      </c>
      <c r="AB385" s="293" t="s">
        <v>2353</v>
      </c>
      <c r="AC385" s="298" t="s">
        <v>2754</v>
      </c>
      <c r="AD385" s="298" t="s">
        <v>2682</v>
      </c>
      <c r="AE385" s="512">
        <v>19430</v>
      </c>
      <c r="AF385" s="513">
        <v>31.25</v>
      </c>
      <c r="AG385" s="514">
        <f t="shared" ref="AG385" si="120">AE385*AF385</f>
        <v>607187.5</v>
      </c>
      <c r="AH385" s="514">
        <v>-4688</v>
      </c>
      <c r="AI385" s="514">
        <f t="shared" si="106"/>
        <v>602499.5</v>
      </c>
      <c r="AJ385" s="514">
        <v>0</v>
      </c>
      <c r="AK385" s="514">
        <f t="shared" si="107"/>
        <v>19430</v>
      </c>
      <c r="AL385" s="514">
        <f t="shared" si="109"/>
        <v>485264.25</v>
      </c>
      <c r="AM385" s="515">
        <f t="shared" si="110"/>
        <v>117235.25</v>
      </c>
      <c r="AN385" s="299">
        <f t="shared" si="111"/>
        <v>0.19458148927924421</v>
      </c>
      <c r="AO385" s="296">
        <f t="shared" si="102"/>
        <v>485264.25</v>
      </c>
      <c r="AP385" s="274">
        <f t="shared" si="112"/>
        <v>49</v>
      </c>
      <c r="AQ385" s="275">
        <f t="shared" si="113"/>
        <v>5098.8753015410957</v>
      </c>
      <c r="AR385" s="275">
        <f t="shared" si="103"/>
        <v>112136.37469845891</v>
      </c>
      <c r="AS385" s="280">
        <f t="shared" si="114"/>
        <v>0.18611861868509252</v>
      </c>
    </row>
    <row r="386" spans="2:45" x14ac:dyDescent="0.3">
      <c r="B386" s="287">
        <f t="shared" si="99"/>
        <v>382</v>
      </c>
      <c r="C386" s="272" t="s">
        <v>174</v>
      </c>
      <c r="D386" s="288" t="str">
        <f t="shared" si="117"/>
        <v>Feb-26</v>
      </c>
      <c r="E386" s="288" t="s">
        <v>2754</v>
      </c>
      <c r="F386" s="289">
        <v>46073</v>
      </c>
      <c r="G386" s="290" t="s">
        <v>2965</v>
      </c>
      <c r="H386" s="291" t="s">
        <v>196</v>
      </c>
      <c r="I386" s="296" t="s">
        <v>2680</v>
      </c>
      <c r="J386" s="387" t="s">
        <v>2965</v>
      </c>
      <c r="K386" s="289">
        <v>46073</v>
      </c>
      <c r="L386" s="291" t="s">
        <v>2969</v>
      </c>
      <c r="M386" s="289">
        <v>46073</v>
      </c>
      <c r="N386" s="291" t="s">
        <v>255</v>
      </c>
      <c r="O386" s="296">
        <v>0</v>
      </c>
      <c r="P386" s="291" t="s">
        <v>2754</v>
      </c>
      <c r="Q386" s="291" t="s">
        <v>2683</v>
      </c>
      <c r="R386" s="458">
        <v>16865</v>
      </c>
      <c r="S386" s="404">
        <v>26.594999999999999</v>
      </c>
      <c r="T386" s="459">
        <f t="shared" ref="T386" si="121">R386*S386</f>
        <v>448524.67499999999</v>
      </c>
      <c r="U386" s="298" t="s">
        <v>2754</v>
      </c>
      <c r="V386" s="288" t="s">
        <v>3288</v>
      </c>
      <c r="W386" s="296" t="str">
        <f t="shared" ref="W386" si="122">TEXT(Z386,"mmm-yy")</f>
        <v>Apr-26</v>
      </c>
      <c r="X386" s="293" t="s">
        <v>2754</v>
      </c>
      <c r="Y386" s="293" t="s">
        <v>3274</v>
      </c>
      <c r="Z386" s="318">
        <v>46126</v>
      </c>
      <c r="AA386" s="293" t="s">
        <v>3280</v>
      </c>
      <c r="AB386" s="293" t="s">
        <v>2353</v>
      </c>
      <c r="AC386" s="298" t="s">
        <v>2754</v>
      </c>
      <c r="AD386" s="298" t="s">
        <v>3293</v>
      </c>
      <c r="AE386" s="512">
        <v>30200</v>
      </c>
      <c r="AF386" s="513">
        <v>33.25</v>
      </c>
      <c r="AG386" s="514">
        <f t="shared" ref="AG386:AG388" si="123">AE386*AF386</f>
        <v>1004150</v>
      </c>
      <c r="AH386" s="514">
        <v>-723852.5</v>
      </c>
      <c r="AI386" s="514">
        <f t="shared" ref="AI386" si="124">AG386+AH386</f>
        <v>280297.5</v>
      </c>
      <c r="AJ386" s="514">
        <v>21770</v>
      </c>
      <c r="AK386" s="514">
        <f t="shared" ref="AK386" si="125">AE386-AJ386</f>
        <v>8430</v>
      </c>
      <c r="AL386" s="514">
        <f>AK386*S386</f>
        <v>224195.84999999998</v>
      </c>
      <c r="AM386" s="515">
        <f t="shared" si="110"/>
        <v>56101.650000000023</v>
      </c>
      <c r="AN386" s="299">
        <f t="shared" si="111"/>
        <v>0.20015037593984972</v>
      </c>
      <c r="AO386" s="296">
        <f t="shared" ref="AO386" si="126">AE386*S386</f>
        <v>803169</v>
      </c>
      <c r="AP386" s="274">
        <f t="shared" si="112"/>
        <v>53</v>
      </c>
      <c r="AQ386" s="275">
        <f t="shared" si="113"/>
        <v>6089.490484828767</v>
      </c>
      <c r="AR386" s="275">
        <f t="shared" ref="AR386" si="127">AM386-AQ386</f>
        <v>50012.159515171254</v>
      </c>
      <c r="AS386" s="280">
        <f t="shared" si="114"/>
        <v>0.1784252785528635</v>
      </c>
    </row>
    <row r="387" spans="2:45" x14ac:dyDescent="0.3">
      <c r="B387" s="287">
        <f t="shared" si="99"/>
        <v>383</v>
      </c>
      <c r="C387" s="272" t="s">
        <v>174</v>
      </c>
      <c r="D387" s="288" t="str">
        <f t="shared" si="117"/>
        <v>Mar-26</v>
      </c>
      <c r="E387" s="288" t="s">
        <v>2754</v>
      </c>
      <c r="F387" s="289">
        <v>46086</v>
      </c>
      <c r="G387" s="290" t="s">
        <v>2966</v>
      </c>
      <c r="H387" s="291" t="s">
        <v>196</v>
      </c>
      <c r="I387" s="296" t="s">
        <v>2680</v>
      </c>
      <c r="J387" s="387" t="s">
        <v>2966</v>
      </c>
      <c r="K387" s="289">
        <v>46080</v>
      </c>
      <c r="L387" s="291" t="s">
        <v>2971</v>
      </c>
      <c r="M387" s="289">
        <v>46086</v>
      </c>
      <c r="N387" s="291" t="s">
        <v>255</v>
      </c>
      <c r="O387" s="296">
        <v>0</v>
      </c>
      <c r="P387" s="291" t="s">
        <v>2754</v>
      </c>
      <c r="Q387" s="291" t="s">
        <v>2683</v>
      </c>
      <c r="R387" s="458">
        <v>6967</v>
      </c>
      <c r="S387" s="404">
        <v>26.5</v>
      </c>
      <c r="T387" s="459">
        <f t="shared" ref="T387:T388" si="128">R387*S387</f>
        <v>184625.5</v>
      </c>
      <c r="U387" s="298" t="s">
        <v>2754</v>
      </c>
      <c r="V387" s="288" t="s">
        <v>3288</v>
      </c>
      <c r="W387" s="296" t="str">
        <f t="shared" ref="W387" si="129">TEXT(Z387,"mmm-yy")</f>
        <v>May-26</v>
      </c>
      <c r="X387" s="293" t="s">
        <v>2754</v>
      </c>
      <c r="Y387" s="293" t="s">
        <v>3721</v>
      </c>
      <c r="Z387" s="318">
        <v>46169</v>
      </c>
      <c r="AA387" s="293" t="s">
        <v>3722</v>
      </c>
      <c r="AB387" s="293" t="s">
        <v>2353</v>
      </c>
      <c r="AC387" s="298" t="s">
        <v>2754</v>
      </c>
      <c r="AD387" s="298" t="s">
        <v>2682</v>
      </c>
      <c r="AE387" s="512">
        <v>24380</v>
      </c>
      <c r="AF387" s="513">
        <v>33</v>
      </c>
      <c r="AG387" s="514">
        <f t="shared" si="123"/>
        <v>804540</v>
      </c>
      <c r="AH387" s="514">
        <v>-14065.33</v>
      </c>
      <c r="AI387" s="514">
        <f t="shared" ref="AI387" si="130">AG387+AH387</f>
        <v>790474.67</v>
      </c>
      <c r="AJ387" s="514">
        <v>0</v>
      </c>
      <c r="AK387" s="514">
        <f t="shared" ref="AK387" si="131">AE387-AJ387</f>
        <v>24380</v>
      </c>
      <c r="AL387" s="514">
        <f>AK387*S387</f>
        <v>646070</v>
      </c>
      <c r="AM387" s="515">
        <f t="shared" ref="AM387" si="132">(AG387+AH387)-AL387</f>
        <v>144404.67000000004</v>
      </c>
      <c r="AN387" s="299">
        <f t="shared" ref="AN387" si="133">IFERROR(AM387/(AG387+AH387),0)</f>
        <v>0.18268095801222831</v>
      </c>
      <c r="AO387" s="296">
        <f t="shared" ref="AO387" si="134">AE387*S387</f>
        <v>646070</v>
      </c>
      <c r="AP387" s="274">
        <f t="shared" si="112"/>
        <v>89</v>
      </c>
      <c r="AQ387" s="275">
        <f t="shared" ref="AQ387" si="135">T387*9.35%*AP387/365</f>
        <v>4209.2084883561647</v>
      </c>
      <c r="AR387" s="275">
        <f t="shared" ref="AR387" si="136">AM387-AQ387</f>
        <v>140195.46151164387</v>
      </c>
      <c r="AS387" s="280">
        <f t="shared" ref="AS387" si="137">IFERROR(AR387/(AG387+AH387),0)</f>
        <v>0.17735604546524414</v>
      </c>
    </row>
    <row r="388" spans="2:45" x14ac:dyDescent="0.3">
      <c r="B388" s="287">
        <f t="shared" si="99"/>
        <v>384</v>
      </c>
      <c r="C388" s="272" t="s">
        <v>174</v>
      </c>
      <c r="D388" s="288" t="str">
        <f t="shared" si="117"/>
        <v>Mar-26</v>
      </c>
      <c r="E388" s="288" t="s">
        <v>2754</v>
      </c>
      <c r="F388" s="289">
        <v>46099</v>
      </c>
      <c r="G388" s="290" t="s">
        <v>2967</v>
      </c>
      <c r="H388" s="291" t="s">
        <v>196</v>
      </c>
      <c r="I388" s="296" t="s">
        <v>2680</v>
      </c>
      <c r="J388" s="387" t="s">
        <v>2967</v>
      </c>
      <c r="K388" s="289">
        <v>46093</v>
      </c>
      <c r="L388" s="291" t="s">
        <v>2973</v>
      </c>
      <c r="M388" s="289">
        <v>46099</v>
      </c>
      <c r="N388" s="291" t="s">
        <v>255</v>
      </c>
      <c r="O388" s="296">
        <v>0</v>
      </c>
      <c r="P388" s="291" t="s">
        <v>2754</v>
      </c>
      <c r="Q388" s="291" t="s">
        <v>2683</v>
      </c>
      <c r="R388" s="458">
        <v>13830</v>
      </c>
      <c r="S388" s="404">
        <v>26.280999999999999</v>
      </c>
      <c r="T388" s="459">
        <f t="shared" si="128"/>
        <v>363466.23</v>
      </c>
      <c r="U388" s="298" t="s">
        <v>2754</v>
      </c>
      <c r="V388" s="288" t="s">
        <v>3288</v>
      </c>
      <c r="W388" s="296" t="str">
        <f t="shared" ref="W388" si="138">TEXT(Z388,"mmm-yy")</f>
        <v>May-26</v>
      </c>
      <c r="X388" s="293" t="s">
        <v>2754</v>
      </c>
      <c r="Y388" s="293" t="s">
        <v>3744</v>
      </c>
      <c r="Z388" s="318">
        <v>46171</v>
      </c>
      <c r="AA388" s="293" t="s">
        <v>3745</v>
      </c>
      <c r="AB388" s="293" t="s">
        <v>2353</v>
      </c>
      <c r="AC388" s="298" t="s">
        <v>2754</v>
      </c>
      <c r="AD388" s="298" t="s">
        <v>2682</v>
      </c>
      <c r="AE388" s="512">
        <v>24320</v>
      </c>
      <c r="AF388" s="513">
        <v>33</v>
      </c>
      <c r="AG388" s="514">
        <f t="shared" si="123"/>
        <v>802560</v>
      </c>
      <c r="AH388" s="514">
        <v>-24420</v>
      </c>
      <c r="AI388" s="514">
        <f t="shared" ref="AI388" si="139">AG388+AH388</f>
        <v>778140</v>
      </c>
      <c r="AJ388" s="514">
        <v>0</v>
      </c>
      <c r="AK388" s="514">
        <f t="shared" ref="AK388" si="140">AE388-AJ388</f>
        <v>24320</v>
      </c>
      <c r="AL388" s="514">
        <f>AK388*S388</f>
        <v>639153.91999999993</v>
      </c>
      <c r="AM388" s="515">
        <f t="shared" ref="AM388" si="141">(AG388+AH388)-AL388</f>
        <v>138986.08000000007</v>
      </c>
      <c r="AN388" s="299">
        <f t="shared" ref="AN388" si="142">IFERROR(AM388/(AG388+AH388),0)</f>
        <v>0.17861320584984716</v>
      </c>
      <c r="AO388" s="296">
        <f t="shared" ref="AO388" si="143">AE388*S388</f>
        <v>639153.91999999993</v>
      </c>
      <c r="AP388" s="274">
        <f t="shared" si="112"/>
        <v>78</v>
      </c>
      <c r="AQ388" s="275">
        <f t="shared" ref="AQ388" si="144">T388*9.35%*AP388/365</f>
        <v>7262.3540147671238</v>
      </c>
      <c r="AR388" s="275">
        <f t="shared" ref="AR388" si="145">AM388-AQ388</f>
        <v>131723.72598523294</v>
      </c>
      <c r="AS388" s="280">
        <f t="shared" ref="AS388" si="146">IFERROR(AR388/(AG388+AH388),0)</f>
        <v>0.16928024004065201</v>
      </c>
    </row>
    <row r="389" spans="2:45" x14ac:dyDescent="0.3">
      <c r="B389" s="287">
        <f t="shared" si="99"/>
        <v>385</v>
      </c>
      <c r="C389" s="272" t="s">
        <v>174</v>
      </c>
      <c r="D389" s="288" t="str">
        <f>TEXT(F389,"mmm-yy")</f>
        <v>Dec-25</v>
      </c>
      <c r="E389" s="288" t="s">
        <v>2679</v>
      </c>
      <c r="F389" s="289">
        <v>45992</v>
      </c>
      <c r="G389" s="290" t="s">
        <v>2421</v>
      </c>
      <c r="H389" s="291" t="s">
        <v>2423</v>
      </c>
      <c r="I389" s="296" t="s">
        <v>2670</v>
      </c>
      <c r="J389" s="387" t="s">
        <v>2671</v>
      </c>
      <c r="K389" s="289">
        <v>45992</v>
      </c>
      <c r="L389" s="291" t="s">
        <v>2672</v>
      </c>
      <c r="M389" s="289">
        <v>46014</v>
      </c>
      <c r="N389" s="291" t="s">
        <v>2673</v>
      </c>
      <c r="O389" s="296" t="s">
        <v>2674</v>
      </c>
      <c r="P389" s="295" t="s">
        <v>2679</v>
      </c>
      <c r="Q389" s="291" t="s">
        <v>2675</v>
      </c>
      <c r="R389" s="458">
        <v>13154</v>
      </c>
      <c r="S389" s="404">
        <v>142.21104</v>
      </c>
      <c r="T389" s="459">
        <f>R389*S389-714247</f>
        <v>1156397.0201600001</v>
      </c>
      <c r="U389" s="298" t="s">
        <v>2679</v>
      </c>
      <c r="V389" s="288" t="s">
        <v>313</v>
      </c>
      <c r="W389" s="296" t="str">
        <f>TEXT(Z389,"mmm-yy")</f>
        <v>Jan-26</v>
      </c>
      <c r="X389" s="293" t="s">
        <v>2679</v>
      </c>
      <c r="Y389" s="293" t="s">
        <v>2437</v>
      </c>
      <c r="Z389" s="318">
        <v>46029</v>
      </c>
      <c r="AA389" s="293" t="s">
        <v>2434</v>
      </c>
      <c r="AB389" s="293" t="s">
        <v>2435</v>
      </c>
      <c r="AC389" s="298" t="s">
        <v>2679</v>
      </c>
      <c r="AD389" s="298" t="s">
        <v>2569</v>
      </c>
      <c r="AE389" s="512">
        <v>9625</v>
      </c>
      <c r="AF389" s="513">
        <v>184</v>
      </c>
      <c r="AG389" s="514">
        <f>AE389*AF389</f>
        <v>1771000</v>
      </c>
      <c r="AH389" s="514">
        <v>0</v>
      </c>
      <c r="AI389" s="514">
        <f t="shared" ref="AI389:AI395" si="147">AG389+AH389</f>
        <v>1771000</v>
      </c>
      <c r="AJ389" s="514">
        <v>0</v>
      </c>
      <c r="AK389" s="514">
        <f t="shared" ref="AK389:AK395" si="148">AE389-AJ389</f>
        <v>9625</v>
      </c>
      <c r="AL389" s="514">
        <f>AE389*S389*1.27</f>
        <v>1738352.2002000001</v>
      </c>
      <c r="AM389" s="515">
        <f t="shared" ref="AM389:AM395" si="149">(AG389+AH389)-AL389</f>
        <v>32647.799799999921</v>
      </c>
      <c r="AN389" s="299">
        <f t="shared" ref="AN389:AN395" si="150">IFERROR(AM389/(AG389+AH389),0)</f>
        <v>1.8434669565217346E-2</v>
      </c>
      <c r="AO389" s="296">
        <f t="shared" si="102"/>
        <v>1368781.26</v>
      </c>
      <c r="AP389" s="274">
        <f t="shared" si="112"/>
        <v>37</v>
      </c>
      <c r="AQ389" s="275">
        <f t="shared" ref="AQ389:AQ395" si="151">T389*9.35%*AP389/365</f>
        <v>10960.426003406905</v>
      </c>
      <c r="AR389" s="275">
        <f t="shared" si="103"/>
        <v>21687.373796593016</v>
      </c>
      <c r="AS389" s="280">
        <f t="shared" ref="AS389:AS395" si="152">IFERROR(AR389/(AG389+AH389),0)</f>
        <v>1.2245835006546028E-2</v>
      </c>
    </row>
    <row r="390" spans="2:45" x14ac:dyDescent="0.3">
      <c r="B390" s="287">
        <f t="shared" si="99"/>
        <v>386</v>
      </c>
      <c r="C390" s="272" t="s">
        <v>174</v>
      </c>
      <c r="D390" s="288" t="str">
        <f>TEXT(F390,"mmm-yy")</f>
        <v>Dec-25</v>
      </c>
      <c r="E390" s="288" t="s">
        <v>2679</v>
      </c>
      <c r="F390" s="289">
        <v>46000</v>
      </c>
      <c r="G390" s="290" t="s">
        <v>2422</v>
      </c>
      <c r="H390" s="291" t="s">
        <v>2423</v>
      </c>
      <c r="I390" s="296" t="s">
        <v>2670</v>
      </c>
      <c r="J390" s="387" t="s">
        <v>2676</v>
      </c>
      <c r="K390" s="289">
        <v>46000</v>
      </c>
      <c r="L390" s="291" t="s">
        <v>2677</v>
      </c>
      <c r="M390" s="289">
        <v>46015</v>
      </c>
      <c r="N390" s="291" t="s">
        <v>2673</v>
      </c>
      <c r="O390" s="296" t="s">
        <v>2678</v>
      </c>
      <c r="P390" s="295" t="s">
        <v>2679</v>
      </c>
      <c r="Q390" s="291" t="s">
        <v>2675</v>
      </c>
      <c r="R390" s="458">
        <v>13080</v>
      </c>
      <c r="S390" s="404">
        <v>161.20106999999999</v>
      </c>
      <c r="T390" s="459">
        <f>R390*S390</f>
        <v>2108509.9956</v>
      </c>
      <c r="U390" s="298" t="s">
        <v>2679</v>
      </c>
      <c r="V390" s="288" t="s">
        <v>313</v>
      </c>
      <c r="W390" s="296" t="str">
        <f>TEXT(Z390,"mmm-yy")</f>
        <v>Feb-26</v>
      </c>
      <c r="X390" s="293" t="s">
        <v>2679</v>
      </c>
      <c r="Y390" s="293" t="s">
        <v>2830</v>
      </c>
      <c r="Z390" s="318">
        <v>46076</v>
      </c>
      <c r="AA390" s="293" t="s">
        <v>2835</v>
      </c>
      <c r="AB390" s="293" t="s">
        <v>2435</v>
      </c>
      <c r="AC390" s="298" t="s">
        <v>2679</v>
      </c>
      <c r="AD390" s="298" t="s">
        <v>2859</v>
      </c>
      <c r="AE390" s="512">
        <v>4550</v>
      </c>
      <c r="AF390" s="513">
        <v>184</v>
      </c>
      <c r="AG390" s="514">
        <f>AE390*AF390</f>
        <v>837200</v>
      </c>
      <c r="AH390" s="514">
        <v>0</v>
      </c>
      <c r="AI390" s="514">
        <f t="shared" si="147"/>
        <v>837200</v>
      </c>
      <c r="AJ390" s="514">
        <v>0</v>
      </c>
      <c r="AK390" s="514">
        <f t="shared" si="148"/>
        <v>4550</v>
      </c>
      <c r="AL390" s="514">
        <f>AE390*S390*1.35</f>
        <v>990177.57247500005</v>
      </c>
      <c r="AM390" s="515">
        <f t="shared" si="149"/>
        <v>-152977.57247500005</v>
      </c>
      <c r="AN390" s="299">
        <f t="shared" si="150"/>
        <v>-0.18272524184782615</v>
      </c>
      <c r="AO390" s="296">
        <f t="shared" ref="AO390:AO395" si="153">AE390*S390</f>
        <v>733464.86849999998</v>
      </c>
      <c r="AP390" s="274">
        <f t="shared" si="112"/>
        <v>76</v>
      </c>
      <c r="AQ390" s="275">
        <f t="shared" si="151"/>
        <v>41049.512407489317</v>
      </c>
      <c r="AR390" s="275">
        <f t="shared" ref="AR390:AR395" si="154">AM390-AQ390</f>
        <v>-194027.08488248938</v>
      </c>
      <c r="AS390" s="280">
        <f t="shared" si="152"/>
        <v>-0.23175714868906996</v>
      </c>
    </row>
    <row r="391" spans="2:45" x14ac:dyDescent="0.3">
      <c r="B391" s="287">
        <f t="shared" si="99"/>
        <v>387</v>
      </c>
      <c r="C391" s="272" t="s">
        <v>174</v>
      </c>
      <c r="D391" s="288" t="str">
        <f t="shared" ref="D391" si="155">TEXT(F391,"mmm-yy")</f>
        <v>Feb-26</v>
      </c>
      <c r="E391" s="288" t="s">
        <v>2679</v>
      </c>
      <c r="F391" s="289">
        <v>46076</v>
      </c>
      <c r="G391" s="290" t="s">
        <v>2830</v>
      </c>
      <c r="H391" s="291" t="s">
        <v>196</v>
      </c>
      <c r="I391" s="296" t="s">
        <v>2680</v>
      </c>
      <c r="J391" s="387" t="s">
        <v>2832</v>
      </c>
      <c r="K391" s="289">
        <v>46076</v>
      </c>
      <c r="L391" s="291" t="s">
        <v>2833</v>
      </c>
      <c r="M391" s="289">
        <v>46076</v>
      </c>
      <c r="N391" s="291" t="s">
        <v>255</v>
      </c>
      <c r="O391" s="296" t="s">
        <v>2831</v>
      </c>
      <c r="P391" s="502" t="s">
        <v>2679</v>
      </c>
      <c r="Q391" s="291" t="s">
        <v>2569</v>
      </c>
      <c r="R391" s="458">
        <v>2810</v>
      </c>
      <c r="S391" s="404">
        <v>160</v>
      </c>
      <c r="T391" s="459">
        <f t="shared" ref="T391:T395" si="156">R391*S391</f>
        <v>449600</v>
      </c>
      <c r="U391" s="298" t="s">
        <v>2679</v>
      </c>
      <c r="V391" s="288" t="s">
        <v>313</v>
      </c>
      <c r="W391" s="296" t="str">
        <f t="shared" ref="W391" si="157">TEXT(Z391,"mmm-yy")</f>
        <v>Feb-26</v>
      </c>
      <c r="X391" s="293" t="s">
        <v>2679</v>
      </c>
      <c r="Y391" s="293" t="s">
        <v>2830</v>
      </c>
      <c r="Z391" s="318">
        <v>46076</v>
      </c>
      <c r="AA391" s="293" t="s">
        <v>2835</v>
      </c>
      <c r="AB391" s="293" t="s">
        <v>2435</v>
      </c>
      <c r="AC391" s="298" t="s">
        <v>2679</v>
      </c>
      <c r="AD391" s="298" t="s">
        <v>2859</v>
      </c>
      <c r="AE391" s="512">
        <v>2810</v>
      </c>
      <c r="AF391" s="513">
        <v>184</v>
      </c>
      <c r="AG391" s="514">
        <f>AE391*AF391</f>
        <v>517040</v>
      </c>
      <c r="AH391" s="514">
        <v>0</v>
      </c>
      <c r="AI391" s="514">
        <f t="shared" si="147"/>
        <v>517040</v>
      </c>
      <c r="AJ391" s="514">
        <v>0</v>
      </c>
      <c r="AK391" s="514">
        <f t="shared" si="148"/>
        <v>2810</v>
      </c>
      <c r="AL391" s="514">
        <f>AE391*S391*1.35</f>
        <v>606960</v>
      </c>
      <c r="AM391" s="515">
        <f t="shared" si="149"/>
        <v>-89920</v>
      </c>
      <c r="AN391" s="299">
        <f t="shared" si="150"/>
        <v>-0.17391304347826086</v>
      </c>
      <c r="AO391" s="296">
        <f t="shared" si="153"/>
        <v>449600</v>
      </c>
      <c r="AP391" s="274">
        <f t="shared" si="112"/>
        <v>0</v>
      </c>
      <c r="AQ391" s="275">
        <f t="shared" si="151"/>
        <v>0</v>
      </c>
      <c r="AR391" s="275">
        <f t="shared" si="154"/>
        <v>-89920</v>
      </c>
      <c r="AS391" s="280">
        <f t="shared" si="152"/>
        <v>-0.17391304347826086</v>
      </c>
    </row>
    <row r="392" spans="2:45" x14ac:dyDescent="0.3">
      <c r="B392" s="287">
        <f t="shared" si="99"/>
        <v>388</v>
      </c>
      <c r="C392" s="272" t="s">
        <v>174</v>
      </c>
      <c r="D392" s="288" t="str">
        <f t="shared" ref="D392:D394" si="158">TEXT(F392,"mmm-yy")</f>
        <v>Dec-25</v>
      </c>
      <c r="E392" s="288" t="s">
        <v>2679</v>
      </c>
      <c r="F392" s="289">
        <v>45992</v>
      </c>
      <c r="G392" s="290" t="s">
        <v>2421</v>
      </c>
      <c r="H392" s="291" t="s">
        <v>2423</v>
      </c>
      <c r="I392" s="296" t="s">
        <v>2670</v>
      </c>
      <c r="J392" s="387" t="s">
        <v>2671</v>
      </c>
      <c r="K392" s="289">
        <v>45992</v>
      </c>
      <c r="L392" s="291" t="s">
        <v>2672</v>
      </c>
      <c r="M392" s="289">
        <v>46014</v>
      </c>
      <c r="N392" s="291" t="s">
        <v>2673</v>
      </c>
      <c r="O392" s="296" t="s">
        <v>2674</v>
      </c>
      <c r="P392" s="502" t="s">
        <v>2679</v>
      </c>
      <c r="Q392" s="291" t="s">
        <v>2675</v>
      </c>
      <c r="R392" s="458">
        <v>0</v>
      </c>
      <c r="S392" s="404">
        <v>151.67927177555842</v>
      </c>
      <c r="T392" s="459">
        <f t="shared" si="156"/>
        <v>0</v>
      </c>
      <c r="U392" s="298" t="s">
        <v>2679</v>
      </c>
      <c r="V392" s="288" t="s">
        <v>313</v>
      </c>
      <c r="W392" s="296" t="str">
        <f t="shared" si="101"/>
        <v>Mar-26</v>
      </c>
      <c r="X392" s="293" t="s">
        <v>2679</v>
      </c>
      <c r="Y392" s="293" t="s">
        <v>2902</v>
      </c>
      <c r="Z392" s="318">
        <v>46093</v>
      </c>
      <c r="AA392" s="293" t="s">
        <v>2904</v>
      </c>
      <c r="AB392" s="293" t="s">
        <v>2906</v>
      </c>
      <c r="AC392" s="298" t="s">
        <v>2679</v>
      </c>
      <c r="AD392" s="298" t="s">
        <v>2908</v>
      </c>
      <c r="AE392" s="512">
        <v>12</v>
      </c>
      <c r="AF392" s="513">
        <v>95</v>
      </c>
      <c r="AG392" s="514">
        <f t="shared" si="108"/>
        <v>1140</v>
      </c>
      <c r="AH392" s="514">
        <v>0</v>
      </c>
      <c r="AI392" s="514">
        <f t="shared" si="147"/>
        <v>1140</v>
      </c>
      <c r="AJ392" s="514">
        <v>0</v>
      </c>
      <c r="AK392" s="514">
        <f t="shared" si="148"/>
        <v>12</v>
      </c>
      <c r="AL392" s="514">
        <f>AE392*S392</f>
        <v>1820.1512613067011</v>
      </c>
      <c r="AM392" s="515">
        <f t="shared" si="149"/>
        <v>-680.15126130670114</v>
      </c>
      <c r="AN392" s="299">
        <f t="shared" si="150"/>
        <v>-0.59662391342693077</v>
      </c>
      <c r="AO392" s="296">
        <f t="shared" si="153"/>
        <v>1820.1512613067011</v>
      </c>
      <c r="AP392" s="274">
        <f t="shared" si="112"/>
        <v>101</v>
      </c>
      <c r="AQ392" s="275">
        <f t="shared" si="151"/>
        <v>0</v>
      </c>
      <c r="AR392" s="275">
        <f t="shared" si="154"/>
        <v>-680.15126130670114</v>
      </c>
      <c r="AS392" s="280">
        <f t="shared" si="152"/>
        <v>-0.59662391342693077</v>
      </c>
    </row>
    <row r="393" spans="2:45" x14ac:dyDescent="0.3">
      <c r="B393" s="287">
        <f t="shared" si="99"/>
        <v>389</v>
      </c>
      <c r="C393" s="272" t="s">
        <v>174</v>
      </c>
      <c r="D393" s="288" t="str">
        <f>TEXT(F393,"mmm-yy")</f>
        <v>Dec-25</v>
      </c>
      <c r="E393" s="288" t="s">
        <v>2679</v>
      </c>
      <c r="F393" s="289">
        <v>45992</v>
      </c>
      <c r="G393" s="290" t="s">
        <v>2421</v>
      </c>
      <c r="H393" s="291" t="s">
        <v>2423</v>
      </c>
      <c r="I393" s="296" t="s">
        <v>2670</v>
      </c>
      <c r="J393" s="387" t="s">
        <v>2671</v>
      </c>
      <c r="K393" s="289">
        <v>45992</v>
      </c>
      <c r="L393" s="291" t="s">
        <v>2672</v>
      </c>
      <c r="M393" s="289">
        <v>46014</v>
      </c>
      <c r="N393" s="291" t="s">
        <v>2673</v>
      </c>
      <c r="O393" s="296" t="s">
        <v>2674</v>
      </c>
      <c r="P393" s="502" t="s">
        <v>2679</v>
      </c>
      <c r="Q393" s="291" t="s">
        <v>2675</v>
      </c>
      <c r="R393" s="458">
        <v>0</v>
      </c>
      <c r="S393" s="404">
        <v>151.67927177555842</v>
      </c>
      <c r="T393" s="459">
        <f t="shared" si="156"/>
        <v>0</v>
      </c>
      <c r="U393" s="298" t="s">
        <v>2679</v>
      </c>
      <c r="V393" s="288" t="s">
        <v>313</v>
      </c>
      <c r="W393" s="296" t="str">
        <f t="shared" si="101"/>
        <v>Mar-26</v>
      </c>
      <c r="X393" s="293" t="s">
        <v>2679</v>
      </c>
      <c r="Y393" s="293" t="s">
        <v>2903</v>
      </c>
      <c r="Z393" s="318">
        <v>46095</v>
      </c>
      <c r="AA393" s="293" t="s">
        <v>2905</v>
      </c>
      <c r="AB393" s="293" t="s">
        <v>2907</v>
      </c>
      <c r="AC393" s="298" t="s">
        <v>2679</v>
      </c>
      <c r="AD393" s="298" t="s">
        <v>2908</v>
      </c>
      <c r="AE393" s="512">
        <v>30.2</v>
      </c>
      <c r="AF393" s="513">
        <v>180</v>
      </c>
      <c r="AG393" s="514">
        <f t="shared" si="108"/>
        <v>5436</v>
      </c>
      <c r="AH393" s="514">
        <v>-1050</v>
      </c>
      <c r="AI393" s="514">
        <f t="shared" si="147"/>
        <v>4386</v>
      </c>
      <c r="AJ393" s="514">
        <v>0</v>
      </c>
      <c r="AK393" s="514">
        <f t="shared" si="148"/>
        <v>30.2</v>
      </c>
      <c r="AL393" s="514">
        <f>AE393*S393</f>
        <v>4580.7140076218639</v>
      </c>
      <c r="AM393" s="515">
        <f t="shared" si="149"/>
        <v>-194.71400762186386</v>
      </c>
      <c r="AN393" s="299">
        <f t="shared" si="150"/>
        <v>-4.4394438582276298E-2</v>
      </c>
      <c r="AO393" s="296">
        <f t="shared" si="153"/>
        <v>4580.7140076218639</v>
      </c>
      <c r="AP393" s="274">
        <f t="shared" si="112"/>
        <v>103</v>
      </c>
      <c r="AQ393" s="275">
        <f t="shared" si="151"/>
        <v>0</v>
      </c>
      <c r="AR393" s="275">
        <f t="shared" si="154"/>
        <v>-194.71400762186386</v>
      </c>
      <c r="AS393" s="280">
        <f t="shared" si="152"/>
        <v>-4.4394438582276298E-2</v>
      </c>
    </row>
    <row r="394" spans="2:45" x14ac:dyDescent="0.3">
      <c r="B394" s="287">
        <f t="shared" si="99"/>
        <v>390</v>
      </c>
      <c r="C394" s="272" t="s">
        <v>174</v>
      </c>
      <c r="D394" s="288" t="str">
        <f t="shared" si="158"/>
        <v>Dec-25</v>
      </c>
      <c r="E394" s="288" t="s">
        <v>2679</v>
      </c>
      <c r="F394" s="289">
        <v>45992</v>
      </c>
      <c r="G394" s="290" t="s">
        <v>2421</v>
      </c>
      <c r="H394" s="291" t="s">
        <v>2423</v>
      </c>
      <c r="I394" s="296" t="s">
        <v>2670</v>
      </c>
      <c r="J394" s="387" t="s">
        <v>2671</v>
      </c>
      <c r="K394" s="289">
        <v>45992</v>
      </c>
      <c r="L394" s="291" t="s">
        <v>2672</v>
      </c>
      <c r="M394" s="289">
        <v>46014</v>
      </c>
      <c r="N394" s="291" t="s">
        <v>2673</v>
      </c>
      <c r="O394" s="296" t="s">
        <v>2674</v>
      </c>
      <c r="P394" s="502" t="s">
        <v>2679</v>
      </c>
      <c r="Q394" s="291" t="s">
        <v>2675</v>
      </c>
      <c r="R394" s="458">
        <v>0</v>
      </c>
      <c r="S394" s="404">
        <v>151.67927177555842</v>
      </c>
      <c r="T394" s="459">
        <f t="shared" si="156"/>
        <v>0</v>
      </c>
      <c r="U394" s="298" t="s">
        <v>2679</v>
      </c>
      <c r="V394" s="288" t="s">
        <v>313</v>
      </c>
      <c r="W394" s="296" t="str">
        <f t="shared" ref="W394" si="159">TEXT(Z394,"mmm-yy")</f>
        <v>Mar-26</v>
      </c>
      <c r="X394" s="293" t="s">
        <v>2679</v>
      </c>
      <c r="Y394" s="293" t="s">
        <v>2903</v>
      </c>
      <c r="Z394" s="318">
        <v>46095</v>
      </c>
      <c r="AA394" s="293" t="s">
        <v>2905</v>
      </c>
      <c r="AB394" s="293" t="s">
        <v>2907</v>
      </c>
      <c r="AC394" s="298" t="s">
        <v>2679</v>
      </c>
      <c r="AD394" s="298" t="s">
        <v>2909</v>
      </c>
      <c r="AE394" s="512">
        <v>5</v>
      </c>
      <c r="AF394" s="513">
        <v>200</v>
      </c>
      <c r="AG394" s="514">
        <f t="shared" si="108"/>
        <v>1000</v>
      </c>
      <c r="AH394" s="514">
        <v>0</v>
      </c>
      <c r="AI394" s="514">
        <f t="shared" si="147"/>
        <v>1000</v>
      </c>
      <c r="AJ394" s="514">
        <v>0</v>
      </c>
      <c r="AK394" s="514">
        <f t="shared" si="148"/>
        <v>5</v>
      </c>
      <c r="AL394" s="514">
        <f>AE394*S394</f>
        <v>758.39635887779207</v>
      </c>
      <c r="AM394" s="515">
        <f t="shared" si="149"/>
        <v>241.60364112220793</v>
      </c>
      <c r="AN394" s="299">
        <f t="shared" si="150"/>
        <v>0.24160364112220795</v>
      </c>
      <c r="AO394" s="296">
        <f t="shared" si="153"/>
        <v>758.39635887779207</v>
      </c>
      <c r="AP394" s="274">
        <f t="shared" si="112"/>
        <v>103</v>
      </c>
      <c r="AQ394" s="275">
        <f t="shared" si="151"/>
        <v>0</v>
      </c>
      <c r="AR394" s="275">
        <f t="shared" si="154"/>
        <v>241.60364112220793</v>
      </c>
      <c r="AS394" s="280">
        <f t="shared" si="152"/>
        <v>0.24160364112220795</v>
      </c>
    </row>
    <row r="395" spans="2:45" x14ac:dyDescent="0.3">
      <c r="B395" s="287">
        <f t="shared" si="99"/>
        <v>391</v>
      </c>
      <c r="C395" s="272" t="s">
        <v>174</v>
      </c>
      <c r="D395" s="288" t="str">
        <f t="shared" ref="D395" si="160">TEXT(F395,"mmm-yy")</f>
        <v>Dec-25</v>
      </c>
      <c r="E395" s="288" t="s">
        <v>2679</v>
      </c>
      <c r="F395" s="289">
        <v>45992</v>
      </c>
      <c r="G395" s="290" t="s">
        <v>2421</v>
      </c>
      <c r="H395" s="291" t="s">
        <v>2423</v>
      </c>
      <c r="I395" s="296" t="s">
        <v>2670</v>
      </c>
      <c r="J395" s="387" t="s">
        <v>2671</v>
      </c>
      <c r="K395" s="289">
        <v>45992</v>
      </c>
      <c r="L395" s="291" t="s">
        <v>2672</v>
      </c>
      <c r="M395" s="289">
        <v>46014</v>
      </c>
      <c r="N395" s="291" t="s">
        <v>2673</v>
      </c>
      <c r="O395" s="296" t="s">
        <v>2674</v>
      </c>
      <c r="P395" s="502" t="s">
        <v>2679</v>
      </c>
      <c r="Q395" s="291" t="s">
        <v>2675</v>
      </c>
      <c r="R395" s="458">
        <v>0</v>
      </c>
      <c r="S395" s="404">
        <v>151.67927177555842</v>
      </c>
      <c r="T395" s="459">
        <f t="shared" si="156"/>
        <v>0</v>
      </c>
      <c r="U395" s="298" t="s">
        <v>2679</v>
      </c>
      <c r="V395" s="288" t="s">
        <v>313</v>
      </c>
      <c r="W395" s="296" t="str">
        <f t="shared" ref="W395" si="161">TEXT(Z395,"mmm-yy")</f>
        <v>Mar-26</v>
      </c>
      <c r="X395" s="293" t="s">
        <v>2679</v>
      </c>
      <c r="Y395" s="293" t="s">
        <v>2980</v>
      </c>
      <c r="Z395" s="318">
        <v>46102</v>
      </c>
      <c r="AA395" s="293" t="s">
        <v>2981</v>
      </c>
      <c r="AB395" s="293" t="s">
        <v>2982</v>
      </c>
      <c r="AC395" s="298" t="s">
        <v>2679</v>
      </c>
      <c r="AD395" s="298" t="s">
        <v>2983</v>
      </c>
      <c r="AE395" s="512">
        <v>4800</v>
      </c>
      <c r="AF395" s="513">
        <v>210</v>
      </c>
      <c r="AG395" s="514">
        <f>AE395*AF395</f>
        <v>1008000</v>
      </c>
      <c r="AH395" s="514">
        <v>0</v>
      </c>
      <c r="AI395" s="514">
        <f t="shared" si="147"/>
        <v>1008000</v>
      </c>
      <c r="AJ395" s="514">
        <v>0</v>
      </c>
      <c r="AK395" s="514">
        <f t="shared" si="148"/>
        <v>4800</v>
      </c>
      <c r="AL395" s="514">
        <f>AE395*S395</f>
        <v>728060.50452268042</v>
      </c>
      <c r="AM395" s="515">
        <f t="shared" si="149"/>
        <v>279939.49547731958</v>
      </c>
      <c r="AN395" s="299">
        <f t="shared" si="150"/>
        <v>0.27771775344972183</v>
      </c>
      <c r="AO395" s="296">
        <f t="shared" si="153"/>
        <v>728060.50452268042</v>
      </c>
      <c r="AP395" s="274">
        <f t="shared" si="112"/>
        <v>110</v>
      </c>
      <c r="AQ395" s="275">
        <f t="shared" si="151"/>
        <v>0</v>
      </c>
      <c r="AR395" s="275">
        <f t="shared" si="154"/>
        <v>279939.49547731958</v>
      </c>
      <c r="AS395" s="280">
        <f t="shared" si="152"/>
        <v>0.27771775344972183</v>
      </c>
    </row>
    <row r="396" spans="2:45" x14ac:dyDescent="0.3">
      <c r="B396" s="287">
        <f t="shared" si="99"/>
        <v>392</v>
      </c>
      <c r="C396" s="272" t="s">
        <v>174</v>
      </c>
      <c r="D396" s="288" t="str">
        <f t="shared" ref="D396:D401" si="162">TEXT(F396,"mmm-yy")</f>
        <v>Dec-25</v>
      </c>
      <c r="E396" s="288" t="s">
        <v>2679</v>
      </c>
      <c r="F396" s="289">
        <v>46000</v>
      </c>
      <c r="G396" s="290" t="s">
        <v>2422</v>
      </c>
      <c r="H396" s="291" t="s">
        <v>2423</v>
      </c>
      <c r="I396" s="296" t="s">
        <v>2670</v>
      </c>
      <c r="J396" s="387" t="s">
        <v>2676</v>
      </c>
      <c r="K396" s="289">
        <v>46000</v>
      </c>
      <c r="L396" s="291" t="s">
        <v>2677</v>
      </c>
      <c r="M396" s="289">
        <v>46015</v>
      </c>
      <c r="N396" s="291" t="s">
        <v>2673</v>
      </c>
      <c r="O396" s="296" t="s">
        <v>2678</v>
      </c>
      <c r="P396" s="295" t="s">
        <v>2679</v>
      </c>
      <c r="Q396" s="291" t="s">
        <v>2675</v>
      </c>
      <c r="R396" s="458">
        <v>0</v>
      </c>
      <c r="S396" s="404">
        <v>151.67927177555842</v>
      </c>
      <c r="T396" s="459">
        <f t="shared" ref="T396:T416" si="163">R396*S396</f>
        <v>0</v>
      </c>
      <c r="U396" s="298" t="s">
        <v>2679</v>
      </c>
      <c r="V396" s="288" t="s">
        <v>3288</v>
      </c>
      <c r="W396" s="296" t="str">
        <f t="shared" ref="W396:W401" si="164">TEXT(Z396,"mmm-yy")</f>
        <v>Apr-26</v>
      </c>
      <c r="X396" s="293" t="s">
        <v>2679</v>
      </c>
      <c r="Y396" s="293" t="s">
        <v>3276</v>
      </c>
      <c r="Z396" s="318">
        <v>46126</v>
      </c>
      <c r="AA396" s="293" t="s">
        <v>3279</v>
      </c>
      <c r="AB396" s="293" t="s">
        <v>3282</v>
      </c>
      <c r="AC396" s="298" t="s">
        <v>2679</v>
      </c>
      <c r="AD396" s="298" t="s">
        <v>3289</v>
      </c>
      <c r="AE396" s="512">
        <v>1760</v>
      </c>
      <c r="AF396" s="513">
        <v>170</v>
      </c>
      <c r="AG396" s="514">
        <f t="shared" ref="AG396:AG402" si="165">AE396*AF396</f>
        <v>299200</v>
      </c>
      <c r="AH396" s="514">
        <v>-5208</v>
      </c>
      <c r="AI396" s="514">
        <f t="shared" ref="AI396:AI401" si="166">AG396+AH396</f>
        <v>293992</v>
      </c>
      <c r="AJ396" s="514">
        <v>0</v>
      </c>
      <c r="AK396" s="514">
        <f t="shared" ref="AK396:AK401" si="167">AE396-AJ396</f>
        <v>1760</v>
      </c>
      <c r="AL396" s="514">
        <f t="shared" ref="AL396:AL401" si="168">AE396*S396</f>
        <v>266955.51832498284</v>
      </c>
      <c r="AM396" s="515">
        <f t="shared" ref="AM396:AM401" si="169">(AG396+AH396)-AL396</f>
        <v>27036.481675017159</v>
      </c>
      <c r="AN396" s="299">
        <f t="shared" ref="AN396:AN401" si="170">IFERROR(AM396/(AG396+AH396),0)</f>
        <v>9.1963324427253662E-2</v>
      </c>
      <c r="AO396" s="296">
        <f t="shared" ref="AO396:AO401" si="171">AE396*S396</f>
        <v>266955.51832498284</v>
      </c>
      <c r="AP396" s="274">
        <f t="shared" si="112"/>
        <v>126</v>
      </c>
      <c r="AQ396" s="275">
        <f t="shared" ref="AQ396:AQ401" si="172">T396*9.35%*AP396/365</f>
        <v>0</v>
      </c>
      <c r="AR396" s="275">
        <f t="shared" ref="AR396:AR401" si="173">AM396-AQ396</f>
        <v>27036.481675017159</v>
      </c>
      <c r="AS396" s="280">
        <f t="shared" ref="AS396:AS401" si="174">IFERROR(AR396/(AG396+AH396),0)</f>
        <v>9.1963324427253662E-2</v>
      </c>
    </row>
    <row r="397" spans="2:45" x14ac:dyDescent="0.3">
      <c r="B397" s="287">
        <f t="shared" ref="B397:B420" si="175">B396+1</f>
        <v>393</v>
      </c>
      <c r="C397" s="272" t="s">
        <v>174</v>
      </c>
      <c r="D397" s="288" t="str">
        <f t="shared" si="162"/>
        <v>Dec-25</v>
      </c>
      <c r="E397" s="288" t="s">
        <v>2679</v>
      </c>
      <c r="F397" s="289">
        <v>46000</v>
      </c>
      <c r="G397" s="290" t="s">
        <v>2422</v>
      </c>
      <c r="H397" s="291" t="s">
        <v>2423</v>
      </c>
      <c r="I397" s="296" t="s">
        <v>2670</v>
      </c>
      <c r="J397" s="387" t="s">
        <v>2676</v>
      </c>
      <c r="K397" s="289">
        <v>46000</v>
      </c>
      <c r="L397" s="291" t="s">
        <v>2677</v>
      </c>
      <c r="M397" s="289">
        <v>46015</v>
      </c>
      <c r="N397" s="291" t="s">
        <v>2673</v>
      </c>
      <c r="O397" s="296" t="s">
        <v>2678</v>
      </c>
      <c r="P397" s="295" t="s">
        <v>2679</v>
      </c>
      <c r="Q397" s="291" t="s">
        <v>2675</v>
      </c>
      <c r="R397" s="458">
        <v>0</v>
      </c>
      <c r="S397" s="404">
        <v>151.67927177555842</v>
      </c>
      <c r="T397" s="459">
        <f t="shared" si="163"/>
        <v>0</v>
      </c>
      <c r="U397" s="298" t="s">
        <v>2679</v>
      </c>
      <c r="V397" s="288" t="s">
        <v>3288</v>
      </c>
      <c r="W397" s="296" t="str">
        <f t="shared" si="164"/>
        <v>Apr-26</v>
      </c>
      <c r="X397" s="293" t="s">
        <v>2679</v>
      </c>
      <c r="Y397" s="293" t="s">
        <v>3276</v>
      </c>
      <c r="Z397" s="318">
        <v>46126</v>
      </c>
      <c r="AA397" s="293" t="s">
        <v>3279</v>
      </c>
      <c r="AB397" s="293" t="s">
        <v>3282</v>
      </c>
      <c r="AC397" s="298" t="s">
        <v>2679</v>
      </c>
      <c r="AD397" s="298" t="s">
        <v>2983</v>
      </c>
      <c r="AE397" s="512">
        <v>860</v>
      </c>
      <c r="AF397" s="513">
        <v>160</v>
      </c>
      <c r="AG397" s="514">
        <f t="shared" si="165"/>
        <v>137600</v>
      </c>
      <c r="AH397" s="514">
        <v>0</v>
      </c>
      <c r="AI397" s="514">
        <f t="shared" si="166"/>
        <v>137600</v>
      </c>
      <c r="AJ397" s="514">
        <v>0</v>
      </c>
      <c r="AK397" s="514">
        <f t="shared" si="167"/>
        <v>860</v>
      </c>
      <c r="AL397" s="514">
        <f t="shared" si="168"/>
        <v>130444.17372698024</v>
      </c>
      <c r="AM397" s="515">
        <f t="shared" si="169"/>
        <v>7155.8262730197603</v>
      </c>
      <c r="AN397" s="299">
        <f t="shared" si="170"/>
        <v>5.2004551402759884E-2</v>
      </c>
      <c r="AO397" s="296">
        <f t="shared" si="171"/>
        <v>130444.17372698024</v>
      </c>
      <c r="AP397" s="274">
        <f t="shared" si="112"/>
        <v>126</v>
      </c>
      <c r="AQ397" s="275">
        <f t="shared" si="172"/>
        <v>0</v>
      </c>
      <c r="AR397" s="275">
        <f t="shared" si="173"/>
        <v>7155.8262730197603</v>
      </c>
      <c r="AS397" s="280">
        <f t="shared" si="174"/>
        <v>5.2004551402759884E-2</v>
      </c>
    </row>
    <row r="398" spans="2:45" x14ac:dyDescent="0.3">
      <c r="B398" s="287">
        <f t="shared" si="175"/>
        <v>394</v>
      </c>
      <c r="C398" s="272" t="s">
        <v>174</v>
      </c>
      <c r="D398" s="288" t="str">
        <f t="shared" si="162"/>
        <v>Dec-25</v>
      </c>
      <c r="E398" s="288" t="s">
        <v>2679</v>
      </c>
      <c r="F398" s="289">
        <v>46000</v>
      </c>
      <c r="G398" s="290" t="s">
        <v>2422</v>
      </c>
      <c r="H398" s="291" t="s">
        <v>2423</v>
      </c>
      <c r="I398" s="296" t="s">
        <v>2670</v>
      </c>
      <c r="J398" s="387" t="s">
        <v>2676</v>
      </c>
      <c r="K398" s="289">
        <v>46000</v>
      </c>
      <c r="L398" s="291" t="s">
        <v>2677</v>
      </c>
      <c r="M398" s="289">
        <v>46015</v>
      </c>
      <c r="N398" s="291" t="s">
        <v>2673</v>
      </c>
      <c r="O398" s="296" t="s">
        <v>2678</v>
      </c>
      <c r="P398" s="295" t="s">
        <v>2679</v>
      </c>
      <c r="Q398" s="291" t="s">
        <v>2675</v>
      </c>
      <c r="R398" s="458">
        <v>0</v>
      </c>
      <c r="S398" s="404">
        <v>151.67927177555842</v>
      </c>
      <c r="T398" s="459">
        <f t="shared" si="163"/>
        <v>0</v>
      </c>
      <c r="U398" s="298" t="s">
        <v>2679</v>
      </c>
      <c r="V398" s="288" t="s">
        <v>3288</v>
      </c>
      <c r="W398" s="296" t="str">
        <f t="shared" si="164"/>
        <v>Apr-26</v>
      </c>
      <c r="X398" s="293" t="s">
        <v>2679</v>
      </c>
      <c r="Y398" s="293" t="s">
        <v>3276</v>
      </c>
      <c r="Z398" s="318">
        <v>46126</v>
      </c>
      <c r="AA398" s="293" t="s">
        <v>3279</v>
      </c>
      <c r="AB398" s="293" t="s">
        <v>3282</v>
      </c>
      <c r="AC398" s="298" t="s">
        <v>2679</v>
      </c>
      <c r="AD398" s="298" t="s">
        <v>3290</v>
      </c>
      <c r="AE398" s="512">
        <v>360</v>
      </c>
      <c r="AF398" s="513">
        <v>220</v>
      </c>
      <c r="AG398" s="514">
        <f t="shared" si="165"/>
        <v>79200</v>
      </c>
      <c r="AH398" s="514">
        <v>0</v>
      </c>
      <c r="AI398" s="514">
        <f t="shared" si="166"/>
        <v>79200</v>
      </c>
      <c r="AJ398" s="514">
        <v>0</v>
      </c>
      <c r="AK398" s="514">
        <f t="shared" si="167"/>
        <v>360</v>
      </c>
      <c r="AL398" s="514">
        <f t="shared" si="168"/>
        <v>54604.537839201032</v>
      </c>
      <c r="AM398" s="515">
        <f t="shared" si="169"/>
        <v>24595.462160798968</v>
      </c>
      <c r="AN398" s="299">
        <f t="shared" si="170"/>
        <v>0.31054876465655262</v>
      </c>
      <c r="AO398" s="296">
        <f t="shared" si="171"/>
        <v>54604.537839201032</v>
      </c>
      <c r="AP398" s="274">
        <f t="shared" si="112"/>
        <v>126</v>
      </c>
      <c r="AQ398" s="275">
        <f t="shared" si="172"/>
        <v>0</v>
      </c>
      <c r="AR398" s="275">
        <f t="shared" si="173"/>
        <v>24595.462160798968</v>
      </c>
      <c r="AS398" s="280">
        <f t="shared" si="174"/>
        <v>0.31054876465655262</v>
      </c>
    </row>
    <row r="399" spans="2:45" x14ac:dyDescent="0.3">
      <c r="B399" s="287">
        <f t="shared" si="175"/>
        <v>395</v>
      </c>
      <c r="C399" s="272" t="s">
        <v>174</v>
      </c>
      <c r="D399" s="288" t="str">
        <f t="shared" si="162"/>
        <v>Dec-25</v>
      </c>
      <c r="E399" s="288" t="s">
        <v>2679</v>
      </c>
      <c r="F399" s="289">
        <v>46000</v>
      </c>
      <c r="G399" s="290" t="s">
        <v>2422</v>
      </c>
      <c r="H399" s="291" t="s">
        <v>2423</v>
      </c>
      <c r="I399" s="296" t="s">
        <v>2670</v>
      </c>
      <c r="J399" s="387" t="s">
        <v>2676</v>
      </c>
      <c r="K399" s="289">
        <v>46000</v>
      </c>
      <c r="L399" s="291" t="s">
        <v>2677</v>
      </c>
      <c r="M399" s="289">
        <v>46015</v>
      </c>
      <c r="N399" s="291" t="s">
        <v>2673</v>
      </c>
      <c r="O399" s="296" t="s">
        <v>2678</v>
      </c>
      <c r="P399" s="295" t="s">
        <v>2679</v>
      </c>
      <c r="Q399" s="291" t="s">
        <v>2675</v>
      </c>
      <c r="R399" s="458">
        <v>0</v>
      </c>
      <c r="S399" s="404">
        <v>151.67927177555842</v>
      </c>
      <c r="T399" s="459">
        <f t="shared" si="163"/>
        <v>0</v>
      </c>
      <c r="U399" s="298" t="s">
        <v>2679</v>
      </c>
      <c r="V399" s="288" t="s">
        <v>3288</v>
      </c>
      <c r="W399" s="296" t="str">
        <f t="shared" si="164"/>
        <v>Apr-26</v>
      </c>
      <c r="X399" s="293" t="s">
        <v>2679</v>
      </c>
      <c r="Y399" s="293" t="s">
        <v>3276</v>
      </c>
      <c r="Z399" s="318">
        <v>46126</v>
      </c>
      <c r="AA399" s="293" t="s">
        <v>3279</v>
      </c>
      <c r="AB399" s="293" t="s">
        <v>3282</v>
      </c>
      <c r="AC399" s="298" t="s">
        <v>2679</v>
      </c>
      <c r="AD399" s="298" t="s">
        <v>3291</v>
      </c>
      <c r="AE399" s="512">
        <v>180</v>
      </c>
      <c r="AF399" s="513">
        <v>190</v>
      </c>
      <c r="AG399" s="514">
        <f t="shared" si="165"/>
        <v>34200</v>
      </c>
      <c r="AH399" s="514">
        <v>0</v>
      </c>
      <c r="AI399" s="514">
        <f t="shared" si="166"/>
        <v>34200</v>
      </c>
      <c r="AJ399" s="514">
        <v>0</v>
      </c>
      <c r="AK399" s="514">
        <f t="shared" si="167"/>
        <v>180</v>
      </c>
      <c r="AL399" s="514">
        <f t="shared" si="168"/>
        <v>27302.268919600516</v>
      </c>
      <c r="AM399" s="515">
        <f t="shared" si="169"/>
        <v>6897.7310803994842</v>
      </c>
      <c r="AN399" s="299">
        <f t="shared" si="170"/>
        <v>0.20168804328653461</v>
      </c>
      <c r="AO399" s="296">
        <f t="shared" si="171"/>
        <v>27302.268919600516</v>
      </c>
      <c r="AP399" s="274">
        <f t="shared" si="112"/>
        <v>126</v>
      </c>
      <c r="AQ399" s="275">
        <f t="shared" si="172"/>
        <v>0</v>
      </c>
      <c r="AR399" s="275">
        <f t="shared" si="173"/>
        <v>6897.7310803994842</v>
      </c>
      <c r="AS399" s="280">
        <f t="shared" si="174"/>
        <v>0.20168804328653461</v>
      </c>
    </row>
    <row r="400" spans="2:45" x14ac:dyDescent="0.3">
      <c r="B400" s="287">
        <f t="shared" si="175"/>
        <v>396</v>
      </c>
      <c r="C400" s="272" t="s">
        <v>174</v>
      </c>
      <c r="D400" s="288" t="str">
        <f t="shared" si="162"/>
        <v>Dec-25</v>
      </c>
      <c r="E400" s="288" t="s">
        <v>2679</v>
      </c>
      <c r="F400" s="289">
        <v>46000</v>
      </c>
      <c r="G400" s="290" t="s">
        <v>2422</v>
      </c>
      <c r="H400" s="291" t="s">
        <v>2423</v>
      </c>
      <c r="I400" s="296" t="s">
        <v>2670</v>
      </c>
      <c r="J400" s="387" t="s">
        <v>2676</v>
      </c>
      <c r="K400" s="289">
        <v>46000</v>
      </c>
      <c r="L400" s="291" t="s">
        <v>2677</v>
      </c>
      <c r="M400" s="289">
        <v>46015</v>
      </c>
      <c r="N400" s="291" t="s">
        <v>2673</v>
      </c>
      <c r="O400" s="296" t="s">
        <v>2678</v>
      </c>
      <c r="P400" s="295" t="s">
        <v>2679</v>
      </c>
      <c r="Q400" s="291" t="s">
        <v>2675</v>
      </c>
      <c r="R400" s="458">
        <v>0</v>
      </c>
      <c r="S400" s="404">
        <v>151.67927177555842</v>
      </c>
      <c r="T400" s="459">
        <f t="shared" si="163"/>
        <v>0</v>
      </c>
      <c r="U400" s="298" t="s">
        <v>2679</v>
      </c>
      <c r="V400" s="288" t="s">
        <v>3288</v>
      </c>
      <c r="W400" s="296" t="str">
        <f t="shared" si="164"/>
        <v>Apr-26</v>
      </c>
      <c r="X400" s="293" t="s">
        <v>2679</v>
      </c>
      <c r="Y400" s="293" t="s">
        <v>3276</v>
      </c>
      <c r="Z400" s="318">
        <v>46127</v>
      </c>
      <c r="AA400" s="293" t="s">
        <v>3281</v>
      </c>
      <c r="AB400" s="293" t="s">
        <v>3282</v>
      </c>
      <c r="AC400" s="298" t="s">
        <v>2679</v>
      </c>
      <c r="AD400" s="298" t="s">
        <v>3292</v>
      </c>
      <c r="AE400" s="512">
        <v>1</v>
      </c>
      <c r="AF400" s="513">
        <v>35000</v>
      </c>
      <c r="AG400" s="514">
        <f t="shared" si="165"/>
        <v>35000</v>
      </c>
      <c r="AH400" s="514">
        <v>0</v>
      </c>
      <c r="AI400" s="514">
        <f t="shared" si="166"/>
        <v>35000</v>
      </c>
      <c r="AJ400" s="514">
        <v>0</v>
      </c>
      <c r="AK400" s="514">
        <f t="shared" si="167"/>
        <v>1</v>
      </c>
      <c r="AL400" s="514">
        <f t="shared" si="168"/>
        <v>151.67927177555842</v>
      </c>
      <c r="AM400" s="515">
        <f t="shared" si="169"/>
        <v>34848.32072822444</v>
      </c>
      <c r="AN400" s="299">
        <f t="shared" si="170"/>
        <v>0.99566630652069832</v>
      </c>
      <c r="AO400" s="296">
        <f t="shared" si="171"/>
        <v>151.67927177555842</v>
      </c>
      <c r="AP400" s="274">
        <f t="shared" si="112"/>
        <v>127</v>
      </c>
      <c r="AQ400" s="275">
        <f t="shared" si="172"/>
        <v>0</v>
      </c>
      <c r="AR400" s="275">
        <f t="shared" si="173"/>
        <v>34848.32072822444</v>
      </c>
      <c r="AS400" s="280">
        <f t="shared" si="174"/>
        <v>0.99566630652069832</v>
      </c>
    </row>
    <row r="401" spans="2:45" x14ac:dyDescent="0.3">
      <c r="B401" s="287">
        <f t="shared" si="175"/>
        <v>397</v>
      </c>
      <c r="C401" s="272" t="s">
        <v>174</v>
      </c>
      <c r="D401" s="288" t="str">
        <f t="shared" si="162"/>
        <v>Dec-25</v>
      </c>
      <c r="E401" s="288" t="s">
        <v>2679</v>
      </c>
      <c r="F401" s="289">
        <v>46000</v>
      </c>
      <c r="G401" s="290" t="s">
        <v>2422</v>
      </c>
      <c r="H401" s="291" t="s">
        <v>2423</v>
      </c>
      <c r="I401" s="296" t="s">
        <v>2670</v>
      </c>
      <c r="J401" s="387" t="s">
        <v>2676</v>
      </c>
      <c r="K401" s="289">
        <v>46000</v>
      </c>
      <c r="L401" s="291" t="s">
        <v>2677</v>
      </c>
      <c r="M401" s="289">
        <v>46015</v>
      </c>
      <c r="N401" s="291" t="s">
        <v>2673</v>
      </c>
      <c r="O401" s="296" t="s">
        <v>2678</v>
      </c>
      <c r="P401" s="295" t="s">
        <v>2679</v>
      </c>
      <c r="Q401" s="291" t="s">
        <v>2675</v>
      </c>
      <c r="R401" s="458">
        <v>0</v>
      </c>
      <c r="S401" s="404">
        <v>151.67927177555842</v>
      </c>
      <c r="T401" s="459">
        <f t="shared" si="163"/>
        <v>0</v>
      </c>
      <c r="U401" s="298" t="s">
        <v>2679</v>
      </c>
      <c r="V401" s="288" t="s">
        <v>3288</v>
      </c>
      <c r="W401" s="296" t="str">
        <f t="shared" si="164"/>
        <v>Apr-26</v>
      </c>
      <c r="X401" s="293" t="s">
        <v>2679</v>
      </c>
      <c r="Y401" s="293" t="s">
        <v>3276</v>
      </c>
      <c r="Z401" s="318">
        <v>46127</v>
      </c>
      <c r="AA401" s="293" t="s">
        <v>3281</v>
      </c>
      <c r="AB401" s="293" t="s">
        <v>3282</v>
      </c>
      <c r="AC401" s="298" t="s">
        <v>2679</v>
      </c>
      <c r="AD401" s="298" t="s">
        <v>2175</v>
      </c>
      <c r="AE401" s="512">
        <v>1</v>
      </c>
      <c r="AF401" s="513">
        <v>2000</v>
      </c>
      <c r="AG401" s="514">
        <f t="shared" si="165"/>
        <v>2000</v>
      </c>
      <c r="AH401" s="514">
        <v>0</v>
      </c>
      <c r="AI401" s="514">
        <f t="shared" si="166"/>
        <v>2000</v>
      </c>
      <c r="AJ401" s="514">
        <v>0</v>
      </c>
      <c r="AK401" s="514">
        <f t="shared" si="167"/>
        <v>1</v>
      </c>
      <c r="AL401" s="514">
        <f t="shared" si="168"/>
        <v>151.67927177555842</v>
      </c>
      <c r="AM401" s="515">
        <f t="shared" si="169"/>
        <v>1848.3207282244416</v>
      </c>
      <c r="AN401" s="299">
        <f t="shared" si="170"/>
        <v>0.9241603641122208</v>
      </c>
      <c r="AO401" s="296">
        <f t="shared" si="171"/>
        <v>151.67927177555842</v>
      </c>
      <c r="AP401" s="274">
        <f t="shared" si="112"/>
        <v>127</v>
      </c>
      <c r="AQ401" s="275">
        <f t="shared" si="172"/>
        <v>0</v>
      </c>
      <c r="AR401" s="275">
        <f t="shared" si="173"/>
        <v>1848.3207282244416</v>
      </c>
      <c r="AS401" s="280">
        <f t="shared" si="174"/>
        <v>0.9241603641122208</v>
      </c>
    </row>
    <row r="402" spans="2:45" x14ac:dyDescent="0.3">
      <c r="B402" s="287">
        <f t="shared" si="175"/>
        <v>398</v>
      </c>
      <c r="C402" s="272" t="s">
        <v>174</v>
      </c>
      <c r="D402" s="288" t="str">
        <f t="shared" ref="D402:D404" si="176">TEXT(F402,"mmm-yy")</f>
        <v>Apr-26</v>
      </c>
      <c r="E402" s="288" t="s">
        <v>2679</v>
      </c>
      <c r="F402" s="289">
        <v>46122</v>
      </c>
      <c r="G402" s="290" t="s">
        <v>3272</v>
      </c>
      <c r="H402" s="291" t="s">
        <v>196</v>
      </c>
      <c r="I402" s="296" t="s">
        <v>2680</v>
      </c>
      <c r="J402" s="387" t="s">
        <v>3490</v>
      </c>
      <c r="K402" s="289">
        <v>46112</v>
      </c>
      <c r="L402" s="291" t="s">
        <v>3491</v>
      </c>
      <c r="M402" s="289">
        <v>46122</v>
      </c>
      <c r="N402" s="291" t="s">
        <v>255</v>
      </c>
      <c r="O402" s="296" t="s">
        <v>329</v>
      </c>
      <c r="P402" s="295" t="s">
        <v>2754</v>
      </c>
      <c r="Q402" s="291" t="s">
        <v>2683</v>
      </c>
      <c r="R402" s="458">
        <v>3160</v>
      </c>
      <c r="S402" s="404">
        <v>27.5</v>
      </c>
      <c r="T402" s="459">
        <f t="shared" si="163"/>
        <v>86900</v>
      </c>
      <c r="U402" s="298" t="s">
        <v>2754</v>
      </c>
      <c r="V402" s="288" t="s">
        <v>3288</v>
      </c>
      <c r="W402" s="296" t="str">
        <f t="shared" ref="W402:W404" si="177">TEXT(Z402,"mmm-yy")</f>
        <v>Jun-26</v>
      </c>
      <c r="X402" s="293" t="s">
        <v>2754</v>
      </c>
      <c r="Y402" s="293" t="s">
        <v>3978</v>
      </c>
      <c r="Z402" s="318">
        <v>46174</v>
      </c>
      <c r="AA402" s="293" t="s">
        <v>3979</v>
      </c>
      <c r="AB402" s="293" t="s">
        <v>2353</v>
      </c>
      <c r="AC402" s="293" t="s">
        <v>2754</v>
      </c>
      <c r="AD402" s="298" t="s">
        <v>2682</v>
      </c>
      <c r="AE402" s="512">
        <v>31200</v>
      </c>
      <c r="AF402" s="513">
        <v>33</v>
      </c>
      <c r="AG402" s="514">
        <f t="shared" si="165"/>
        <v>1029600</v>
      </c>
      <c r="AH402" s="514">
        <v>-886710</v>
      </c>
      <c r="AI402" s="514">
        <f t="shared" ref="AI402" si="178">AG402+AH402</f>
        <v>142890</v>
      </c>
      <c r="AJ402" s="514">
        <v>26870</v>
      </c>
      <c r="AK402" s="514">
        <f t="shared" ref="AK402" si="179">AE402-AJ402</f>
        <v>4330</v>
      </c>
      <c r="AL402" s="514">
        <f>AK402*S402</f>
        <v>119075</v>
      </c>
      <c r="AM402" s="515">
        <f t="shared" ref="AM402" si="180">(AG402+AH402)-AL402</f>
        <v>23815</v>
      </c>
      <c r="AN402" s="299">
        <f t="shared" ref="AN402" si="181">IFERROR(AM402/(AG402+AH402),0)</f>
        <v>0.16666666666666666</v>
      </c>
      <c r="AO402" s="296">
        <f t="shared" ref="AO402" si="182">AE402*S402</f>
        <v>858000</v>
      </c>
      <c r="AP402" s="274">
        <f t="shared" si="112"/>
        <v>62</v>
      </c>
      <c r="AQ402" s="275">
        <f t="shared" ref="AQ402" si="183">T402*9.35%*AP402/365</f>
        <v>1380.1624657534246</v>
      </c>
      <c r="AR402" s="275">
        <f t="shared" ref="AR402" si="184">AM402-AQ402</f>
        <v>22434.837534246577</v>
      </c>
      <c r="AS402" s="280">
        <f t="shared" ref="AS402" si="185">IFERROR(AR402/(AG402+AH402),0)</f>
        <v>0.15700775095700592</v>
      </c>
    </row>
    <row r="403" spans="2:45" x14ac:dyDescent="0.3">
      <c r="B403" s="287">
        <f t="shared" si="175"/>
        <v>399</v>
      </c>
      <c r="C403" s="272" t="s">
        <v>174</v>
      </c>
      <c r="D403" s="288" t="str">
        <f t="shared" si="176"/>
        <v>Apr-26</v>
      </c>
      <c r="E403" s="288" t="s">
        <v>2679</v>
      </c>
      <c r="F403" s="289">
        <v>46122</v>
      </c>
      <c r="G403" s="290" t="s">
        <v>3273</v>
      </c>
      <c r="H403" s="291" t="s">
        <v>196</v>
      </c>
      <c r="I403" s="296" t="s">
        <v>2680</v>
      </c>
      <c r="J403" s="387" t="s">
        <v>3492</v>
      </c>
      <c r="K403" s="289">
        <v>46107</v>
      </c>
      <c r="L403" s="291" t="s">
        <v>3493</v>
      </c>
      <c r="M403" s="289">
        <v>46122</v>
      </c>
      <c r="N403" s="291" t="s">
        <v>255</v>
      </c>
      <c r="O403" s="296" t="s">
        <v>329</v>
      </c>
      <c r="P403" s="295" t="s">
        <v>2754</v>
      </c>
      <c r="Q403" s="291" t="s">
        <v>2683</v>
      </c>
      <c r="R403" s="458">
        <v>5330</v>
      </c>
      <c r="S403" s="404">
        <v>27</v>
      </c>
      <c r="T403" s="459">
        <f t="shared" si="163"/>
        <v>143910</v>
      </c>
      <c r="U403" s="298" t="s">
        <v>2754</v>
      </c>
      <c r="V403" s="288" t="s">
        <v>3288</v>
      </c>
      <c r="W403" s="296" t="str">
        <f t="shared" si="177"/>
        <v>Jun-26</v>
      </c>
      <c r="X403" s="293" t="s">
        <v>2754</v>
      </c>
      <c r="Y403" s="293" t="s">
        <v>3980</v>
      </c>
      <c r="Z403" s="318">
        <v>46180</v>
      </c>
      <c r="AA403" s="293" t="s">
        <v>3981</v>
      </c>
      <c r="AB403" s="293" t="s">
        <v>2353</v>
      </c>
      <c r="AC403" s="293" t="s">
        <v>2754</v>
      </c>
      <c r="AD403" s="298" t="s">
        <v>2682</v>
      </c>
      <c r="AE403" s="512">
        <v>24475</v>
      </c>
      <c r="AF403" s="513">
        <v>33</v>
      </c>
      <c r="AG403" s="514">
        <f t="shared" ref="AG403" si="186">AE403*AF403</f>
        <v>807675</v>
      </c>
      <c r="AH403" s="514">
        <f>-4059-6105</f>
        <v>-10164</v>
      </c>
      <c r="AI403" s="514">
        <f t="shared" ref="AI403" si="187">AG403+AH403</f>
        <v>797511</v>
      </c>
      <c r="AJ403" s="514">
        <v>0</v>
      </c>
      <c r="AK403" s="514">
        <f t="shared" ref="AK403" si="188">AE403-AJ403</f>
        <v>24475</v>
      </c>
      <c r="AL403" s="514">
        <f t="shared" ref="AL403" si="189">AE403*S403</f>
        <v>660825</v>
      </c>
      <c r="AM403" s="515">
        <f t="shared" ref="AM403" si="190">(AG403+AH403)-AL403</f>
        <v>136686</v>
      </c>
      <c r="AN403" s="299">
        <f t="shared" ref="AN403" si="191">IFERROR(AM403/(AG403+AH403),0)</f>
        <v>0.17139073943807673</v>
      </c>
      <c r="AO403" s="296">
        <f t="shared" ref="AO403" si="192">AE403*S403</f>
        <v>660825</v>
      </c>
      <c r="AP403" s="274">
        <f t="shared" si="112"/>
        <v>73</v>
      </c>
      <c r="AQ403" s="275">
        <f t="shared" ref="AQ403" si="193">T403*9.35%*AP403/365</f>
        <v>2691.1169999999997</v>
      </c>
      <c r="AR403" s="275">
        <f t="shared" ref="AR403" si="194">AM403-AQ403</f>
        <v>133994.883</v>
      </c>
      <c r="AS403" s="280">
        <f t="shared" ref="AS403" si="195">IFERROR(AR403/(AG403+AH403),0)</f>
        <v>0.16801634460214343</v>
      </c>
    </row>
    <row r="404" spans="2:45" x14ac:dyDescent="0.3">
      <c r="B404" s="287">
        <f t="shared" si="175"/>
        <v>400</v>
      </c>
      <c r="C404" s="272" t="s">
        <v>174</v>
      </c>
      <c r="D404" s="288" t="str">
        <f t="shared" si="176"/>
        <v>Apr-26</v>
      </c>
      <c r="E404" s="288" t="s">
        <v>2679</v>
      </c>
      <c r="F404" s="289">
        <v>46135</v>
      </c>
      <c r="G404" s="290" t="s">
        <v>3494</v>
      </c>
      <c r="H404" s="291" t="s">
        <v>196</v>
      </c>
      <c r="I404" s="296" t="s">
        <v>2680</v>
      </c>
      <c r="J404" s="387" t="s">
        <v>3495</v>
      </c>
      <c r="K404" s="289">
        <v>46128</v>
      </c>
      <c r="L404" s="291" t="s">
        <v>3496</v>
      </c>
      <c r="M404" s="289">
        <v>46135</v>
      </c>
      <c r="N404" s="291" t="s">
        <v>255</v>
      </c>
      <c r="O404" s="296" t="s">
        <v>329</v>
      </c>
      <c r="P404" s="295" t="s">
        <v>2754</v>
      </c>
      <c r="Q404" s="291" t="s">
        <v>2683</v>
      </c>
      <c r="R404" s="458">
        <v>7040</v>
      </c>
      <c r="S404" s="404">
        <v>27.928000000000001</v>
      </c>
      <c r="T404" s="459">
        <f t="shared" si="163"/>
        <v>196613.12</v>
      </c>
      <c r="U404" s="298" t="s">
        <v>2754</v>
      </c>
      <c r="V404" s="288" t="s">
        <v>3288</v>
      </c>
      <c r="W404" s="296" t="str">
        <f t="shared" si="177"/>
        <v>Jun-26</v>
      </c>
      <c r="X404" s="293" t="s">
        <v>2754</v>
      </c>
      <c r="Y404" s="293" t="s">
        <v>3982</v>
      </c>
      <c r="Z404" s="318">
        <v>46184</v>
      </c>
      <c r="AA404" s="293" t="s">
        <v>3983</v>
      </c>
      <c r="AB404" s="293" t="s">
        <v>2353</v>
      </c>
      <c r="AC404" s="293" t="s">
        <v>2754</v>
      </c>
      <c r="AD404" s="298" t="s">
        <v>2682</v>
      </c>
      <c r="AE404" s="512">
        <v>24960</v>
      </c>
      <c r="AF404" s="513">
        <v>33</v>
      </c>
      <c r="AG404" s="514">
        <f t="shared" ref="AG404" si="196">AE404*AF404</f>
        <v>823680</v>
      </c>
      <c r="AH404" s="514">
        <v>-19965</v>
      </c>
      <c r="AI404" s="514">
        <f t="shared" ref="AI404" si="197">AG404+AH404</f>
        <v>803715</v>
      </c>
      <c r="AJ404" s="514">
        <v>0</v>
      </c>
      <c r="AK404" s="514">
        <f t="shared" ref="AK404" si="198">AE404-AJ404</f>
        <v>24960</v>
      </c>
      <c r="AL404" s="514">
        <f t="shared" ref="AL404" si="199">AE404*S404</f>
        <v>697082.88</v>
      </c>
      <c r="AM404" s="515">
        <f t="shared" ref="AM404" si="200">(AG404+AH404)-AL404</f>
        <v>106632.12</v>
      </c>
      <c r="AN404" s="299">
        <f t="shared" ref="AN404" si="201">IFERROR(AM404/(AG404+AH404),0)</f>
        <v>0.13267404490397716</v>
      </c>
      <c r="AO404" s="296">
        <f t="shared" ref="AO404" si="202">AE404*S404</f>
        <v>697082.88</v>
      </c>
      <c r="AP404" s="274">
        <f t="shared" si="112"/>
        <v>56</v>
      </c>
      <c r="AQ404" s="275">
        <f t="shared" ref="AQ404" si="203">T404*9.35%*AP404/365</f>
        <v>2820.4556063561645</v>
      </c>
      <c r="AR404" s="275">
        <f t="shared" ref="AR404" si="204">AM404-AQ404</f>
        <v>103811.66439364383</v>
      </c>
      <c r="AS404" s="280">
        <f t="shared" ref="AS404" si="205">IFERROR(AR404/(AG404+AH404),0)</f>
        <v>0.12916477158401155</v>
      </c>
    </row>
    <row r="405" spans="2:45" x14ac:dyDescent="0.3">
      <c r="B405" s="287">
        <f t="shared" si="175"/>
        <v>401</v>
      </c>
      <c r="C405" s="272" t="s">
        <v>174</v>
      </c>
      <c r="D405" s="288" t="str">
        <f t="shared" ref="D405:D410" si="206">TEXT(F405,"mmm-yy")</f>
        <v>May-26</v>
      </c>
      <c r="E405" s="288" t="s">
        <v>2679</v>
      </c>
      <c r="F405" s="289">
        <v>46156</v>
      </c>
      <c r="G405" s="290" t="s">
        <v>3763</v>
      </c>
      <c r="H405" s="291" t="s">
        <v>196</v>
      </c>
      <c r="I405" s="296" t="s">
        <v>2680</v>
      </c>
      <c r="J405" s="387" t="s">
        <v>3768</v>
      </c>
      <c r="K405" s="289">
        <v>46136</v>
      </c>
      <c r="L405" s="291" t="s">
        <v>3769</v>
      </c>
      <c r="M405" s="289">
        <v>46156</v>
      </c>
      <c r="N405" s="291" t="s">
        <v>255</v>
      </c>
      <c r="O405" s="296" t="s">
        <v>329</v>
      </c>
      <c r="P405" s="295" t="s">
        <v>2754</v>
      </c>
      <c r="Q405" s="291" t="s">
        <v>2683</v>
      </c>
      <c r="R405" s="458">
        <v>6196</v>
      </c>
      <c r="S405" s="404">
        <v>28</v>
      </c>
      <c r="T405" s="459">
        <f t="shared" si="163"/>
        <v>173488</v>
      </c>
      <c r="U405" s="298"/>
      <c r="V405" s="288"/>
      <c r="W405" s="296"/>
      <c r="X405" s="293"/>
      <c r="Y405" s="293"/>
      <c r="Z405" s="318"/>
      <c r="AA405" s="293"/>
      <c r="AB405" s="293"/>
      <c r="AC405" s="298"/>
      <c r="AD405" s="298"/>
      <c r="AE405" s="512"/>
      <c r="AF405" s="513"/>
      <c r="AG405" s="514"/>
      <c r="AH405" s="514"/>
      <c r="AI405" s="514"/>
      <c r="AJ405" s="514"/>
      <c r="AK405" s="514"/>
      <c r="AL405" s="514"/>
      <c r="AM405" s="515"/>
      <c r="AN405" s="299"/>
      <c r="AO405" s="296"/>
      <c r="AP405" s="274"/>
      <c r="AQ405" s="275"/>
      <c r="AR405" s="275"/>
      <c r="AS405" s="280"/>
    </row>
    <row r="406" spans="2:45" x14ac:dyDescent="0.3">
      <c r="B406" s="287">
        <f t="shared" si="175"/>
        <v>402</v>
      </c>
      <c r="C406" s="272" t="s">
        <v>174</v>
      </c>
      <c r="D406" s="288" t="str">
        <f t="shared" si="206"/>
        <v>May-26</v>
      </c>
      <c r="E406" s="288" t="s">
        <v>2679</v>
      </c>
      <c r="F406" s="289">
        <v>46156</v>
      </c>
      <c r="G406" s="290" t="s">
        <v>3764</v>
      </c>
      <c r="H406" s="291" t="s">
        <v>196</v>
      </c>
      <c r="I406" s="296" t="s">
        <v>2680</v>
      </c>
      <c r="J406" s="387" t="s">
        <v>3770</v>
      </c>
      <c r="K406" s="289">
        <v>46142</v>
      </c>
      <c r="L406" s="291" t="s">
        <v>3771</v>
      </c>
      <c r="M406" s="289">
        <v>46156</v>
      </c>
      <c r="N406" s="291" t="s">
        <v>255</v>
      </c>
      <c r="O406" s="296" t="s">
        <v>329</v>
      </c>
      <c r="P406" s="295" t="s">
        <v>2754</v>
      </c>
      <c r="Q406" s="291" t="s">
        <v>2683</v>
      </c>
      <c r="R406" s="458">
        <v>7500</v>
      </c>
      <c r="S406" s="404">
        <v>27.5</v>
      </c>
      <c r="T406" s="459">
        <f t="shared" si="163"/>
        <v>206250</v>
      </c>
      <c r="U406" s="298"/>
      <c r="V406" s="288"/>
      <c r="W406" s="296"/>
      <c r="X406" s="293"/>
      <c r="Y406" s="293"/>
      <c r="Z406" s="318"/>
      <c r="AA406" s="293"/>
      <c r="AB406" s="293"/>
      <c r="AC406" s="298"/>
      <c r="AD406" s="298"/>
      <c r="AE406" s="512"/>
      <c r="AF406" s="513"/>
      <c r="AG406" s="514"/>
      <c r="AH406" s="514"/>
      <c r="AI406" s="514"/>
      <c r="AJ406" s="514"/>
      <c r="AK406" s="514"/>
      <c r="AL406" s="514"/>
      <c r="AM406" s="515"/>
      <c r="AN406" s="299"/>
      <c r="AO406" s="296"/>
      <c r="AP406" s="274"/>
      <c r="AQ406" s="275"/>
      <c r="AR406" s="275"/>
      <c r="AS406" s="280"/>
    </row>
    <row r="407" spans="2:45" x14ac:dyDescent="0.3">
      <c r="B407" s="287">
        <f t="shared" si="175"/>
        <v>403</v>
      </c>
      <c r="C407" s="272" t="s">
        <v>174</v>
      </c>
      <c r="D407" s="288" t="str">
        <f t="shared" si="206"/>
        <v>May-26</v>
      </c>
      <c r="E407" s="288" t="s">
        <v>2679</v>
      </c>
      <c r="F407" s="289">
        <v>46156</v>
      </c>
      <c r="G407" s="290" t="s">
        <v>3626</v>
      </c>
      <c r="H407" s="291" t="s">
        <v>196</v>
      </c>
      <c r="I407" s="296" t="s">
        <v>2680</v>
      </c>
      <c r="J407" s="387" t="s">
        <v>3772</v>
      </c>
      <c r="K407" s="289">
        <v>46152</v>
      </c>
      <c r="L407" s="291" t="s">
        <v>3773</v>
      </c>
      <c r="M407" s="289">
        <v>46156</v>
      </c>
      <c r="N407" s="291" t="s">
        <v>255</v>
      </c>
      <c r="O407" s="296" t="s">
        <v>329</v>
      </c>
      <c r="P407" s="295" t="s">
        <v>2754</v>
      </c>
      <c r="Q407" s="291" t="s">
        <v>2683</v>
      </c>
      <c r="R407" s="458">
        <v>1750</v>
      </c>
      <c r="S407" s="404">
        <v>27.5</v>
      </c>
      <c r="T407" s="459">
        <f t="shared" si="163"/>
        <v>48125</v>
      </c>
      <c r="U407" s="298"/>
      <c r="V407" s="288"/>
      <c r="W407" s="296"/>
      <c r="X407" s="293"/>
      <c r="Y407" s="293"/>
      <c r="Z407" s="318"/>
      <c r="AA407" s="293"/>
      <c r="AB407" s="293"/>
      <c r="AC407" s="298"/>
      <c r="AD407" s="298"/>
      <c r="AE407" s="512"/>
      <c r="AF407" s="513"/>
      <c r="AG407" s="514"/>
      <c r="AH407" s="514"/>
      <c r="AI407" s="514"/>
      <c r="AJ407" s="514"/>
      <c r="AK407" s="514"/>
      <c r="AL407" s="514"/>
      <c r="AM407" s="515"/>
      <c r="AN407" s="299"/>
      <c r="AO407" s="296"/>
      <c r="AP407" s="274"/>
      <c r="AQ407" s="275"/>
      <c r="AR407" s="275"/>
      <c r="AS407" s="280"/>
    </row>
    <row r="408" spans="2:45" x14ac:dyDescent="0.3">
      <c r="B408" s="287">
        <f t="shared" si="175"/>
        <v>404</v>
      </c>
      <c r="C408" s="272" t="s">
        <v>174</v>
      </c>
      <c r="D408" s="288" t="str">
        <f t="shared" si="206"/>
        <v>May-26</v>
      </c>
      <c r="E408" s="288" t="s">
        <v>2679</v>
      </c>
      <c r="F408" s="289">
        <v>46157</v>
      </c>
      <c r="G408" s="290" t="s">
        <v>3765</v>
      </c>
      <c r="H408" s="291" t="s">
        <v>196</v>
      </c>
      <c r="I408" s="296" t="s">
        <v>2680</v>
      </c>
      <c r="J408" s="387" t="s">
        <v>3774</v>
      </c>
      <c r="K408" s="289">
        <v>46125</v>
      </c>
      <c r="L408" s="291" t="s">
        <v>3775</v>
      </c>
      <c r="M408" s="289">
        <v>46157</v>
      </c>
      <c r="N408" s="291" t="s">
        <v>255</v>
      </c>
      <c r="O408" s="296" t="s">
        <v>329</v>
      </c>
      <c r="P408" s="295" t="s">
        <v>2754</v>
      </c>
      <c r="Q408" s="291" t="s">
        <v>2683</v>
      </c>
      <c r="R408" s="458">
        <v>9270</v>
      </c>
      <c r="S408" s="404">
        <v>27.545999999999999</v>
      </c>
      <c r="T408" s="459">
        <f t="shared" si="163"/>
        <v>255351.41999999998</v>
      </c>
      <c r="U408" s="298"/>
      <c r="V408" s="288"/>
      <c r="W408" s="296"/>
      <c r="X408" s="293"/>
      <c r="Y408" s="293"/>
      <c r="Z408" s="318"/>
      <c r="AA408" s="293"/>
      <c r="AB408" s="293"/>
      <c r="AC408" s="298"/>
      <c r="AD408" s="298"/>
      <c r="AE408" s="512"/>
      <c r="AF408" s="513"/>
      <c r="AG408" s="514"/>
      <c r="AH408" s="514"/>
      <c r="AI408" s="514"/>
      <c r="AJ408" s="514"/>
      <c r="AK408" s="514"/>
      <c r="AL408" s="514"/>
      <c r="AM408" s="515"/>
      <c r="AN408" s="299"/>
      <c r="AO408" s="296"/>
      <c r="AP408" s="274"/>
      <c r="AQ408" s="275"/>
      <c r="AR408" s="275"/>
      <c r="AS408" s="280"/>
    </row>
    <row r="409" spans="2:45" x14ac:dyDescent="0.3">
      <c r="B409" s="287">
        <f t="shared" si="175"/>
        <v>405</v>
      </c>
      <c r="C409" s="272" t="s">
        <v>174</v>
      </c>
      <c r="D409" s="288" t="str">
        <f t="shared" si="206"/>
        <v>May-26</v>
      </c>
      <c r="E409" s="288" t="s">
        <v>2679</v>
      </c>
      <c r="F409" s="289">
        <v>46166</v>
      </c>
      <c r="G409" s="290" t="s">
        <v>3766</v>
      </c>
      <c r="H409" s="291" t="s">
        <v>196</v>
      </c>
      <c r="I409" s="296" t="s">
        <v>2680</v>
      </c>
      <c r="J409" s="387" t="s">
        <v>3776</v>
      </c>
      <c r="K409" s="289">
        <v>46166</v>
      </c>
      <c r="L409" s="291" t="s">
        <v>3777</v>
      </c>
      <c r="M409" s="289">
        <v>46167</v>
      </c>
      <c r="N409" s="291" t="s">
        <v>255</v>
      </c>
      <c r="O409" s="296" t="s">
        <v>329</v>
      </c>
      <c r="P409" s="295" t="s">
        <v>2754</v>
      </c>
      <c r="Q409" s="291" t="s">
        <v>2683</v>
      </c>
      <c r="R409" s="458">
        <v>4500</v>
      </c>
      <c r="S409" s="404">
        <v>26.47</v>
      </c>
      <c r="T409" s="459">
        <f t="shared" si="163"/>
        <v>119115</v>
      </c>
      <c r="U409" s="298"/>
      <c r="V409" s="288"/>
      <c r="W409" s="296"/>
      <c r="X409" s="293"/>
      <c r="Y409" s="293"/>
      <c r="Z409" s="318"/>
      <c r="AA409" s="293"/>
      <c r="AB409" s="293"/>
      <c r="AC409" s="298"/>
      <c r="AD409" s="298"/>
      <c r="AE409" s="512"/>
      <c r="AF409" s="513"/>
      <c r="AG409" s="514"/>
      <c r="AH409" s="514"/>
      <c r="AI409" s="514"/>
      <c r="AJ409" s="514"/>
      <c r="AK409" s="514"/>
      <c r="AL409" s="514"/>
      <c r="AM409" s="515"/>
      <c r="AN409" s="299"/>
      <c r="AO409" s="296"/>
      <c r="AP409" s="274"/>
      <c r="AQ409" s="275"/>
      <c r="AR409" s="275"/>
      <c r="AS409" s="280"/>
    </row>
    <row r="410" spans="2:45" x14ac:dyDescent="0.3">
      <c r="B410" s="287">
        <f t="shared" si="175"/>
        <v>406</v>
      </c>
      <c r="C410" s="272" t="s">
        <v>174</v>
      </c>
      <c r="D410" s="288" t="str">
        <f t="shared" si="206"/>
        <v>May-26</v>
      </c>
      <c r="E410" s="288" t="s">
        <v>2679</v>
      </c>
      <c r="F410" s="289">
        <v>46168</v>
      </c>
      <c r="G410" s="290" t="s">
        <v>3767</v>
      </c>
      <c r="H410" s="291" t="s">
        <v>196</v>
      </c>
      <c r="I410" s="296" t="s">
        <v>2680</v>
      </c>
      <c r="J410" s="387" t="s">
        <v>3778</v>
      </c>
      <c r="K410" s="289">
        <v>46168</v>
      </c>
      <c r="L410" s="291" t="s">
        <v>3779</v>
      </c>
      <c r="M410" s="289">
        <v>46168</v>
      </c>
      <c r="N410" s="291" t="s">
        <v>255</v>
      </c>
      <c r="O410" s="296" t="s">
        <v>329</v>
      </c>
      <c r="P410" s="295" t="s">
        <v>2754</v>
      </c>
      <c r="Q410" s="291" t="s">
        <v>2683</v>
      </c>
      <c r="R410" s="458">
        <v>19324</v>
      </c>
      <c r="S410" s="404">
        <v>28.658000000000001</v>
      </c>
      <c r="T410" s="459">
        <f t="shared" si="163"/>
        <v>553787.19200000004</v>
      </c>
      <c r="U410" s="298"/>
      <c r="V410" s="288"/>
      <c r="W410" s="296"/>
      <c r="X410" s="293"/>
      <c r="Y410" s="293"/>
      <c r="Z410" s="318"/>
      <c r="AA410" s="293"/>
      <c r="AB410" s="293"/>
      <c r="AC410" s="298"/>
      <c r="AD410" s="298"/>
      <c r="AE410" s="512"/>
      <c r="AF410" s="513"/>
      <c r="AG410" s="514"/>
      <c r="AH410" s="514"/>
      <c r="AI410" s="514"/>
      <c r="AJ410" s="514"/>
      <c r="AK410" s="514"/>
      <c r="AL410" s="514"/>
      <c r="AM410" s="515"/>
      <c r="AN410" s="299"/>
      <c r="AO410" s="296"/>
      <c r="AP410" s="274"/>
      <c r="AQ410" s="275"/>
      <c r="AR410" s="275"/>
      <c r="AS410" s="280"/>
    </row>
    <row r="411" spans="2:45" x14ac:dyDescent="0.3">
      <c r="B411" s="287">
        <f t="shared" si="175"/>
        <v>407</v>
      </c>
      <c r="C411" s="272" t="s">
        <v>174</v>
      </c>
      <c r="D411" s="288" t="str">
        <f t="shared" ref="D411:D415" si="207">TEXT(F411,"mmm-yy")</f>
        <v>Jun-26</v>
      </c>
      <c r="E411" s="288"/>
      <c r="F411" s="289">
        <v>46184</v>
      </c>
      <c r="G411" s="290" t="s">
        <v>3985</v>
      </c>
      <c r="H411" s="291" t="s">
        <v>3986</v>
      </c>
      <c r="I411" s="296" t="s">
        <v>3990</v>
      </c>
      <c r="J411" s="387" t="s">
        <v>3991</v>
      </c>
      <c r="K411" s="289">
        <v>46184</v>
      </c>
      <c r="L411" s="291" t="s">
        <v>3984</v>
      </c>
      <c r="M411" s="289">
        <v>46185</v>
      </c>
      <c r="N411" s="291" t="s">
        <v>255</v>
      </c>
      <c r="O411" s="296" t="s">
        <v>4000</v>
      </c>
      <c r="P411" s="295" t="s">
        <v>2754</v>
      </c>
      <c r="Q411" s="291" t="s">
        <v>4003</v>
      </c>
      <c r="R411" s="458">
        <v>2650</v>
      </c>
      <c r="S411" s="404">
        <v>28.1</v>
      </c>
      <c r="T411" s="459">
        <f t="shared" si="163"/>
        <v>74465</v>
      </c>
      <c r="U411" s="298"/>
      <c r="V411" s="288"/>
      <c r="W411" s="296"/>
      <c r="X411" s="293"/>
      <c r="Y411" s="293"/>
      <c r="Z411" s="318"/>
      <c r="AA411" s="293"/>
      <c r="AB411" s="293"/>
      <c r="AC411" s="298"/>
      <c r="AD411" s="298"/>
      <c r="AE411" s="512"/>
      <c r="AF411" s="513"/>
      <c r="AG411" s="514"/>
      <c r="AH411" s="514"/>
      <c r="AI411" s="514"/>
      <c r="AJ411" s="514"/>
      <c r="AK411" s="514"/>
      <c r="AL411" s="514"/>
      <c r="AM411" s="515"/>
      <c r="AN411" s="299"/>
      <c r="AO411" s="296"/>
      <c r="AP411" s="274"/>
      <c r="AQ411" s="275"/>
      <c r="AR411" s="275"/>
      <c r="AS411" s="280"/>
    </row>
    <row r="412" spans="2:45" x14ac:dyDescent="0.3">
      <c r="B412" s="287">
        <f t="shared" si="175"/>
        <v>408</v>
      </c>
      <c r="C412" s="272" t="s">
        <v>174</v>
      </c>
      <c r="D412" s="288" t="str">
        <f t="shared" si="207"/>
        <v>Jun-26</v>
      </c>
      <c r="E412" s="288"/>
      <c r="F412" s="289">
        <v>46185</v>
      </c>
      <c r="G412" s="290" t="s">
        <v>3974</v>
      </c>
      <c r="H412" s="291" t="s">
        <v>196</v>
      </c>
      <c r="I412" s="296" t="s">
        <v>2680</v>
      </c>
      <c r="J412" s="387" t="s">
        <v>3992</v>
      </c>
      <c r="K412" s="289">
        <v>46183</v>
      </c>
      <c r="L412" s="291" t="s">
        <v>3996</v>
      </c>
      <c r="M412" s="289">
        <v>46185</v>
      </c>
      <c r="N412" s="291" t="s">
        <v>255</v>
      </c>
      <c r="O412" s="296" t="s">
        <v>329</v>
      </c>
      <c r="P412" s="295" t="s">
        <v>2754</v>
      </c>
      <c r="Q412" s="291" t="s">
        <v>2683</v>
      </c>
      <c r="R412" s="458">
        <v>43925</v>
      </c>
      <c r="S412" s="404">
        <v>27.827000000000002</v>
      </c>
      <c r="T412" s="459">
        <f t="shared" si="163"/>
        <v>1222300.9750000001</v>
      </c>
      <c r="U412" s="298"/>
      <c r="V412" s="288"/>
      <c r="W412" s="296"/>
      <c r="X412" s="293"/>
      <c r="Y412" s="293"/>
      <c r="Z412" s="318"/>
      <c r="AA412" s="293"/>
      <c r="AB412" s="293"/>
      <c r="AC412" s="298"/>
      <c r="AD412" s="298"/>
      <c r="AE412" s="512"/>
      <c r="AF412" s="513"/>
      <c r="AG412" s="514"/>
      <c r="AH412" s="514"/>
      <c r="AI412" s="514"/>
      <c r="AJ412" s="514"/>
      <c r="AK412" s="514"/>
      <c r="AL412" s="514"/>
      <c r="AM412" s="515"/>
      <c r="AN412" s="299"/>
      <c r="AO412" s="296"/>
      <c r="AP412" s="274"/>
      <c r="AQ412" s="275"/>
      <c r="AR412" s="275"/>
      <c r="AS412" s="280"/>
    </row>
    <row r="413" spans="2:45" x14ac:dyDescent="0.3">
      <c r="B413" s="287">
        <f t="shared" si="175"/>
        <v>409</v>
      </c>
      <c r="C413" s="272" t="s">
        <v>174</v>
      </c>
      <c r="D413" s="288" t="str">
        <f t="shared" si="207"/>
        <v>Jun-26</v>
      </c>
      <c r="E413" s="288"/>
      <c r="F413" s="289">
        <v>46191</v>
      </c>
      <c r="G413" s="290" t="s">
        <v>3987</v>
      </c>
      <c r="H413" s="291" t="s">
        <v>3986</v>
      </c>
      <c r="I413" s="296" t="s">
        <v>3990</v>
      </c>
      <c r="J413" s="387" t="s">
        <v>3993</v>
      </c>
      <c r="K413" s="289">
        <v>46191</v>
      </c>
      <c r="L413" s="291" t="s">
        <v>3997</v>
      </c>
      <c r="M413" s="289">
        <v>46193</v>
      </c>
      <c r="N413" s="291" t="s">
        <v>255</v>
      </c>
      <c r="O413" s="296" t="s">
        <v>4001</v>
      </c>
      <c r="P413" s="295" t="s">
        <v>2754</v>
      </c>
      <c r="Q413" s="291" t="s">
        <v>4003</v>
      </c>
      <c r="R413" s="458">
        <v>740</v>
      </c>
      <c r="S413" s="404">
        <v>28.1</v>
      </c>
      <c r="T413" s="459">
        <f t="shared" si="163"/>
        <v>20794</v>
      </c>
      <c r="U413" s="298"/>
      <c r="V413" s="288"/>
      <c r="W413" s="296"/>
      <c r="X413" s="293"/>
      <c r="Y413" s="293"/>
      <c r="Z413" s="318"/>
      <c r="AA413" s="293"/>
      <c r="AB413" s="293"/>
      <c r="AC413" s="298"/>
      <c r="AD413" s="298"/>
      <c r="AE413" s="512"/>
      <c r="AF413" s="513"/>
      <c r="AG413" s="514"/>
      <c r="AH413" s="514"/>
      <c r="AI413" s="514"/>
      <c r="AJ413" s="514"/>
      <c r="AK413" s="514"/>
      <c r="AL413" s="514"/>
      <c r="AM413" s="515"/>
      <c r="AN413" s="299"/>
      <c r="AO413" s="296"/>
      <c r="AP413" s="274"/>
      <c r="AQ413" s="275"/>
      <c r="AR413" s="275"/>
      <c r="AS413" s="280"/>
    </row>
    <row r="414" spans="2:45" x14ac:dyDescent="0.3">
      <c r="B414" s="287">
        <f t="shared" si="175"/>
        <v>410</v>
      </c>
      <c r="C414" s="272" t="s">
        <v>174</v>
      </c>
      <c r="D414" s="288" t="str">
        <f t="shared" si="207"/>
        <v>Jun-26</v>
      </c>
      <c r="E414" s="288"/>
      <c r="F414" s="289">
        <v>46191</v>
      </c>
      <c r="G414" s="290" t="s">
        <v>3988</v>
      </c>
      <c r="H414" s="291" t="s">
        <v>3986</v>
      </c>
      <c r="I414" s="296" t="s">
        <v>3990</v>
      </c>
      <c r="J414" s="387" t="s">
        <v>3994</v>
      </c>
      <c r="K414" s="289">
        <v>46191</v>
      </c>
      <c r="L414" s="291" t="s">
        <v>3998</v>
      </c>
      <c r="M414" s="289">
        <v>46193</v>
      </c>
      <c r="N414" s="291" t="s">
        <v>255</v>
      </c>
      <c r="O414" s="296" t="s">
        <v>4001</v>
      </c>
      <c r="P414" s="295" t="s">
        <v>2754</v>
      </c>
      <c r="Q414" s="291" t="s">
        <v>4004</v>
      </c>
      <c r="R414" s="458">
        <v>3860</v>
      </c>
      <c r="S414" s="404">
        <v>27.6</v>
      </c>
      <c r="T414" s="459">
        <f t="shared" si="163"/>
        <v>106536</v>
      </c>
      <c r="U414" s="298"/>
      <c r="V414" s="288"/>
      <c r="W414" s="296"/>
      <c r="X414" s="293"/>
      <c r="Y414" s="293"/>
      <c r="Z414" s="318"/>
      <c r="AA414" s="293"/>
      <c r="AB414" s="293"/>
      <c r="AC414" s="298"/>
      <c r="AD414" s="298"/>
      <c r="AE414" s="512"/>
      <c r="AF414" s="513"/>
      <c r="AG414" s="514"/>
      <c r="AH414" s="514"/>
      <c r="AI414" s="514"/>
      <c r="AJ414" s="514"/>
      <c r="AK414" s="514"/>
      <c r="AL414" s="514"/>
      <c r="AM414" s="515"/>
      <c r="AN414" s="299"/>
      <c r="AO414" s="296"/>
      <c r="AP414" s="274"/>
      <c r="AQ414" s="275"/>
      <c r="AR414" s="275"/>
      <c r="AS414" s="280"/>
    </row>
    <row r="415" spans="2:45" x14ac:dyDescent="0.3">
      <c r="B415" s="287">
        <f t="shared" si="175"/>
        <v>411</v>
      </c>
      <c r="C415" s="272" t="s">
        <v>174</v>
      </c>
      <c r="D415" s="288" t="str">
        <f t="shared" si="207"/>
        <v>Jun-26</v>
      </c>
      <c r="E415" s="288"/>
      <c r="F415" s="289">
        <v>46191</v>
      </c>
      <c r="G415" s="290" t="s">
        <v>3989</v>
      </c>
      <c r="H415" s="291" t="s">
        <v>3986</v>
      </c>
      <c r="I415" s="296" t="s">
        <v>3990</v>
      </c>
      <c r="J415" s="387" t="s">
        <v>3995</v>
      </c>
      <c r="K415" s="289">
        <v>46191</v>
      </c>
      <c r="L415" s="291" t="s">
        <v>3999</v>
      </c>
      <c r="M415" s="289">
        <v>46193</v>
      </c>
      <c r="N415" s="291" t="s">
        <v>255</v>
      </c>
      <c r="O415" s="296" t="s">
        <v>4002</v>
      </c>
      <c r="P415" s="295" t="s">
        <v>2754</v>
      </c>
      <c r="Q415" s="291" t="s">
        <v>4003</v>
      </c>
      <c r="R415" s="458">
        <v>2060</v>
      </c>
      <c r="S415" s="404">
        <v>28.1</v>
      </c>
      <c r="T415" s="459">
        <f t="shared" si="163"/>
        <v>57886</v>
      </c>
      <c r="U415" s="298"/>
      <c r="V415" s="288"/>
      <c r="W415" s="296"/>
      <c r="X415" s="293"/>
      <c r="Y415" s="293"/>
      <c r="Z415" s="318"/>
      <c r="AA415" s="293"/>
      <c r="AB415" s="293"/>
      <c r="AC415" s="298"/>
      <c r="AD415" s="298"/>
      <c r="AE415" s="512"/>
      <c r="AF415" s="513"/>
      <c r="AG415" s="514"/>
      <c r="AH415" s="514"/>
      <c r="AI415" s="514"/>
      <c r="AJ415" s="514"/>
      <c r="AK415" s="514"/>
      <c r="AL415" s="514"/>
      <c r="AM415" s="515"/>
      <c r="AN415" s="299"/>
      <c r="AO415" s="296"/>
      <c r="AP415" s="274"/>
      <c r="AQ415" s="275"/>
      <c r="AR415" s="275"/>
      <c r="AS415" s="280"/>
    </row>
    <row r="416" spans="2:45" x14ac:dyDescent="0.3">
      <c r="B416" s="287">
        <f t="shared" si="175"/>
        <v>412</v>
      </c>
      <c r="C416" s="272" t="s">
        <v>174</v>
      </c>
      <c r="D416" s="288" t="str">
        <f t="shared" ref="D416" si="208">TEXT(F416,"mmm-yy")</f>
        <v>Jun-26</v>
      </c>
      <c r="E416" s="288"/>
      <c r="F416" s="289">
        <v>46193</v>
      </c>
      <c r="G416" s="290" t="s">
        <v>4106</v>
      </c>
      <c r="H416" s="291" t="s">
        <v>3986</v>
      </c>
      <c r="I416" s="296" t="s">
        <v>3990</v>
      </c>
      <c r="J416" s="387" t="s">
        <v>4107</v>
      </c>
      <c r="K416" s="289">
        <v>46193</v>
      </c>
      <c r="L416" s="291" t="s">
        <v>4108</v>
      </c>
      <c r="M416" s="289">
        <v>46197</v>
      </c>
      <c r="N416" s="291" t="s">
        <v>255</v>
      </c>
      <c r="O416" s="296" t="s">
        <v>4000</v>
      </c>
      <c r="P416" s="295" t="s">
        <v>2754</v>
      </c>
      <c r="Q416" s="291" t="s">
        <v>4003</v>
      </c>
      <c r="R416" s="458">
        <v>2520</v>
      </c>
      <c r="S416" s="404">
        <v>28.1</v>
      </c>
      <c r="T416" s="459">
        <f t="shared" si="163"/>
        <v>70812</v>
      </c>
      <c r="U416" s="298"/>
      <c r="V416" s="288"/>
      <c r="W416" s="296"/>
      <c r="X416" s="293"/>
      <c r="Y416" s="293"/>
      <c r="Z416" s="318"/>
      <c r="AA416" s="293"/>
      <c r="AB416" s="293"/>
      <c r="AC416" s="298"/>
      <c r="AD416" s="298"/>
      <c r="AE416" s="512"/>
      <c r="AF416" s="513"/>
      <c r="AG416" s="514"/>
      <c r="AH416" s="514"/>
      <c r="AI416" s="514"/>
      <c r="AJ416" s="514"/>
      <c r="AK416" s="514"/>
      <c r="AL416" s="514"/>
      <c r="AM416" s="515"/>
      <c r="AN416" s="299"/>
      <c r="AO416" s="296"/>
      <c r="AP416" s="274"/>
      <c r="AQ416" s="275"/>
      <c r="AR416" s="275"/>
      <c r="AS416" s="280"/>
    </row>
    <row r="417" spans="2:45" x14ac:dyDescent="0.3">
      <c r="B417" s="287">
        <f t="shared" si="175"/>
        <v>413</v>
      </c>
      <c r="C417" s="272" t="s">
        <v>174</v>
      </c>
      <c r="D417" s="288" t="str">
        <f t="shared" ref="D417:D420" si="209">TEXT(F417,"mmm-yy")</f>
        <v>Jun-26</v>
      </c>
      <c r="E417" s="288"/>
      <c r="F417" s="289">
        <v>46199</v>
      </c>
      <c r="G417" s="290" t="s">
        <v>4139</v>
      </c>
      <c r="H417" s="291" t="s">
        <v>3986</v>
      </c>
      <c r="I417" s="296" t="s">
        <v>3990</v>
      </c>
      <c r="J417" s="387" t="s">
        <v>4140</v>
      </c>
      <c r="K417" s="289">
        <v>46199</v>
      </c>
      <c r="L417" s="291" t="s">
        <v>4141</v>
      </c>
      <c r="M417" s="289">
        <v>46202</v>
      </c>
      <c r="N417" s="291" t="s">
        <v>255</v>
      </c>
      <c r="O417" s="296" t="s">
        <v>4002</v>
      </c>
      <c r="P417" s="295" t="s">
        <v>2754</v>
      </c>
      <c r="Q417" s="295" t="s">
        <v>4003</v>
      </c>
      <c r="R417" s="458">
        <v>2750</v>
      </c>
      <c r="S417" s="404">
        <v>28.1</v>
      </c>
      <c r="T417" s="459">
        <f t="shared" ref="T417:T420" si="210">R417*S417</f>
        <v>77275</v>
      </c>
      <c r="U417" s="298"/>
      <c r="V417" s="288"/>
      <c r="W417" s="296"/>
      <c r="X417" s="293"/>
      <c r="Y417" s="293"/>
      <c r="Z417" s="318"/>
      <c r="AA417" s="293"/>
      <c r="AB417" s="293"/>
      <c r="AC417" s="298"/>
      <c r="AD417" s="298"/>
      <c r="AE417" s="512"/>
      <c r="AF417" s="513"/>
      <c r="AG417" s="514"/>
      <c r="AH417" s="514"/>
      <c r="AI417" s="514"/>
      <c r="AJ417" s="514"/>
      <c r="AK417" s="514"/>
      <c r="AL417" s="514"/>
      <c r="AM417" s="515"/>
      <c r="AN417" s="299"/>
      <c r="AO417" s="296"/>
      <c r="AP417" s="274"/>
      <c r="AQ417" s="275"/>
      <c r="AR417" s="275"/>
      <c r="AS417" s="280"/>
    </row>
    <row r="418" spans="2:45" x14ac:dyDescent="0.3">
      <c r="B418" s="287">
        <f t="shared" si="175"/>
        <v>414</v>
      </c>
      <c r="C418" s="272" t="s">
        <v>174</v>
      </c>
      <c r="D418" s="288" t="str">
        <f t="shared" si="209"/>
        <v>Jun-26</v>
      </c>
      <c r="E418" s="288"/>
      <c r="F418" s="289">
        <v>46202</v>
      </c>
      <c r="G418" s="290" t="s">
        <v>4142</v>
      </c>
      <c r="H418" s="291" t="s">
        <v>3986</v>
      </c>
      <c r="I418" s="296" t="s">
        <v>3990</v>
      </c>
      <c r="J418" s="387" t="s">
        <v>4143</v>
      </c>
      <c r="K418" s="289">
        <v>46202</v>
      </c>
      <c r="L418" s="291" t="s">
        <v>4144</v>
      </c>
      <c r="M418" s="289">
        <v>46203</v>
      </c>
      <c r="N418" s="291" t="s">
        <v>255</v>
      </c>
      <c r="O418" s="296" t="s">
        <v>4002</v>
      </c>
      <c r="P418" s="295" t="s">
        <v>2754</v>
      </c>
      <c r="Q418" s="295" t="s">
        <v>4003</v>
      </c>
      <c r="R418" s="458">
        <v>2320</v>
      </c>
      <c r="S418" s="404">
        <v>28.1</v>
      </c>
      <c r="T418" s="459">
        <f t="shared" si="210"/>
        <v>65192</v>
      </c>
      <c r="U418" s="298"/>
      <c r="V418" s="288"/>
      <c r="W418" s="296"/>
      <c r="X418" s="293"/>
      <c r="Y418" s="293"/>
      <c r="Z418" s="318"/>
      <c r="AA418" s="293"/>
      <c r="AB418" s="293"/>
      <c r="AC418" s="298"/>
      <c r="AD418" s="298"/>
      <c r="AE418" s="512"/>
      <c r="AF418" s="513"/>
      <c r="AG418" s="514"/>
      <c r="AH418" s="514"/>
      <c r="AI418" s="514"/>
      <c r="AJ418" s="514"/>
      <c r="AK418" s="514"/>
      <c r="AL418" s="514"/>
      <c r="AM418" s="515"/>
      <c r="AN418" s="299"/>
      <c r="AO418" s="296"/>
      <c r="AP418" s="274"/>
      <c r="AQ418" s="275"/>
      <c r="AR418" s="275"/>
      <c r="AS418" s="280"/>
    </row>
    <row r="419" spans="2:45" x14ac:dyDescent="0.3">
      <c r="B419" s="287">
        <f t="shared" si="175"/>
        <v>415</v>
      </c>
      <c r="C419" s="272" t="s">
        <v>174</v>
      </c>
      <c r="D419" s="288" t="str">
        <f t="shared" si="209"/>
        <v>Jun-26</v>
      </c>
      <c r="E419" s="288"/>
      <c r="F419" s="289">
        <v>46203</v>
      </c>
      <c r="G419" s="290" t="s">
        <v>4145</v>
      </c>
      <c r="H419" s="291" t="s">
        <v>196</v>
      </c>
      <c r="I419" s="296" t="s">
        <v>2680</v>
      </c>
      <c r="J419" s="387" t="s">
        <v>4146</v>
      </c>
      <c r="K419" s="289">
        <v>46203</v>
      </c>
      <c r="L419" s="291" t="s">
        <v>4147</v>
      </c>
      <c r="M419" s="289">
        <v>46203</v>
      </c>
      <c r="N419" s="291" t="s">
        <v>255</v>
      </c>
      <c r="O419" s="296" t="s">
        <v>329</v>
      </c>
      <c r="P419" s="295" t="s">
        <v>2754</v>
      </c>
      <c r="Q419" s="295" t="s">
        <v>2683</v>
      </c>
      <c r="R419" s="458">
        <v>14837</v>
      </c>
      <c r="S419" s="404">
        <v>26.292999999999999</v>
      </c>
      <c r="T419" s="459">
        <f t="shared" si="210"/>
        <v>390109.24099999998</v>
      </c>
      <c r="U419" s="298"/>
      <c r="V419" s="288"/>
      <c r="W419" s="296"/>
      <c r="X419" s="293"/>
      <c r="Y419" s="293"/>
      <c r="Z419" s="318"/>
      <c r="AA419" s="293"/>
      <c r="AB419" s="293"/>
      <c r="AC419" s="298"/>
      <c r="AD419" s="298"/>
      <c r="AE419" s="512"/>
      <c r="AF419" s="513"/>
      <c r="AG419" s="514"/>
      <c r="AH419" s="514"/>
      <c r="AI419" s="514"/>
      <c r="AJ419" s="514"/>
      <c r="AK419" s="514"/>
      <c r="AL419" s="514"/>
      <c r="AM419" s="515"/>
      <c r="AN419" s="299"/>
      <c r="AO419" s="296"/>
      <c r="AP419" s="274"/>
      <c r="AQ419" s="275"/>
      <c r="AR419" s="275"/>
      <c r="AS419" s="280"/>
    </row>
    <row r="420" spans="2:45" x14ac:dyDescent="0.3">
      <c r="B420" s="287">
        <f t="shared" si="175"/>
        <v>416</v>
      </c>
      <c r="C420" s="272" t="s">
        <v>174</v>
      </c>
      <c r="D420" s="288" t="str">
        <f t="shared" si="209"/>
        <v>Jun-26</v>
      </c>
      <c r="E420" s="288"/>
      <c r="F420" s="289">
        <v>46203</v>
      </c>
      <c r="G420" s="290" t="s">
        <v>4148</v>
      </c>
      <c r="H420" s="291" t="s">
        <v>196</v>
      </c>
      <c r="I420" s="296" t="s">
        <v>2680</v>
      </c>
      <c r="J420" s="387" t="s">
        <v>4149</v>
      </c>
      <c r="K420" s="289">
        <v>46203</v>
      </c>
      <c r="L420" s="291" t="s">
        <v>4150</v>
      </c>
      <c r="M420" s="289">
        <v>46203</v>
      </c>
      <c r="N420" s="291" t="s">
        <v>255</v>
      </c>
      <c r="O420" s="296" t="s">
        <v>329</v>
      </c>
      <c r="P420" s="295" t="s">
        <v>2754</v>
      </c>
      <c r="Q420" s="295" t="s">
        <v>2683</v>
      </c>
      <c r="R420" s="458">
        <v>15900</v>
      </c>
      <c r="S420" s="404">
        <v>27.103000000000002</v>
      </c>
      <c r="T420" s="459">
        <f t="shared" si="210"/>
        <v>430937.7</v>
      </c>
      <c r="U420" s="298"/>
      <c r="V420" s="288"/>
      <c r="W420" s="296"/>
      <c r="X420" s="293"/>
      <c r="Y420" s="293"/>
      <c r="Z420" s="318"/>
      <c r="AA420" s="293"/>
      <c r="AB420" s="293"/>
      <c r="AC420" s="298"/>
      <c r="AD420" s="298"/>
      <c r="AE420" s="512"/>
      <c r="AF420" s="513"/>
      <c r="AG420" s="514"/>
      <c r="AH420" s="514"/>
      <c r="AI420" s="514"/>
      <c r="AJ420" s="514"/>
      <c r="AK420" s="514"/>
      <c r="AL420" s="514"/>
      <c r="AM420" s="515"/>
      <c r="AN420" s="299"/>
      <c r="AO420" s="296"/>
      <c r="AP420" s="274"/>
      <c r="AQ420" s="275"/>
      <c r="AR420" s="275"/>
      <c r="AS420" s="280"/>
    </row>
    <row r="421" spans="2:45" ht="14.4" thickBot="1" x14ac:dyDescent="0.35">
      <c r="B421" s="287"/>
      <c r="D421" s="301"/>
      <c r="E421" s="301"/>
      <c r="F421" s="302"/>
      <c r="G421" s="301"/>
      <c r="I421" s="301"/>
      <c r="K421" s="302"/>
      <c r="M421" s="302"/>
      <c r="O421" s="301"/>
      <c r="R421" s="460"/>
      <c r="S421" s="461"/>
      <c r="T421" s="460"/>
      <c r="U421" s="410"/>
      <c r="V421" s="303"/>
      <c r="W421" s="303"/>
      <c r="X421" s="304"/>
      <c r="Y421" s="303">
        <v>0</v>
      </c>
      <c r="Z421" s="304"/>
      <c r="AA421" s="303"/>
      <c r="AB421" s="303"/>
      <c r="AC421" s="298"/>
      <c r="AD421" s="298"/>
      <c r="AE421" s="518"/>
      <c r="AF421" s="513"/>
      <c r="AG421" s="513"/>
      <c r="AH421" s="513"/>
      <c r="AI421" s="513"/>
      <c r="AJ421" s="513"/>
      <c r="AK421" s="513"/>
      <c r="AL421" s="513"/>
      <c r="AM421" s="517"/>
      <c r="AN421" s="287"/>
      <c r="AO421" s="293"/>
      <c r="AS421" s="300"/>
    </row>
    <row r="422" spans="2:45" s="385" customFormat="1" ht="14.4" thickBot="1" x14ac:dyDescent="0.35">
      <c r="B422" s="405"/>
      <c r="C422" s="388"/>
      <c r="D422" s="388"/>
      <c r="E422" s="388"/>
      <c r="F422" s="388"/>
      <c r="G422" s="388"/>
      <c r="H422" s="388"/>
      <c r="I422" s="388"/>
      <c r="J422" s="388"/>
      <c r="K422" s="388"/>
      <c r="L422" s="388"/>
      <c r="M422" s="388"/>
      <c r="N422" s="388"/>
      <c r="O422" s="388"/>
      <c r="P422" s="388"/>
      <c r="Q422" s="388"/>
      <c r="R422" s="462">
        <f>SUBTOTAL(9,R5:R421)</f>
        <v>4819148</v>
      </c>
      <c r="S422" s="462"/>
      <c r="T422" s="462">
        <f>SUBTOTAL(9,T5:T421)</f>
        <v>160203774.85375997</v>
      </c>
      <c r="U422" s="388"/>
      <c r="V422" s="388"/>
      <c r="W422" s="388"/>
      <c r="X422" s="388"/>
      <c r="Y422" s="388"/>
      <c r="Z422" s="487"/>
      <c r="AA422" s="388"/>
      <c r="AB422" s="388"/>
      <c r="AC422" s="388"/>
      <c r="AD422" s="388"/>
      <c r="AE422" s="388">
        <f>SUBTOTAL(9,AE5:AE421)</f>
        <v>4805642.9000000004</v>
      </c>
      <c r="AF422" s="388"/>
      <c r="AG422" s="388">
        <f t="shared" ref="AG422:AM422" si="211">SUBTOTAL(9,AG5:AG421)</f>
        <v>172912571.75</v>
      </c>
      <c r="AH422" s="388">
        <f t="shared" si="211"/>
        <v>-4285489.08</v>
      </c>
      <c r="AI422" s="388">
        <f t="shared" si="211"/>
        <v>168627082.66999999</v>
      </c>
      <c r="AJ422" s="388">
        <f t="shared" si="211"/>
        <v>107365</v>
      </c>
      <c r="AK422" s="388">
        <f t="shared" si="211"/>
        <v>4698277.9000000004</v>
      </c>
      <c r="AL422" s="388">
        <f t="shared" si="211"/>
        <v>159807995.29587972</v>
      </c>
      <c r="AM422" s="388">
        <f t="shared" si="211"/>
        <v>8819087.3741201963</v>
      </c>
      <c r="AN422" s="405"/>
      <c r="AO422" s="388">
        <f>SUBTOTAL(9,AO5:AO421)</f>
        <v>160342249.80170473</v>
      </c>
      <c r="AP422" s="388"/>
      <c r="AQ422" s="388">
        <f>SUBTOTAL(9,AQ5:AQ421)</f>
        <v>2891654.352279691</v>
      </c>
      <c r="AR422" s="388">
        <f>SUBTOTAL(9,AR5:AR421)</f>
        <v>5927433.0218405053</v>
      </c>
      <c r="AS422" s="406"/>
    </row>
    <row r="423" spans="2:45" s="276" customFormat="1" x14ac:dyDescent="0.3">
      <c r="F423" s="277"/>
      <c r="J423" s="385"/>
      <c r="K423" s="277"/>
      <c r="M423" s="277"/>
      <c r="R423" s="278"/>
      <c r="S423" s="383"/>
      <c r="T423" s="278"/>
      <c r="U423" s="277"/>
      <c r="V423" s="321"/>
      <c r="W423" s="321"/>
      <c r="X423" s="277"/>
      <c r="Y423" s="277"/>
      <c r="Z423" s="277"/>
      <c r="AA423" s="321"/>
      <c r="AB423" s="321"/>
      <c r="AC423" s="321"/>
      <c r="AD423" s="321"/>
      <c r="AE423" s="385"/>
      <c r="AF423" s="385"/>
      <c r="AG423" s="385"/>
      <c r="AH423" s="385"/>
      <c r="AI423" s="385"/>
      <c r="AJ423" s="385"/>
      <c r="AK423" s="385"/>
      <c r="AL423" s="385"/>
      <c r="AM423" s="385"/>
      <c r="AN423" s="321"/>
      <c r="AO423" s="321"/>
      <c r="AP423" s="321"/>
      <c r="AQ423" s="321"/>
      <c r="AR423" s="321"/>
      <c r="AS423" s="321"/>
    </row>
    <row r="424" spans="2:45" s="276" customFormat="1" ht="14.4" thickBot="1" x14ac:dyDescent="0.35">
      <c r="F424" s="277"/>
      <c r="J424" s="385"/>
      <c r="K424" s="277"/>
      <c r="M424" s="277"/>
      <c r="R424" s="278"/>
      <c r="S424" s="383"/>
      <c r="T424" s="278"/>
      <c r="U424" s="277"/>
      <c r="V424" s="321"/>
      <c r="W424" s="321"/>
      <c r="X424" s="277"/>
      <c r="Y424" s="277"/>
      <c r="Z424" s="277"/>
      <c r="AA424" s="321"/>
      <c r="AB424" s="321"/>
      <c r="AC424" s="321"/>
      <c r="AD424" s="321"/>
      <c r="AE424" s="385"/>
      <c r="AF424" s="385"/>
      <c r="AG424" s="385"/>
      <c r="AH424" s="385"/>
      <c r="AI424" s="385"/>
      <c r="AJ424" s="385"/>
      <c r="AK424" s="385"/>
      <c r="AL424" s="385"/>
      <c r="AM424" s="385"/>
      <c r="AN424" s="321"/>
      <c r="AO424" s="321"/>
      <c r="AP424" s="321"/>
      <c r="AQ424" s="321"/>
      <c r="AR424" s="321"/>
      <c r="AS424" s="321"/>
    </row>
    <row r="425" spans="2:45" s="276" customFormat="1" ht="14.4" thickBot="1" x14ac:dyDescent="0.35">
      <c r="F425" s="277"/>
      <c r="J425" s="385"/>
      <c r="K425" s="277"/>
      <c r="M425" s="277"/>
      <c r="R425" s="393" t="s">
        <v>2</v>
      </c>
      <c r="S425" s="390" t="s">
        <v>52</v>
      </c>
      <c r="T425" s="321"/>
      <c r="U425" s="277"/>
      <c r="V425" s="321"/>
      <c r="W425" s="321"/>
      <c r="X425" s="277"/>
      <c r="Y425" s="277"/>
      <c r="Z425" s="277"/>
      <c r="AA425" s="321"/>
      <c r="AB425" s="321"/>
      <c r="AC425" s="321"/>
      <c r="AD425" s="321"/>
      <c r="AE425" s="385"/>
      <c r="AF425" s="519" t="s">
        <v>1</v>
      </c>
      <c r="AG425" s="520" t="s">
        <v>52</v>
      </c>
      <c r="AH425" s="506"/>
      <c r="AI425" s="385"/>
      <c r="AJ425" s="385"/>
      <c r="AK425" s="385"/>
      <c r="AL425" s="385"/>
      <c r="AM425" s="385"/>
      <c r="AN425" s="321"/>
      <c r="AO425" s="321"/>
      <c r="AP425" s="321"/>
      <c r="AQ425" s="321"/>
      <c r="AR425" s="321"/>
      <c r="AS425" s="321"/>
    </row>
    <row r="426" spans="2:45" s="276" customFormat="1" x14ac:dyDescent="0.3">
      <c r="F426" s="277"/>
      <c r="J426" s="385"/>
      <c r="K426" s="277"/>
      <c r="M426" s="277"/>
      <c r="R426" s="394" t="s">
        <v>924</v>
      </c>
      <c r="S426" s="294">
        <f>T422+T433</f>
        <v>166527577.22875997</v>
      </c>
      <c r="T426" s="321"/>
      <c r="U426" s="277"/>
      <c r="V426" s="321"/>
      <c r="W426" s="321"/>
      <c r="X426" s="277"/>
      <c r="Y426" s="277"/>
      <c r="Z426" s="277"/>
      <c r="AA426" s="321"/>
      <c r="AB426" s="321"/>
      <c r="AC426" s="321"/>
      <c r="AD426" s="321"/>
      <c r="AE426" s="385"/>
      <c r="AF426" s="521" t="s">
        <v>925</v>
      </c>
      <c r="AG426" s="396">
        <f>AG422+AH422+AG433-'Recon Items'!C30</f>
        <v>168853160.25999999</v>
      </c>
      <c r="AH426" s="384"/>
      <c r="AI426" s="385"/>
      <c r="AJ426" s="385"/>
      <c r="AK426" s="385"/>
      <c r="AL426" s="385"/>
      <c r="AM426" s="385"/>
      <c r="AN426" s="321"/>
      <c r="AO426" s="321"/>
      <c r="AP426" s="321"/>
      <c r="AQ426" s="321"/>
      <c r="AR426" s="321"/>
      <c r="AS426" s="321"/>
    </row>
    <row r="427" spans="2:45" s="276" customFormat="1" x14ac:dyDescent="0.3">
      <c r="F427" s="277"/>
      <c r="J427" s="385"/>
      <c r="K427" s="277"/>
      <c r="M427" s="277"/>
      <c r="R427" s="394">
        <v>0</v>
      </c>
      <c r="S427" s="294">
        <v>0</v>
      </c>
      <c r="T427" s="407">
        <f>Details!P261</f>
        <v>46203</v>
      </c>
      <c r="U427" s="277"/>
      <c r="V427" s="321"/>
      <c r="W427" s="321"/>
      <c r="X427" s="277"/>
      <c r="Y427" s="277"/>
      <c r="Z427" s="277"/>
      <c r="AA427" s="321"/>
      <c r="AB427" s="321"/>
      <c r="AC427" s="321"/>
      <c r="AD427" s="321"/>
      <c r="AE427" s="385"/>
      <c r="AF427" s="522">
        <v>0</v>
      </c>
      <c r="AG427" s="294">
        <v>0</v>
      </c>
      <c r="AH427" s="407">
        <f>T427</f>
        <v>46203</v>
      </c>
      <c r="AI427" s="385"/>
      <c r="AJ427" s="385"/>
      <c r="AK427" s="385"/>
      <c r="AL427" s="385"/>
      <c r="AM427" s="385"/>
      <c r="AN427" s="321"/>
      <c r="AO427" s="321"/>
      <c r="AP427" s="321"/>
      <c r="AQ427" s="321"/>
      <c r="AR427" s="321"/>
      <c r="AS427" s="321"/>
    </row>
    <row r="428" spans="2:45" s="276" customFormat="1" x14ac:dyDescent="0.3">
      <c r="F428" s="277"/>
      <c r="J428" s="385"/>
      <c r="K428" s="277"/>
      <c r="M428" s="277"/>
      <c r="R428" s="394" t="s">
        <v>2687</v>
      </c>
      <c r="S428" s="294">
        <v>32265313</v>
      </c>
      <c r="T428" s="321"/>
      <c r="U428" s="277"/>
      <c r="V428" s="321"/>
      <c r="W428" s="321"/>
      <c r="X428" s="277"/>
      <c r="Y428" s="277"/>
      <c r="Z428" s="277"/>
      <c r="AA428" s="321"/>
      <c r="AB428" s="321"/>
      <c r="AC428" s="321"/>
      <c r="AD428" s="321"/>
      <c r="AE428" s="385"/>
      <c r="AF428" s="521" t="s">
        <v>926</v>
      </c>
      <c r="AG428" s="294">
        <v>15977724.5</v>
      </c>
      <c r="AH428" s="384"/>
      <c r="AI428" s="385"/>
      <c r="AJ428" s="385"/>
      <c r="AK428" s="385"/>
      <c r="AL428" s="385"/>
      <c r="AM428" s="385"/>
      <c r="AN428" s="321"/>
      <c r="AO428" s="321"/>
      <c r="AP428" s="321"/>
      <c r="AQ428" s="321"/>
      <c r="AR428" s="321"/>
      <c r="AS428" s="321"/>
    </row>
    <row r="429" spans="2:45" s="276" customFormat="1" x14ac:dyDescent="0.3">
      <c r="F429" s="277"/>
      <c r="J429" s="385"/>
      <c r="K429" s="277"/>
      <c r="M429" s="277"/>
      <c r="R429" s="394" t="s">
        <v>2686</v>
      </c>
      <c r="S429" s="294">
        <f>SUMIFS('Pune MIS'!L:L,'Pune MIS'!C:C,"FY 2025-26")</f>
        <v>129677263.33076</v>
      </c>
      <c r="T429" s="321"/>
      <c r="U429" s="277"/>
      <c r="V429" s="321"/>
      <c r="W429" s="321"/>
      <c r="X429" s="277"/>
      <c r="Y429" s="277"/>
      <c r="Z429" s="277"/>
      <c r="AA429" s="321"/>
      <c r="AB429" s="321"/>
      <c r="AC429" s="321"/>
      <c r="AD429" s="321"/>
      <c r="AE429" s="385"/>
      <c r="AF429" s="521" t="s">
        <v>927</v>
      </c>
      <c r="AG429" s="294">
        <f>SUMIFS('Pune MIS'!X:X,'Pune MIS'!P:P,"FY 2025-26")</f>
        <v>145217566.78999999</v>
      </c>
      <c r="AH429" s="384"/>
      <c r="AI429" s="385"/>
      <c r="AJ429" s="385"/>
      <c r="AK429" s="385"/>
      <c r="AL429" s="385"/>
      <c r="AM429" s="385"/>
      <c r="AN429" s="321"/>
      <c r="AO429" s="321"/>
      <c r="AP429" s="321"/>
      <c r="AQ429" s="321"/>
      <c r="AR429" s="321"/>
      <c r="AS429" s="321"/>
    </row>
    <row r="430" spans="2:45" s="276" customFormat="1" ht="14.4" thickBot="1" x14ac:dyDescent="0.35">
      <c r="F430" s="277"/>
      <c r="J430" s="385"/>
      <c r="K430" s="277"/>
      <c r="M430" s="277"/>
      <c r="R430" s="394" t="s">
        <v>3270</v>
      </c>
      <c r="S430" s="294">
        <f>SUMIFS('Pune MIS'!L:L,'Pune MIS'!C:C,"FY 2026-27")</f>
        <v>4594089.7280000001</v>
      </c>
      <c r="T430" s="321"/>
      <c r="U430" s="277"/>
      <c r="V430" s="321"/>
      <c r="W430" s="321"/>
      <c r="X430" s="277"/>
      <c r="Y430" s="277"/>
      <c r="Z430" s="277"/>
      <c r="AA430" s="321"/>
      <c r="AB430" s="321"/>
      <c r="AC430" s="321"/>
      <c r="AD430" s="321"/>
      <c r="AE430" s="385"/>
      <c r="AF430" s="394" t="s">
        <v>3270</v>
      </c>
      <c r="AG430" s="294">
        <f>SUMIFS('Pune MIS'!X:X,'Pune MIS'!P:P,"FY 2026-27")</f>
        <v>7656869.6699999999</v>
      </c>
      <c r="AH430" s="384"/>
      <c r="AI430" s="385"/>
      <c r="AJ430" s="385"/>
      <c r="AK430" s="385"/>
      <c r="AL430" s="385"/>
      <c r="AM430" s="385"/>
      <c r="AN430" s="321"/>
      <c r="AO430" s="321"/>
      <c r="AP430" s="321"/>
      <c r="AQ430" s="321"/>
      <c r="AR430" s="321"/>
      <c r="AS430" s="321"/>
    </row>
    <row r="431" spans="2:45" ht="14.4" thickBot="1" x14ac:dyDescent="0.35">
      <c r="R431" s="393" t="s">
        <v>62</v>
      </c>
      <c r="S431" s="390">
        <f>S426-S428-S429-S430-257690</f>
        <v>-266778.83000002801</v>
      </c>
      <c r="T431" s="272"/>
      <c r="AF431" s="519" t="s">
        <v>62</v>
      </c>
      <c r="AG431" s="520">
        <f>AG426-AG428-AG429-AG430</f>
        <v>999.29999999888241</v>
      </c>
      <c r="AH431" s="506"/>
    </row>
    <row r="432" spans="2:45" x14ac:dyDescent="0.3">
      <c r="T432" s="395"/>
      <c r="U432" s="274"/>
      <c r="AG432" s="506"/>
      <c r="AH432" s="506"/>
      <c r="AI432" s="506"/>
    </row>
    <row r="433" spans="2:45" ht="14.4" thickBot="1" x14ac:dyDescent="0.35">
      <c r="T433" s="278">
        <f>SUBTOTAL(9,T435:T522)</f>
        <v>6323802.3750000009</v>
      </c>
      <c r="AG433" s="523">
        <f>SUBTOTAL(9,AG435:AG522)</f>
        <v>226077.59</v>
      </c>
    </row>
    <row r="434" spans="2:45" ht="15" thickBot="1" x14ac:dyDescent="0.35">
      <c r="B434" s="281" t="s">
        <v>538</v>
      </c>
      <c r="C434" s="283" t="s">
        <v>539</v>
      </c>
      <c r="D434" s="282" t="s">
        <v>15</v>
      </c>
      <c r="E434" s="282" t="s">
        <v>2688</v>
      </c>
      <c r="F434" s="282" t="s">
        <v>109</v>
      </c>
      <c r="G434" s="282" t="s">
        <v>209</v>
      </c>
      <c r="H434" s="284" t="s">
        <v>112</v>
      </c>
      <c r="I434" s="282" t="s">
        <v>277</v>
      </c>
      <c r="J434" s="386" t="s">
        <v>110</v>
      </c>
      <c r="K434" s="282" t="s">
        <v>278</v>
      </c>
      <c r="L434" s="284" t="s">
        <v>279</v>
      </c>
      <c r="M434" s="282" t="s">
        <v>540</v>
      </c>
      <c r="N434" s="284" t="s">
        <v>541</v>
      </c>
      <c r="O434" s="282" t="s">
        <v>542</v>
      </c>
      <c r="P434" s="285" t="s">
        <v>3004</v>
      </c>
      <c r="Q434" s="285" t="s">
        <v>543</v>
      </c>
      <c r="R434" s="72" t="s">
        <v>533</v>
      </c>
      <c r="S434" s="412" t="s">
        <v>211</v>
      </c>
      <c r="T434" s="72" t="s">
        <v>545</v>
      </c>
      <c r="U434" s="408"/>
      <c r="V434" s="282" t="s">
        <v>539</v>
      </c>
      <c r="W434" s="282" t="s">
        <v>15</v>
      </c>
      <c r="X434" s="286" t="s">
        <v>547</v>
      </c>
      <c r="Y434" s="284" t="s">
        <v>76</v>
      </c>
      <c r="Z434" s="286" t="s">
        <v>546</v>
      </c>
      <c r="AA434" s="282" t="s">
        <v>548</v>
      </c>
      <c r="AB434" s="282" t="s">
        <v>71</v>
      </c>
      <c r="AC434" s="284"/>
      <c r="AD434" s="284" t="s">
        <v>549</v>
      </c>
      <c r="AE434" s="510" t="s">
        <v>78</v>
      </c>
      <c r="AF434" s="511" t="s">
        <v>211</v>
      </c>
      <c r="AG434" s="524" t="s">
        <v>550</v>
      </c>
      <c r="AH434" s="511" t="s">
        <v>116</v>
      </c>
      <c r="AI434" s="511" t="s">
        <v>218</v>
      </c>
      <c r="AJ434" s="511" t="s">
        <v>103</v>
      </c>
      <c r="AK434" s="511" t="s">
        <v>104</v>
      </c>
      <c r="AL434" s="511" t="s">
        <v>1455</v>
      </c>
      <c r="AM434" s="386" t="s">
        <v>182</v>
      </c>
      <c r="AN434" s="282" t="s">
        <v>551</v>
      </c>
      <c r="AO434" s="282" t="s">
        <v>2306</v>
      </c>
      <c r="AP434" s="285" t="s">
        <v>552</v>
      </c>
      <c r="AQ434" s="285" t="s">
        <v>535</v>
      </c>
      <c r="AR434" s="285" t="s">
        <v>553</v>
      </c>
      <c r="AS434" s="285" t="s">
        <v>554</v>
      </c>
    </row>
    <row r="435" spans="2:45" x14ac:dyDescent="0.3">
      <c r="B435" s="287"/>
      <c r="C435" s="398" t="s">
        <v>131</v>
      </c>
      <c r="D435" s="398" t="str">
        <f t="shared" ref="D435:D466" si="212">TEXT(F435,"mmm-yy")</f>
        <v>Dec-24</v>
      </c>
      <c r="E435" s="272" t="s">
        <v>472</v>
      </c>
      <c r="F435" s="399">
        <v>45651</v>
      </c>
      <c r="G435" s="398"/>
      <c r="H435" s="398" t="s">
        <v>3076</v>
      </c>
      <c r="I435" s="398"/>
      <c r="J435" s="384" t="s">
        <v>3078</v>
      </c>
      <c r="K435" s="399"/>
      <c r="M435" s="399"/>
      <c r="O435" s="293"/>
      <c r="P435" s="298" t="s">
        <v>1357</v>
      </c>
      <c r="R435" s="391">
        <v>1</v>
      </c>
      <c r="S435" s="314">
        <v>100000</v>
      </c>
      <c r="T435" s="396">
        <f t="shared" ref="T435:T466" si="213">R435*S435</f>
        <v>100000</v>
      </c>
      <c r="U435" s="396"/>
      <c r="V435" s="396"/>
      <c r="W435" s="396"/>
      <c r="X435" s="396"/>
      <c r="Y435" s="396"/>
      <c r="Z435" s="488"/>
      <c r="AA435" s="396"/>
      <c r="AB435" s="396"/>
      <c r="AC435" s="396"/>
      <c r="AD435" s="396"/>
      <c r="AE435" s="525"/>
      <c r="AF435" s="525"/>
      <c r="AG435" s="514"/>
      <c r="AH435" s="514"/>
      <c r="AI435" s="514"/>
      <c r="AJ435" s="514"/>
      <c r="AK435" s="514"/>
      <c r="AL435" s="514"/>
      <c r="AM435" s="515"/>
      <c r="AN435" s="299"/>
      <c r="AO435" s="296"/>
      <c r="AP435" s="274"/>
      <c r="AQ435" s="275"/>
      <c r="AR435" s="275"/>
      <c r="AS435" s="280"/>
    </row>
    <row r="436" spans="2:45" x14ac:dyDescent="0.3">
      <c r="B436" s="287"/>
      <c r="C436" s="288" t="s">
        <v>131</v>
      </c>
      <c r="D436" s="288" t="str">
        <f t="shared" si="212"/>
        <v>Dec-24</v>
      </c>
      <c r="E436" s="272" t="s">
        <v>472</v>
      </c>
      <c r="F436" s="292">
        <v>45651</v>
      </c>
      <c r="G436" s="288"/>
      <c r="H436" s="288" t="s">
        <v>3076</v>
      </c>
      <c r="I436" s="288"/>
      <c r="J436" s="384" t="s">
        <v>3079</v>
      </c>
      <c r="K436" s="292"/>
      <c r="M436" s="292"/>
      <c r="O436" s="293"/>
      <c r="P436" s="298" t="s">
        <v>1357</v>
      </c>
      <c r="R436" s="391">
        <v>1</v>
      </c>
      <c r="S436" s="293">
        <v>100000</v>
      </c>
      <c r="T436" s="294">
        <f t="shared" si="213"/>
        <v>100000</v>
      </c>
      <c r="U436" s="294"/>
      <c r="V436" s="294"/>
      <c r="W436" s="294"/>
      <c r="X436" s="294"/>
      <c r="Y436" s="294"/>
      <c r="Z436" s="318"/>
      <c r="AA436" s="294"/>
      <c r="AB436" s="294"/>
      <c r="AC436" s="294"/>
      <c r="AD436" s="294"/>
      <c r="AE436" s="512"/>
      <c r="AF436" s="512"/>
      <c r="AG436" s="514"/>
      <c r="AH436" s="514"/>
      <c r="AI436" s="514"/>
      <c r="AJ436" s="514"/>
      <c r="AK436" s="514"/>
      <c r="AL436" s="514"/>
      <c r="AM436" s="515"/>
      <c r="AN436" s="299"/>
      <c r="AO436" s="296"/>
      <c r="AP436" s="274"/>
      <c r="AQ436" s="275"/>
      <c r="AR436" s="275"/>
      <c r="AS436" s="280"/>
    </row>
    <row r="437" spans="2:45" x14ac:dyDescent="0.3">
      <c r="B437" s="287"/>
      <c r="C437" s="288" t="s">
        <v>131</v>
      </c>
      <c r="D437" s="288" t="str">
        <f t="shared" si="212"/>
        <v>Jan-25</v>
      </c>
      <c r="E437" s="272" t="s">
        <v>472</v>
      </c>
      <c r="F437" s="292">
        <v>45669</v>
      </c>
      <c r="G437" s="288"/>
      <c r="H437" s="288" t="s">
        <v>3077</v>
      </c>
      <c r="I437" s="288"/>
      <c r="J437" s="384" t="s">
        <v>3078</v>
      </c>
      <c r="K437" s="292"/>
      <c r="M437" s="292"/>
      <c r="O437" s="293"/>
      <c r="P437" s="298" t="s">
        <v>1357</v>
      </c>
      <c r="R437" s="391">
        <v>1</v>
      </c>
      <c r="S437" s="293">
        <v>100000</v>
      </c>
      <c r="T437" s="294">
        <f t="shared" si="213"/>
        <v>100000</v>
      </c>
      <c r="U437" s="294"/>
      <c r="V437" s="294"/>
      <c r="W437" s="294"/>
      <c r="X437" s="294"/>
      <c r="Y437" s="294"/>
      <c r="Z437" s="318"/>
      <c r="AA437" s="294"/>
      <c r="AB437" s="294"/>
      <c r="AC437" s="294"/>
      <c r="AD437" s="294"/>
      <c r="AE437" s="512"/>
      <c r="AF437" s="512"/>
      <c r="AG437" s="514"/>
      <c r="AH437" s="514"/>
      <c r="AI437" s="514"/>
      <c r="AJ437" s="514"/>
      <c r="AK437" s="514"/>
      <c r="AL437" s="514"/>
      <c r="AM437" s="515"/>
      <c r="AN437" s="299"/>
      <c r="AO437" s="296"/>
      <c r="AP437" s="274"/>
      <c r="AQ437" s="275"/>
      <c r="AR437" s="275"/>
      <c r="AS437" s="280"/>
    </row>
    <row r="438" spans="2:45" x14ac:dyDescent="0.3">
      <c r="B438" s="287"/>
      <c r="C438" s="288" t="s">
        <v>131</v>
      </c>
      <c r="D438" s="288" t="str">
        <f t="shared" si="212"/>
        <v>Jan-25</v>
      </c>
      <c r="E438" s="272" t="s">
        <v>472</v>
      </c>
      <c r="F438" s="292">
        <v>45669</v>
      </c>
      <c r="G438" s="288"/>
      <c r="H438" s="288" t="s">
        <v>3077</v>
      </c>
      <c r="I438" s="288"/>
      <c r="J438" s="384" t="s">
        <v>3079</v>
      </c>
      <c r="K438" s="292"/>
      <c r="M438" s="292"/>
      <c r="O438" s="293"/>
      <c r="P438" s="298" t="s">
        <v>1357</v>
      </c>
      <c r="R438" s="391">
        <v>1</v>
      </c>
      <c r="S438" s="293">
        <v>100000</v>
      </c>
      <c r="T438" s="294">
        <f t="shared" si="213"/>
        <v>100000</v>
      </c>
      <c r="U438" s="294"/>
      <c r="V438" s="294"/>
      <c r="W438" s="294"/>
      <c r="X438" s="294"/>
      <c r="Y438" s="294"/>
      <c r="Z438" s="318"/>
      <c r="AA438" s="294"/>
      <c r="AB438" s="294"/>
      <c r="AC438" s="294"/>
      <c r="AD438" s="294"/>
      <c r="AE438" s="512"/>
      <c r="AF438" s="512"/>
      <c r="AG438" s="514"/>
      <c r="AH438" s="514"/>
      <c r="AI438" s="514"/>
      <c r="AJ438" s="514"/>
      <c r="AK438" s="514"/>
      <c r="AL438" s="514"/>
      <c r="AM438" s="515"/>
      <c r="AN438" s="299"/>
      <c r="AO438" s="296"/>
      <c r="AP438" s="274"/>
      <c r="AQ438" s="275"/>
      <c r="AR438" s="275"/>
      <c r="AS438" s="280"/>
    </row>
    <row r="439" spans="2:45" x14ac:dyDescent="0.3">
      <c r="B439" s="287"/>
      <c r="C439" s="288" t="s">
        <v>131</v>
      </c>
      <c r="D439" s="288" t="str">
        <f t="shared" si="212"/>
        <v>Jan-25</v>
      </c>
      <c r="E439" s="272" t="s">
        <v>472</v>
      </c>
      <c r="F439" s="292">
        <v>45677</v>
      </c>
      <c r="G439" s="288"/>
      <c r="H439" s="288" t="s">
        <v>3076</v>
      </c>
      <c r="I439" s="288"/>
      <c r="J439" s="384" t="s">
        <v>3080</v>
      </c>
      <c r="K439" s="292"/>
      <c r="M439" s="292"/>
      <c r="O439" s="293"/>
      <c r="P439" s="298" t="s">
        <v>1357</v>
      </c>
      <c r="R439" s="391">
        <v>1</v>
      </c>
      <c r="S439" s="293">
        <v>150000</v>
      </c>
      <c r="T439" s="294">
        <f t="shared" si="213"/>
        <v>150000</v>
      </c>
      <c r="U439" s="294"/>
      <c r="V439" s="294"/>
      <c r="W439" s="294"/>
      <c r="X439" s="294"/>
      <c r="Y439" s="294"/>
      <c r="Z439" s="318"/>
      <c r="AA439" s="294"/>
      <c r="AB439" s="294"/>
      <c r="AC439" s="294"/>
      <c r="AD439" s="294"/>
      <c r="AE439" s="512"/>
      <c r="AF439" s="512"/>
      <c r="AG439" s="514"/>
      <c r="AH439" s="514"/>
      <c r="AI439" s="514"/>
      <c r="AJ439" s="514"/>
      <c r="AK439" s="514"/>
      <c r="AL439" s="514"/>
      <c r="AM439" s="515"/>
      <c r="AN439" s="299"/>
      <c r="AO439" s="296"/>
      <c r="AP439" s="274"/>
      <c r="AQ439" s="275"/>
      <c r="AR439" s="275"/>
      <c r="AS439" s="280"/>
    </row>
    <row r="440" spans="2:45" x14ac:dyDescent="0.3">
      <c r="B440" s="287"/>
      <c r="C440" s="288" t="s">
        <v>131</v>
      </c>
      <c r="D440" s="288" t="str">
        <f t="shared" si="212"/>
        <v>Jan-25</v>
      </c>
      <c r="E440" s="272" t="s">
        <v>472</v>
      </c>
      <c r="F440" s="292">
        <v>45679</v>
      </c>
      <c r="G440" s="288"/>
      <c r="H440" s="288" t="s">
        <v>3077</v>
      </c>
      <c r="I440" s="288"/>
      <c r="J440" s="384" t="s">
        <v>3080</v>
      </c>
      <c r="K440" s="292"/>
      <c r="M440" s="292"/>
      <c r="O440" s="293"/>
      <c r="P440" s="298" t="s">
        <v>1357</v>
      </c>
      <c r="R440" s="391">
        <v>1</v>
      </c>
      <c r="S440" s="293">
        <v>200000</v>
      </c>
      <c r="T440" s="294">
        <f t="shared" si="213"/>
        <v>200000</v>
      </c>
      <c r="U440" s="294"/>
      <c r="V440" s="294"/>
      <c r="W440" s="294"/>
      <c r="X440" s="294"/>
      <c r="Y440" s="294"/>
      <c r="Z440" s="318"/>
      <c r="AA440" s="294"/>
      <c r="AB440" s="294"/>
      <c r="AC440" s="294"/>
      <c r="AD440" s="294"/>
      <c r="AE440" s="512"/>
      <c r="AF440" s="512"/>
      <c r="AG440" s="514"/>
      <c r="AH440" s="514"/>
      <c r="AI440" s="514"/>
      <c r="AJ440" s="514"/>
      <c r="AK440" s="514"/>
      <c r="AL440" s="514"/>
      <c r="AM440" s="515"/>
      <c r="AN440" s="299"/>
      <c r="AO440" s="296"/>
      <c r="AP440" s="274"/>
      <c r="AQ440" s="275"/>
      <c r="AR440" s="275"/>
      <c r="AS440" s="280"/>
    </row>
    <row r="441" spans="2:45" x14ac:dyDescent="0.3">
      <c r="B441" s="287"/>
      <c r="C441" s="288" t="s">
        <v>131</v>
      </c>
      <c r="D441" s="288" t="str">
        <f t="shared" si="212"/>
        <v>Jan-25</v>
      </c>
      <c r="E441" s="272" t="s">
        <v>472</v>
      </c>
      <c r="F441" s="292">
        <v>45680</v>
      </c>
      <c r="G441" s="288"/>
      <c r="H441" s="288" t="s">
        <v>3076</v>
      </c>
      <c r="I441" s="288"/>
      <c r="J441" s="384" t="s">
        <v>2862</v>
      </c>
      <c r="K441" s="292"/>
      <c r="M441" s="292"/>
      <c r="O441" s="293"/>
      <c r="P441" s="298" t="s">
        <v>1357</v>
      </c>
      <c r="R441" s="391">
        <v>1</v>
      </c>
      <c r="S441" s="293">
        <v>200000</v>
      </c>
      <c r="T441" s="294">
        <f t="shared" si="213"/>
        <v>200000</v>
      </c>
      <c r="U441" s="294"/>
      <c r="V441" s="294"/>
      <c r="W441" s="294"/>
      <c r="X441" s="294"/>
      <c r="Y441" s="294"/>
      <c r="Z441" s="318"/>
      <c r="AA441" s="294"/>
      <c r="AB441" s="294"/>
      <c r="AC441" s="294"/>
      <c r="AD441" s="294"/>
      <c r="AE441" s="512"/>
      <c r="AF441" s="512"/>
      <c r="AG441" s="514"/>
      <c r="AH441" s="514"/>
      <c r="AI441" s="514"/>
      <c r="AJ441" s="514"/>
      <c r="AK441" s="514"/>
      <c r="AL441" s="514"/>
      <c r="AM441" s="515"/>
      <c r="AN441" s="299"/>
      <c r="AO441" s="296"/>
      <c r="AP441" s="274"/>
      <c r="AQ441" s="275"/>
      <c r="AR441" s="275"/>
      <c r="AS441" s="280"/>
    </row>
    <row r="442" spans="2:45" x14ac:dyDescent="0.3">
      <c r="B442" s="287"/>
      <c r="C442" s="288" t="s">
        <v>131</v>
      </c>
      <c r="D442" s="288" t="str">
        <f t="shared" si="212"/>
        <v>Feb-25</v>
      </c>
      <c r="E442" s="272" t="s">
        <v>472</v>
      </c>
      <c r="F442" s="292">
        <v>45705</v>
      </c>
      <c r="G442" s="288"/>
      <c r="H442" s="288" t="s">
        <v>3077</v>
      </c>
      <c r="I442" s="288"/>
      <c r="J442" s="384" t="s">
        <v>2862</v>
      </c>
      <c r="K442" s="292"/>
      <c r="M442" s="292"/>
      <c r="O442" s="293"/>
      <c r="P442" s="298" t="s">
        <v>1357</v>
      </c>
      <c r="R442" s="391">
        <v>1</v>
      </c>
      <c r="S442" s="293">
        <v>25600</v>
      </c>
      <c r="T442" s="294">
        <f t="shared" si="213"/>
        <v>25600</v>
      </c>
      <c r="U442" s="294"/>
      <c r="V442" s="294"/>
      <c r="W442" s="294"/>
      <c r="X442" s="294"/>
      <c r="Y442" s="294"/>
      <c r="Z442" s="318"/>
      <c r="AA442" s="294"/>
      <c r="AB442" s="294"/>
      <c r="AC442" s="294"/>
      <c r="AD442" s="294"/>
      <c r="AE442" s="512"/>
      <c r="AF442" s="512"/>
      <c r="AG442" s="514"/>
      <c r="AH442" s="514"/>
      <c r="AI442" s="514"/>
      <c r="AJ442" s="514"/>
      <c r="AK442" s="514"/>
      <c r="AL442" s="514"/>
      <c r="AM442" s="515"/>
      <c r="AN442" s="299"/>
      <c r="AO442" s="296"/>
      <c r="AP442" s="274"/>
      <c r="AQ442" s="275"/>
      <c r="AR442" s="275"/>
      <c r="AS442" s="280"/>
    </row>
    <row r="443" spans="2:45" x14ac:dyDescent="0.3">
      <c r="B443" s="287"/>
      <c r="C443" s="288" t="s">
        <v>131</v>
      </c>
      <c r="D443" s="288" t="str">
        <f t="shared" si="212"/>
        <v>Feb-25</v>
      </c>
      <c r="E443" s="272" t="s">
        <v>472</v>
      </c>
      <c r="F443" s="292">
        <v>45705</v>
      </c>
      <c r="G443" s="288"/>
      <c r="H443" s="288" t="s">
        <v>3077</v>
      </c>
      <c r="I443" s="288"/>
      <c r="J443" s="384" t="s">
        <v>3081</v>
      </c>
      <c r="K443" s="292"/>
      <c r="M443" s="292"/>
      <c r="O443" s="293"/>
      <c r="P443" s="298" t="s">
        <v>1357</v>
      </c>
      <c r="R443" s="391">
        <v>1</v>
      </c>
      <c r="S443" s="293">
        <v>6000</v>
      </c>
      <c r="T443" s="294">
        <f t="shared" si="213"/>
        <v>6000</v>
      </c>
      <c r="U443" s="294"/>
      <c r="V443" s="294"/>
      <c r="W443" s="294"/>
      <c r="X443" s="294"/>
      <c r="Y443" s="294"/>
      <c r="Z443" s="318"/>
      <c r="AA443" s="294"/>
      <c r="AB443" s="294"/>
      <c r="AC443" s="294"/>
      <c r="AD443" s="294"/>
      <c r="AE443" s="512"/>
      <c r="AF443" s="512"/>
      <c r="AG443" s="514"/>
      <c r="AH443" s="514"/>
      <c r="AI443" s="514"/>
      <c r="AJ443" s="514"/>
      <c r="AK443" s="514"/>
      <c r="AL443" s="514"/>
      <c r="AM443" s="515"/>
      <c r="AN443" s="299"/>
      <c r="AO443" s="296"/>
      <c r="AP443" s="274"/>
      <c r="AQ443" s="275"/>
      <c r="AR443" s="275"/>
      <c r="AS443" s="280"/>
    </row>
    <row r="444" spans="2:45" x14ac:dyDescent="0.3">
      <c r="B444" s="287"/>
      <c r="C444" s="288" t="s">
        <v>131</v>
      </c>
      <c r="D444" s="288" t="str">
        <f t="shared" si="212"/>
        <v>Feb-25</v>
      </c>
      <c r="E444" s="272" t="s">
        <v>472</v>
      </c>
      <c r="F444" s="292">
        <v>45705</v>
      </c>
      <c r="G444" s="288"/>
      <c r="H444" s="288" t="s">
        <v>240</v>
      </c>
      <c r="I444" s="288"/>
      <c r="J444" s="384" t="s">
        <v>3082</v>
      </c>
      <c r="K444" s="292"/>
      <c r="M444" s="292"/>
      <c r="O444" s="293"/>
      <c r="P444" s="298" t="s">
        <v>1357</v>
      </c>
      <c r="R444" s="391">
        <v>1</v>
      </c>
      <c r="S444" s="293">
        <v>11400</v>
      </c>
      <c r="T444" s="294">
        <f t="shared" si="213"/>
        <v>11400</v>
      </c>
      <c r="U444" s="294"/>
      <c r="V444" s="294"/>
      <c r="W444" s="294"/>
      <c r="X444" s="294"/>
      <c r="Y444" s="294"/>
      <c r="Z444" s="318"/>
      <c r="AA444" s="294"/>
      <c r="AB444" s="294"/>
      <c r="AC444" s="294"/>
      <c r="AD444" s="294"/>
      <c r="AE444" s="512"/>
      <c r="AF444" s="512"/>
      <c r="AG444" s="514"/>
      <c r="AH444" s="514"/>
      <c r="AI444" s="514"/>
      <c r="AJ444" s="514"/>
      <c r="AK444" s="514"/>
      <c r="AL444" s="514"/>
      <c r="AM444" s="515"/>
      <c r="AN444" s="299"/>
      <c r="AO444" s="296"/>
      <c r="AP444" s="274"/>
      <c r="AQ444" s="275"/>
      <c r="AR444" s="275"/>
      <c r="AS444" s="280"/>
    </row>
    <row r="445" spans="2:45" x14ac:dyDescent="0.3">
      <c r="B445" s="287"/>
      <c r="C445" s="288" t="s">
        <v>131</v>
      </c>
      <c r="D445" s="288" t="str">
        <f t="shared" si="212"/>
        <v>Mar-25</v>
      </c>
      <c r="E445" s="272" t="s">
        <v>472</v>
      </c>
      <c r="F445" s="292">
        <v>45721</v>
      </c>
      <c r="G445" s="288"/>
      <c r="H445" s="288" t="s">
        <v>462</v>
      </c>
      <c r="I445" s="288"/>
      <c r="J445" s="384" t="s">
        <v>3083</v>
      </c>
      <c r="K445" s="292"/>
      <c r="M445" s="292"/>
      <c r="O445" s="293"/>
      <c r="P445" s="298" t="s">
        <v>1357</v>
      </c>
      <c r="R445" s="391">
        <v>1</v>
      </c>
      <c r="S445" s="293">
        <v>10200</v>
      </c>
      <c r="T445" s="294">
        <f t="shared" si="213"/>
        <v>10200</v>
      </c>
      <c r="U445" s="294"/>
      <c r="V445" s="294"/>
      <c r="W445" s="294"/>
      <c r="X445" s="294"/>
      <c r="Y445" s="294"/>
      <c r="Z445" s="318"/>
      <c r="AA445" s="294"/>
      <c r="AB445" s="294"/>
      <c r="AC445" s="294"/>
      <c r="AD445" s="294"/>
      <c r="AE445" s="512"/>
      <c r="AF445" s="512"/>
      <c r="AG445" s="514"/>
      <c r="AH445" s="514"/>
      <c r="AI445" s="514"/>
      <c r="AJ445" s="514"/>
      <c r="AK445" s="514"/>
      <c r="AL445" s="514"/>
      <c r="AM445" s="515"/>
      <c r="AN445" s="299"/>
      <c r="AO445" s="296"/>
      <c r="AP445" s="274"/>
      <c r="AQ445" s="275"/>
      <c r="AR445" s="275"/>
      <c r="AS445" s="280"/>
    </row>
    <row r="446" spans="2:45" x14ac:dyDescent="0.3">
      <c r="B446" s="287"/>
      <c r="C446" s="288" t="s">
        <v>131</v>
      </c>
      <c r="D446" s="288" t="str">
        <f t="shared" si="212"/>
        <v>Mar-25</v>
      </c>
      <c r="E446" s="272" t="s">
        <v>472</v>
      </c>
      <c r="F446" s="292">
        <v>45721</v>
      </c>
      <c r="G446" s="288"/>
      <c r="H446" s="288" t="s">
        <v>462</v>
      </c>
      <c r="I446" s="288"/>
      <c r="J446" s="384" t="s">
        <v>3084</v>
      </c>
      <c r="K446" s="292"/>
      <c r="M446" s="292"/>
      <c r="O446" s="293"/>
      <c r="P446" s="298" t="s">
        <v>1357</v>
      </c>
      <c r="R446" s="391">
        <v>1</v>
      </c>
      <c r="S446" s="293">
        <v>2405</v>
      </c>
      <c r="T446" s="294">
        <f t="shared" si="213"/>
        <v>2405</v>
      </c>
      <c r="U446" s="294"/>
      <c r="V446" s="294"/>
      <c r="W446" s="294"/>
      <c r="X446" s="294"/>
      <c r="Y446" s="294"/>
      <c r="Z446" s="318"/>
      <c r="AA446" s="294"/>
      <c r="AB446" s="294"/>
      <c r="AC446" s="294"/>
      <c r="AD446" s="294"/>
      <c r="AE446" s="512"/>
      <c r="AF446" s="512"/>
      <c r="AG446" s="514"/>
      <c r="AH446" s="514"/>
      <c r="AI446" s="514"/>
      <c r="AJ446" s="514"/>
      <c r="AK446" s="514"/>
      <c r="AL446" s="514"/>
      <c r="AM446" s="515"/>
      <c r="AN446" s="299"/>
      <c r="AO446" s="296"/>
      <c r="AP446" s="274"/>
      <c r="AQ446" s="275"/>
      <c r="AR446" s="275"/>
      <c r="AS446" s="280"/>
    </row>
    <row r="447" spans="2:45" x14ac:dyDescent="0.3">
      <c r="B447" s="287"/>
      <c r="C447" s="288" t="s">
        <v>131</v>
      </c>
      <c r="D447" s="288" t="str">
        <f t="shared" si="212"/>
        <v>Mar-25</v>
      </c>
      <c r="E447" s="272" t="s">
        <v>472</v>
      </c>
      <c r="F447" s="292">
        <v>45727</v>
      </c>
      <c r="G447" s="288"/>
      <c r="H447" s="288" t="s">
        <v>3076</v>
      </c>
      <c r="I447" s="288"/>
      <c r="J447" s="384" t="s">
        <v>3081</v>
      </c>
      <c r="K447" s="292"/>
      <c r="M447" s="292"/>
      <c r="O447" s="293"/>
      <c r="P447" s="298" t="s">
        <v>1357</v>
      </c>
      <c r="R447" s="391">
        <v>1</v>
      </c>
      <c r="S447" s="293">
        <v>100000</v>
      </c>
      <c r="T447" s="294">
        <f t="shared" si="213"/>
        <v>100000</v>
      </c>
      <c r="U447" s="294"/>
      <c r="V447" s="294"/>
      <c r="W447" s="294"/>
      <c r="X447" s="294"/>
      <c r="Y447" s="294"/>
      <c r="Z447" s="318"/>
      <c r="AA447" s="294"/>
      <c r="AB447" s="294"/>
      <c r="AC447" s="294"/>
      <c r="AD447" s="294"/>
      <c r="AE447" s="512"/>
      <c r="AF447" s="512"/>
      <c r="AG447" s="514"/>
      <c r="AH447" s="514"/>
      <c r="AI447" s="514"/>
      <c r="AJ447" s="514"/>
      <c r="AK447" s="514"/>
      <c r="AL447" s="514"/>
      <c r="AM447" s="515"/>
      <c r="AN447" s="299"/>
      <c r="AO447" s="296"/>
      <c r="AP447" s="274"/>
      <c r="AQ447" s="275"/>
      <c r="AR447" s="275"/>
      <c r="AS447" s="280"/>
    </row>
    <row r="448" spans="2:45" x14ac:dyDescent="0.3">
      <c r="B448" s="287">
        <v>1</v>
      </c>
      <c r="C448" s="288" t="s">
        <v>174</v>
      </c>
      <c r="D448" s="288" t="str">
        <f t="shared" si="212"/>
        <v>Apr-25</v>
      </c>
      <c r="E448" s="272" t="s">
        <v>472</v>
      </c>
      <c r="F448" s="292">
        <v>45748</v>
      </c>
      <c r="G448" s="288" t="s">
        <v>329</v>
      </c>
      <c r="H448" s="288" t="s">
        <v>240</v>
      </c>
      <c r="I448" s="288" t="s">
        <v>1417</v>
      </c>
      <c r="J448" s="384" t="s">
        <v>335</v>
      </c>
      <c r="K448" s="292">
        <v>45748</v>
      </c>
      <c r="L448" s="272" t="s">
        <v>2731</v>
      </c>
      <c r="M448" s="292">
        <v>45751</v>
      </c>
      <c r="N448" s="272" t="s">
        <v>255</v>
      </c>
      <c r="O448" s="293">
        <v>0</v>
      </c>
      <c r="P448" s="298" t="s">
        <v>1357</v>
      </c>
      <c r="Q448" s="272" t="s">
        <v>1419</v>
      </c>
      <c r="R448" s="391">
        <v>1</v>
      </c>
      <c r="S448" s="293">
        <v>5700</v>
      </c>
      <c r="T448" s="294">
        <f t="shared" si="213"/>
        <v>5700</v>
      </c>
      <c r="U448" s="294"/>
      <c r="V448" s="294"/>
      <c r="W448" s="294"/>
      <c r="X448" s="294"/>
      <c r="Y448" s="294"/>
      <c r="Z448" s="318"/>
      <c r="AA448" s="294"/>
      <c r="AB448" s="294"/>
      <c r="AC448" s="294"/>
      <c r="AD448" s="294"/>
      <c r="AE448" s="512"/>
      <c r="AF448" s="512"/>
      <c r="AG448" s="514">
        <f t="shared" ref="AG448:AG479" si="214">AE448*AF448</f>
        <v>0</v>
      </c>
      <c r="AH448" s="514">
        <v>0</v>
      </c>
      <c r="AI448" s="514">
        <f t="shared" ref="AI448:AI479" si="215">AG448-AH448</f>
        <v>0</v>
      </c>
      <c r="AJ448" s="514">
        <v>0</v>
      </c>
      <c r="AK448" s="514">
        <f t="shared" ref="AK448:AK479" si="216">AE448-AJ448</f>
        <v>0</v>
      </c>
      <c r="AL448" s="514">
        <v>0</v>
      </c>
      <c r="AM448" s="515"/>
      <c r="AN448" s="299"/>
      <c r="AO448" s="296"/>
      <c r="AP448" s="274"/>
      <c r="AQ448" s="275"/>
      <c r="AR448" s="275"/>
      <c r="AS448" s="280"/>
    </row>
    <row r="449" spans="2:45" x14ac:dyDescent="0.3">
      <c r="B449" s="287">
        <f>B435+1</f>
        <v>1</v>
      </c>
      <c r="C449" s="288" t="s">
        <v>174</v>
      </c>
      <c r="D449" s="288" t="str">
        <f t="shared" si="212"/>
        <v>May-25</v>
      </c>
      <c r="E449" s="272" t="s">
        <v>472</v>
      </c>
      <c r="F449" s="292">
        <v>45782</v>
      </c>
      <c r="G449" s="288"/>
      <c r="H449" s="288" t="s">
        <v>240</v>
      </c>
      <c r="I449" s="288" t="s">
        <v>1417</v>
      </c>
      <c r="K449" s="292">
        <v>45779</v>
      </c>
      <c r="L449" s="272" t="s">
        <v>1485</v>
      </c>
      <c r="M449" s="292">
        <v>45812</v>
      </c>
      <c r="N449" s="272" t="s">
        <v>255</v>
      </c>
      <c r="O449" s="293">
        <v>0</v>
      </c>
      <c r="P449" s="298" t="s">
        <v>1357</v>
      </c>
      <c r="Q449" s="272" t="s">
        <v>1419</v>
      </c>
      <c r="R449" s="391">
        <v>1</v>
      </c>
      <c r="S449" s="293">
        <v>26950</v>
      </c>
      <c r="T449" s="294">
        <f t="shared" si="213"/>
        <v>26950</v>
      </c>
      <c r="U449" s="294"/>
      <c r="V449" s="294"/>
      <c r="W449" s="294"/>
      <c r="X449" s="294"/>
      <c r="Y449" s="294"/>
      <c r="Z449" s="318"/>
      <c r="AA449" s="294"/>
      <c r="AB449" s="294"/>
      <c r="AC449" s="294"/>
      <c r="AD449" s="294"/>
      <c r="AE449" s="512"/>
      <c r="AF449" s="512"/>
      <c r="AG449" s="514">
        <f t="shared" si="214"/>
        <v>0</v>
      </c>
      <c r="AH449" s="514">
        <v>0</v>
      </c>
      <c r="AI449" s="514">
        <f t="shared" si="215"/>
        <v>0</v>
      </c>
      <c r="AJ449" s="514">
        <v>0</v>
      </c>
      <c r="AK449" s="514">
        <f t="shared" si="216"/>
        <v>0</v>
      </c>
      <c r="AL449" s="514">
        <v>0</v>
      </c>
      <c r="AM449" s="515"/>
      <c r="AN449" s="299"/>
      <c r="AO449" s="296"/>
      <c r="AP449" s="274"/>
      <c r="AQ449" s="275"/>
      <c r="AR449" s="275"/>
      <c r="AS449" s="280"/>
    </row>
    <row r="450" spans="2:45" x14ac:dyDescent="0.3">
      <c r="B450" s="287">
        <f t="shared" ref="B450:B481" si="217">B449+1</f>
        <v>2</v>
      </c>
      <c r="C450" s="288" t="s">
        <v>174</v>
      </c>
      <c r="D450" s="288" t="str">
        <f t="shared" si="212"/>
        <v>May-25</v>
      </c>
      <c r="E450" s="272" t="s">
        <v>472</v>
      </c>
      <c r="F450" s="292">
        <v>45804</v>
      </c>
      <c r="G450" s="288"/>
      <c r="H450" s="288" t="s">
        <v>395</v>
      </c>
      <c r="I450" s="288">
        <v>0</v>
      </c>
      <c r="K450" s="292">
        <v>45804</v>
      </c>
      <c r="L450" s="272" t="s">
        <v>1487</v>
      </c>
      <c r="M450" s="292">
        <v>45804</v>
      </c>
      <c r="N450" s="272" t="s">
        <v>255</v>
      </c>
      <c r="O450" s="293">
        <v>0</v>
      </c>
      <c r="P450" s="298" t="s">
        <v>1357</v>
      </c>
      <c r="Q450" s="272" t="s">
        <v>1484</v>
      </c>
      <c r="R450" s="391">
        <v>1</v>
      </c>
      <c r="S450" s="293">
        <v>100000</v>
      </c>
      <c r="T450" s="294">
        <f t="shared" si="213"/>
        <v>100000</v>
      </c>
      <c r="U450" s="294"/>
      <c r="V450" s="294"/>
      <c r="W450" s="294"/>
      <c r="X450" s="294"/>
      <c r="Y450" s="294"/>
      <c r="Z450" s="318"/>
      <c r="AA450" s="294"/>
      <c r="AB450" s="294"/>
      <c r="AC450" s="294"/>
      <c r="AD450" s="294"/>
      <c r="AE450" s="512"/>
      <c r="AF450" s="512"/>
      <c r="AG450" s="514">
        <f t="shared" si="214"/>
        <v>0</v>
      </c>
      <c r="AH450" s="514">
        <v>0</v>
      </c>
      <c r="AI450" s="514">
        <f t="shared" si="215"/>
        <v>0</v>
      </c>
      <c r="AJ450" s="514">
        <v>0</v>
      </c>
      <c r="AK450" s="514">
        <f t="shared" si="216"/>
        <v>0</v>
      </c>
      <c r="AL450" s="514">
        <v>0</v>
      </c>
      <c r="AM450" s="515"/>
      <c r="AN450" s="299"/>
      <c r="AO450" s="296"/>
      <c r="AP450" s="274"/>
      <c r="AQ450" s="275"/>
      <c r="AR450" s="275"/>
      <c r="AS450" s="280"/>
    </row>
    <row r="451" spans="2:45" x14ac:dyDescent="0.3">
      <c r="B451" s="287">
        <f t="shared" si="217"/>
        <v>3</v>
      </c>
      <c r="C451" s="288" t="s">
        <v>174</v>
      </c>
      <c r="D451" s="288" t="str">
        <f t="shared" si="212"/>
        <v>Jun-25</v>
      </c>
      <c r="E451" s="272" t="s">
        <v>472</v>
      </c>
      <c r="F451" s="292">
        <v>45811</v>
      </c>
      <c r="G451" s="288"/>
      <c r="H451" s="288" t="s">
        <v>395</v>
      </c>
      <c r="I451" s="288">
        <v>0</v>
      </c>
      <c r="K451" s="292">
        <v>45810</v>
      </c>
      <c r="L451" s="272" t="s">
        <v>1488</v>
      </c>
      <c r="M451" s="292">
        <v>45811</v>
      </c>
      <c r="N451" s="272" t="s">
        <v>255</v>
      </c>
      <c r="O451" s="293">
        <v>0</v>
      </c>
      <c r="P451" s="298" t="s">
        <v>1357</v>
      </c>
      <c r="Q451" s="272" t="s">
        <v>1484</v>
      </c>
      <c r="R451" s="391">
        <v>1</v>
      </c>
      <c r="S451" s="293">
        <v>100000</v>
      </c>
      <c r="T451" s="294">
        <f t="shared" si="213"/>
        <v>100000</v>
      </c>
      <c r="U451" s="294"/>
      <c r="V451" s="294"/>
      <c r="W451" s="294"/>
      <c r="X451" s="294"/>
      <c r="Y451" s="294"/>
      <c r="Z451" s="318"/>
      <c r="AA451" s="294"/>
      <c r="AB451" s="294"/>
      <c r="AC451" s="294"/>
      <c r="AD451" s="294"/>
      <c r="AE451" s="512"/>
      <c r="AF451" s="512"/>
      <c r="AG451" s="514">
        <f t="shared" si="214"/>
        <v>0</v>
      </c>
      <c r="AH451" s="514">
        <v>0</v>
      </c>
      <c r="AI451" s="514">
        <f t="shared" si="215"/>
        <v>0</v>
      </c>
      <c r="AJ451" s="514">
        <v>0</v>
      </c>
      <c r="AK451" s="514">
        <f t="shared" si="216"/>
        <v>0</v>
      </c>
      <c r="AL451" s="514">
        <v>0</v>
      </c>
      <c r="AM451" s="515"/>
      <c r="AN451" s="299"/>
      <c r="AO451" s="296"/>
      <c r="AP451" s="274"/>
      <c r="AQ451" s="275"/>
      <c r="AR451" s="275"/>
      <c r="AS451" s="280"/>
    </row>
    <row r="452" spans="2:45" x14ac:dyDescent="0.3">
      <c r="B452" s="287">
        <f t="shared" si="217"/>
        <v>4</v>
      </c>
      <c r="C452" s="288" t="s">
        <v>174</v>
      </c>
      <c r="D452" s="288" t="str">
        <f t="shared" si="212"/>
        <v>Jun-25</v>
      </c>
      <c r="E452" s="272" t="s">
        <v>472</v>
      </c>
      <c r="F452" s="292">
        <v>45812</v>
      </c>
      <c r="G452" s="288"/>
      <c r="H452" s="288" t="s">
        <v>240</v>
      </c>
      <c r="I452" s="288" t="s">
        <v>1417</v>
      </c>
      <c r="J452" s="384">
        <v>26</v>
      </c>
      <c r="K452" s="292">
        <v>45809</v>
      </c>
      <c r="L452" s="272" t="s">
        <v>1486</v>
      </c>
      <c r="M452" s="292">
        <v>45782</v>
      </c>
      <c r="N452" s="272" t="s">
        <v>255</v>
      </c>
      <c r="O452" s="293">
        <v>0</v>
      </c>
      <c r="P452" s="298" t="s">
        <v>1357</v>
      </c>
      <c r="Q452" s="272" t="s">
        <v>1419</v>
      </c>
      <c r="R452" s="391">
        <v>1</v>
      </c>
      <c r="S452" s="293">
        <v>40950</v>
      </c>
      <c r="T452" s="294">
        <f t="shared" si="213"/>
        <v>40950</v>
      </c>
      <c r="U452" s="294"/>
      <c r="V452" s="294"/>
      <c r="W452" s="294"/>
      <c r="X452" s="294"/>
      <c r="Y452" s="294"/>
      <c r="Z452" s="318"/>
      <c r="AA452" s="294"/>
      <c r="AB452" s="294"/>
      <c r="AC452" s="294"/>
      <c r="AD452" s="294"/>
      <c r="AE452" s="512"/>
      <c r="AF452" s="512"/>
      <c r="AG452" s="514">
        <f t="shared" si="214"/>
        <v>0</v>
      </c>
      <c r="AH452" s="514">
        <v>0</v>
      </c>
      <c r="AI452" s="514">
        <f t="shared" si="215"/>
        <v>0</v>
      </c>
      <c r="AJ452" s="514">
        <v>0</v>
      </c>
      <c r="AK452" s="514">
        <f t="shared" si="216"/>
        <v>0</v>
      </c>
      <c r="AL452" s="514">
        <v>0</v>
      </c>
      <c r="AM452" s="515"/>
      <c r="AN452" s="299"/>
      <c r="AO452" s="296"/>
      <c r="AP452" s="274"/>
      <c r="AQ452" s="275"/>
      <c r="AR452" s="275"/>
      <c r="AS452" s="280"/>
    </row>
    <row r="453" spans="2:45" x14ac:dyDescent="0.3">
      <c r="B453" s="287">
        <f t="shared" si="217"/>
        <v>5</v>
      </c>
      <c r="C453" s="288" t="s">
        <v>174</v>
      </c>
      <c r="D453" s="288" t="str">
        <f t="shared" si="212"/>
        <v>Jun-25</v>
      </c>
      <c r="E453" s="272" t="s">
        <v>472</v>
      </c>
      <c r="F453" s="292">
        <v>45821</v>
      </c>
      <c r="G453" s="288"/>
      <c r="H453" s="288" t="s">
        <v>462</v>
      </c>
      <c r="I453" s="288" t="s">
        <v>1428</v>
      </c>
      <c r="K453" s="292">
        <v>45808</v>
      </c>
      <c r="L453" s="272" t="s">
        <v>1483</v>
      </c>
      <c r="M453" s="292">
        <v>45821</v>
      </c>
      <c r="N453" s="272" t="s">
        <v>255</v>
      </c>
      <c r="O453" s="293">
        <v>0</v>
      </c>
      <c r="P453" s="298" t="s">
        <v>1357</v>
      </c>
      <c r="Q453" s="272" t="s">
        <v>1430</v>
      </c>
      <c r="R453" s="391">
        <v>19</v>
      </c>
      <c r="S453" s="293">
        <v>190</v>
      </c>
      <c r="T453" s="294">
        <f t="shared" si="213"/>
        <v>3610</v>
      </c>
      <c r="U453" s="294"/>
      <c r="V453" s="294"/>
      <c r="W453" s="294"/>
      <c r="X453" s="294"/>
      <c r="Y453" s="294"/>
      <c r="Z453" s="318"/>
      <c r="AA453" s="294"/>
      <c r="AB453" s="294"/>
      <c r="AC453" s="294"/>
      <c r="AD453" s="294"/>
      <c r="AE453" s="512"/>
      <c r="AF453" s="512"/>
      <c r="AG453" s="514">
        <f t="shared" si="214"/>
        <v>0</v>
      </c>
      <c r="AH453" s="514">
        <v>0</v>
      </c>
      <c r="AI453" s="514">
        <f t="shared" si="215"/>
        <v>0</v>
      </c>
      <c r="AJ453" s="514">
        <v>0</v>
      </c>
      <c r="AK453" s="514">
        <f t="shared" si="216"/>
        <v>0</v>
      </c>
      <c r="AL453" s="514">
        <v>0</v>
      </c>
      <c r="AM453" s="515"/>
      <c r="AN453" s="299"/>
      <c r="AO453" s="296"/>
      <c r="AP453" s="274"/>
      <c r="AQ453" s="275"/>
      <c r="AR453" s="275"/>
      <c r="AS453" s="280"/>
    </row>
    <row r="454" spans="2:45" x14ac:dyDescent="0.3">
      <c r="B454" s="287">
        <f t="shared" si="217"/>
        <v>6</v>
      </c>
      <c r="C454" s="288" t="s">
        <v>174</v>
      </c>
      <c r="D454" s="288" t="str">
        <f t="shared" si="212"/>
        <v>Jun-25</v>
      </c>
      <c r="E454" s="272" t="s">
        <v>472</v>
      </c>
      <c r="F454" s="292">
        <v>45821</v>
      </c>
      <c r="G454" s="288"/>
      <c r="H454" s="288" t="s">
        <v>462</v>
      </c>
      <c r="I454" s="288" t="s">
        <v>1428</v>
      </c>
      <c r="J454" s="384">
        <v>116</v>
      </c>
      <c r="K454" s="292">
        <v>45808</v>
      </c>
      <c r="L454" s="272" t="s">
        <v>1483</v>
      </c>
      <c r="M454" s="292">
        <v>45821</v>
      </c>
      <c r="N454" s="272" t="s">
        <v>255</v>
      </c>
      <c r="O454" s="293">
        <v>0</v>
      </c>
      <c r="P454" s="298" t="s">
        <v>1357</v>
      </c>
      <c r="Q454" s="272" t="s">
        <v>1430</v>
      </c>
      <c r="R454" s="391">
        <v>1</v>
      </c>
      <c r="S454" s="293">
        <v>1850</v>
      </c>
      <c r="T454" s="294">
        <f t="shared" si="213"/>
        <v>1850</v>
      </c>
      <c r="U454" s="294"/>
      <c r="V454" s="294"/>
      <c r="W454" s="294"/>
      <c r="X454" s="294"/>
      <c r="Y454" s="294"/>
      <c r="Z454" s="318"/>
      <c r="AA454" s="294"/>
      <c r="AB454" s="294"/>
      <c r="AC454" s="294"/>
      <c r="AD454" s="294"/>
      <c r="AE454" s="512"/>
      <c r="AF454" s="512"/>
      <c r="AG454" s="514">
        <f t="shared" si="214"/>
        <v>0</v>
      </c>
      <c r="AH454" s="514">
        <v>0</v>
      </c>
      <c r="AI454" s="514">
        <f t="shared" si="215"/>
        <v>0</v>
      </c>
      <c r="AJ454" s="514">
        <v>0</v>
      </c>
      <c r="AK454" s="514">
        <f t="shared" si="216"/>
        <v>0</v>
      </c>
      <c r="AL454" s="514">
        <v>0</v>
      </c>
      <c r="AM454" s="515"/>
      <c r="AN454" s="299"/>
      <c r="AO454" s="296"/>
      <c r="AP454" s="274"/>
      <c r="AQ454" s="275"/>
      <c r="AR454" s="275"/>
      <c r="AS454" s="280"/>
    </row>
    <row r="455" spans="2:45" x14ac:dyDescent="0.3">
      <c r="B455" s="287">
        <f t="shared" si="217"/>
        <v>7</v>
      </c>
      <c r="C455" s="288" t="s">
        <v>174</v>
      </c>
      <c r="D455" s="288" t="str">
        <f t="shared" si="212"/>
        <v>Jun-25</v>
      </c>
      <c r="E455" s="272" t="s">
        <v>472</v>
      </c>
      <c r="F455" s="292">
        <v>45826</v>
      </c>
      <c r="G455" s="288"/>
      <c r="H455" s="288" t="s">
        <v>395</v>
      </c>
      <c r="I455" s="288">
        <v>0</v>
      </c>
      <c r="J455" s="384">
        <v>3</v>
      </c>
      <c r="K455" s="292">
        <v>45826</v>
      </c>
      <c r="L455" s="272" t="s">
        <v>923</v>
      </c>
      <c r="M455" s="292">
        <v>45826</v>
      </c>
      <c r="N455" s="272" t="s">
        <v>255</v>
      </c>
      <c r="O455" s="293">
        <v>0</v>
      </c>
      <c r="P455" s="298" t="s">
        <v>1357</v>
      </c>
      <c r="Q455" s="272" t="s">
        <v>1484</v>
      </c>
      <c r="R455" s="391">
        <v>1</v>
      </c>
      <c r="S455" s="293">
        <v>50000</v>
      </c>
      <c r="T455" s="294">
        <f t="shared" si="213"/>
        <v>50000</v>
      </c>
      <c r="U455" s="294"/>
      <c r="V455" s="294"/>
      <c r="W455" s="294"/>
      <c r="X455" s="294"/>
      <c r="Y455" s="294"/>
      <c r="Z455" s="318"/>
      <c r="AA455" s="294"/>
      <c r="AB455" s="294"/>
      <c r="AC455" s="294"/>
      <c r="AD455" s="294"/>
      <c r="AE455" s="512"/>
      <c r="AF455" s="512"/>
      <c r="AG455" s="514">
        <f t="shared" si="214"/>
        <v>0</v>
      </c>
      <c r="AH455" s="514">
        <v>0</v>
      </c>
      <c r="AI455" s="514">
        <f t="shared" si="215"/>
        <v>0</v>
      </c>
      <c r="AJ455" s="514">
        <v>0</v>
      </c>
      <c r="AK455" s="514">
        <f t="shared" si="216"/>
        <v>0</v>
      </c>
      <c r="AL455" s="514">
        <v>0</v>
      </c>
      <c r="AM455" s="515"/>
      <c r="AN455" s="299"/>
      <c r="AO455" s="296"/>
      <c r="AP455" s="274"/>
      <c r="AQ455" s="275"/>
      <c r="AR455" s="275"/>
      <c r="AS455" s="280"/>
    </row>
    <row r="456" spans="2:45" x14ac:dyDescent="0.3">
      <c r="B456" s="287">
        <f t="shared" si="217"/>
        <v>8</v>
      </c>
      <c r="C456" s="288" t="s">
        <v>174</v>
      </c>
      <c r="D456" s="288" t="str">
        <f t="shared" si="212"/>
        <v>Jun-25</v>
      </c>
      <c r="E456" s="272" t="s">
        <v>472</v>
      </c>
      <c r="F456" s="292">
        <v>45831</v>
      </c>
      <c r="G456" s="288" t="s">
        <v>329</v>
      </c>
      <c r="H456" s="288" t="s">
        <v>395</v>
      </c>
      <c r="I456" s="288">
        <v>0</v>
      </c>
      <c r="J456" s="384">
        <v>4</v>
      </c>
      <c r="K456" s="292">
        <v>45830</v>
      </c>
      <c r="L456" s="272" t="s">
        <v>1363</v>
      </c>
      <c r="M456" s="292">
        <v>45831</v>
      </c>
      <c r="N456" s="272" t="s">
        <v>255</v>
      </c>
      <c r="O456" s="293">
        <v>0</v>
      </c>
      <c r="P456" s="298" t="s">
        <v>1357</v>
      </c>
      <c r="Q456" s="272" t="s">
        <v>1484</v>
      </c>
      <c r="R456" s="391">
        <v>1</v>
      </c>
      <c r="S456" s="293">
        <v>50000</v>
      </c>
      <c r="T456" s="294">
        <f t="shared" si="213"/>
        <v>50000</v>
      </c>
      <c r="U456" s="294"/>
      <c r="V456" s="294"/>
      <c r="W456" s="294"/>
      <c r="X456" s="294"/>
      <c r="Y456" s="294"/>
      <c r="Z456" s="318"/>
      <c r="AA456" s="294"/>
      <c r="AB456" s="294"/>
      <c r="AC456" s="294"/>
      <c r="AD456" s="294"/>
      <c r="AE456" s="512"/>
      <c r="AF456" s="512"/>
      <c r="AG456" s="514">
        <f t="shared" si="214"/>
        <v>0</v>
      </c>
      <c r="AH456" s="514">
        <v>0</v>
      </c>
      <c r="AI456" s="514">
        <f t="shared" si="215"/>
        <v>0</v>
      </c>
      <c r="AJ456" s="514">
        <v>0</v>
      </c>
      <c r="AK456" s="514">
        <f t="shared" si="216"/>
        <v>0</v>
      </c>
      <c r="AL456" s="514">
        <v>0</v>
      </c>
      <c r="AM456" s="515"/>
      <c r="AN456" s="299"/>
      <c r="AO456" s="296"/>
      <c r="AP456" s="274"/>
      <c r="AQ456" s="275"/>
      <c r="AR456" s="275"/>
      <c r="AS456" s="280"/>
    </row>
    <row r="457" spans="2:45" x14ac:dyDescent="0.3">
      <c r="B457" s="287">
        <f t="shared" si="217"/>
        <v>9</v>
      </c>
      <c r="C457" s="288" t="s">
        <v>174</v>
      </c>
      <c r="D457" s="288" t="str">
        <f t="shared" si="212"/>
        <v>Jul-25</v>
      </c>
      <c r="E457" s="272" t="s">
        <v>472</v>
      </c>
      <c r="F457" s="292">
        <v>45842</v>
      </c>
      <c r="G457" s="288"/>
      <c r="H457" s="288" t="s">
        <v>395</v>
      </c>
      <c r="I457" s="288">
        <v>0</v>
      </c>
      <c r="J457" s="384">
        <v>5</v>
      </c>
      <c r="K457" s="292">
        <v>45842</v>
      </c>
      <c r="L457" s="272" t="s">
        <v>1416</v>
      </c>
      <c r="M457" s="292">
        <v>45842</v>
      </c>
      <c r="N457" s="272" t="s">
        <v>255</v>
      </c>
      <c r="O457" s="293">
        <v>0</v>
      </c>
      <c r="P457" s="298" t="s">
        <v>1357</v>
      </c>
      <c r="Q457" s="272" t="s">
        <v>1484</v>
      </c>
      <c r="R457" s="391">
        <v>1</v>
      </c>
      <c r="S457" s="293">
        <v>200000</v>
      </c>
      <c r="T457" s="294">
        <f t="shared" si="213"/>
        <v>200000</v>
      </c>
      <c r="U457" s="294"/>
      <c r="V457" s="294"/>
      <c r="W457" s="294"/>
      <c r="X457" s="294"/>
      <c r="Y457" s="294"/>
      <c r="Z457" s="318">
        <v>45859</v>
      </c>
      <c r="AA457" s="294" t="s">
        <v>1471</v>
      </c>
      <c r="AB457" s="294" t="s">
        <v>250</v>
      </c>
      <c r="AC457" s="294"/>
      <c r="AD457" s="294" t="s">
        <v>1419</v>
      </c>
      <c r="AE457" s="512">
        <v>1</v>
      </c>
      <c r="AF457" s="512">
        <v>61416</v>
      </c>
      <c r="AG457" s="514">
        <f t="shared" si="214"/>
        <v>61416</v>
      </c>
      <c r="AH457" s="514">
        <v>0</v>
      </c>
      <c r="AI457" s="514">
        <f t="shared" si="215"/>
        <v>61416</v>
      </c>
      <c r="AJ457" s="514">
        <v>0</v>
      </c>
      <c r="AK457" s="514">
        <f t="shared" si="216"/>
        <v>1</v>
      </c>
      <c r="AL457" s="514">
        <v>0</v>
      </c>
      <c r="AM457" s="515"/>
      <c r="AN457" s="299"/>
      <c r="AO457" s="296"/>
      <c r="AP457" s="274"/>
      <c r="AQ457" s="275"/>
      <c r="AR457" s="275"/>
      <c r="AS457" s="280"/>
    </row>
    <row r="458" spans="2:45" x14ac:dyDescent="0.3">
      <c r="B458" s="287">
        <f t="shared" si="217"/>
        <v>10</v>
      </c>
      <c r="C458" s="288" t="s">
        <v>174</v>
      </c>
      <c r="D458" s="288" t="str">
        <f t="shared" si="212"/>
        <v>Jul-25</v>
      </c>
      <c r="E458" s="272" t="s">
        <v>472</v>
      </c>
      <c r="F458" s="292">
        <v>45843</v>
      </c>
      <c r="G458" s="288"/>
      <c r="H458" s="288" t="s">
        <v>240</v>
      </c>
      <c r="I458" s="288" t="s">
        <v>1417</v>
      </c>
      <c r="J458" s="384">
        <v>53</v>
      </c>
      <c r="K458" s="292">
        <v>45839</v>
      </c>
      <c r="L458" s="272" t="s">
        <v>1418</v>
      </c>
      <c r="M458" s="292">
        <v>45843</v>
      </c>
      <c r="N458" s="272" t="s">
        <v>255</v>
      </c>
      <c r="O458" s="293">
        <v>0</v>
      </c>
      <c r="P458" s="298" t="s">
        <v>1357</v>
      </c>
      <c r="Q458" s="272" t="s">
        <v>1419</v>
      </c>
      <c r="R458" s="391">
        <v>1</v>
      </c>
      <c r="S458" s="293">
        <v>101050</v>
      </c>
      <c r="T458" s="294">
        <f t="shared" si="213"/>
        <v>101050</v>
      </c>
      <c r="U458" s="294"/>
      <c r="V458" s="294"/>
      <c r="W458" s="294"/>
      <c r="X458" s="294"/>
      <c r="Y458" s="294"/>
      <c r="Z458" s="318"/>
      <c r="AA458" s="294"/>
      <c r="AB458" s="294"/>
      <c r="AC458" s="294"/>
      <c r="AD458" s="294"/>
      <c r="AE458" s="512"/>
      <c r="AF458" s="512"/>
      <c r="AG458" s="514">
        <f t="shared" si="214"/>
        <v>0</v>
      </c>
      <c r="AH458" s="514">
        <v>0</v>
      </c>
      <c r="AI458" s="514">
        <f t="shared" si="215"/>
        <v>0</v>
      </c>
      <c r="AJ458" s="514">
        <v>0</v>
      </c>
      <c r="AK458" s="514">
        <f t="shared" si="216"/>
        <v>0</v>
      </c>
      <c r="AL458" s="514">
        <v>0</v>
      </c>
      <c r="AM458" s="515"/>
      <c r="AN458" s="299"/>
      <c r="AO458" s="296"/>
      <c r="AP458" s="274"/>
      <c r="AQ458" s="275"/>
      <c r="AR458" s="275"/>
      <c r="AS458" s="280"/>
    </row>
    <row r="459" spans="2:45" x14ac:dyDescent="0.3">
      <c r="B459" s="287">
        <f t="shared" si="217"/>
        <v>11</v>
      </c>
      <c r="C459" s="288" t="s">
        <v>174</v>
      </c>
      <c r="D459" s="288" t="str">
        <f t="shared" si="212"/>
        <v>Jul-25</v>
      </c>
      <c r="E459" s="272" t="s">
        <v>472</v>
      </c>
      <c r="F459" s="292">
        <v>45845</v>
      </c>
      <c r="G459" s="288" t="s">
        <v>329</v>
      </c>
      <c r="H459" s="288" t="s">
        <v>462</v>
      </c>
      <c r="I459" s="288" t="s">
        <v>1428</v>
      </c>
      <c r="J459" s="384">
        <v>306</v>
      </c>
      <c r="K459" s="292">
        <v>45838</v>
      </c>
      <c r="L459" s="272" t="s">
        <v>1429</v>
      </c>
      <c r="M459" s="292">
        <v>45845</v>
      </c>
      <c r="N459" s="272" t="s">
        <v>255</v>
      </c>
      <c r="O459" s="293">
        <v>0</v>
      </c>
      <c r="P459" s="298" t="s">
        <v>1357</v>
      </c>
      <c r="Q459" s="272" t="s">
        <v>1430</v>
      </c>
      <c r="R459" s="391">
        <v>6</v>
      </c>
      <c r="S459" s="293">
        <v>230</v>
      </c>
      <c r="T459" s="294">
        <f t="shared" si="213"/>
        <v>1380</v>
      </c>
      <c r="U459" s="294"/>
      <c r="V459" s="294"/>
      <c r="W459" s="294"/>
      <c r="X459" s="294"/>
      <c r="Y459" s="294"/>
      <c r="Z459" s="318"/>
      <c r="AA459" s="294"/>
      <c r="AB459" s="294"/>
      <c r="AC459" s="294"/>
      <c r="AD459" s="294"/>
      <c r="AE459" s="512"/>
      <c r="AF459" s="512"/>
      <c r="AG459" s="514">
        <f t="shared" si="214"/>
        <v>0</v>
      </c>
      <c r="AH459" s="514">
        <v>0</v>
      </c>
      <c r="AI459" s="514">
        <f t="shared" si="215"/>
        <v>0</v>
      </c>
      <c r="AJ459" s="514">
        <v>0</v>
      </c>
      <c r="AK459" s="514">
        <f t="shared" si="216"/>
        <v>0</v>
      </c>
      <c r="AL459" s="514">
        <v>0</v>
      </c>
      <c r="AM459" s="515"/>
      <c r="AN459" s="299"/>
      <c r="AO459" s="296"/>
      <c r="AP459" s="274"/>
      <c r="AQ459" s="275"/>
      <c r="AR459" s="275"/>
      <c r="AS459" s="280"/>
    </row>
    <row r="460" spans="2:45" x14ac:dyDescent="0.3">
      <c r="B460" s="287">
        <f t="shared" si="217"/>
        <v>12</v>
      </c>
      <c r="C460" s="288" t="s">
        <v>174</v>
      </c>
      <c r="D460" s="288" t="str">
        <f t="shared" si="212"/>
        <v>Jul-25</v>
      </c>
      <c r="E460" s="272" t="s">
        <v>472</v>
      </c>
      <c r="F460" s="292">
        <v>45855</v>
      </c>
      <c r="G460" s="288" t="s">
        <v>329</v>
      </c>
      <c r="H460" s="288" t="s">
        <v>1451</v>
      </c>
      <c r="I460" s="288">
        <v>0</v>
      </c>
      <c r="J460" s="384">
        <v>44</v>
      </c>
      <c r="K460" s="292">
        <v>45839</v>
      </c>
      <c r="L460" s="272" t="s">
        <v>1479</v>
      </c>
      <c r="M460" s="292">
        <v>45855</v>
      </c>
      <c r="N460" s="272" t="s">
        <v>255</v>
      </c>
      <c r="O460" s="293">
        <v>0</v>
      </c>
      <c r="P460" s="298" t="s">
        <v>1357</v>
      </c>
      <c r="Q460" s="272" t="s">
        <v>1419</v>
      </c>
      <c r="R460" s="391">
        <v>1</v>
      </c>
      <c r="S460" s="293">
        <v>56649</v>
      </c>
      <c r="T460" s="294">
        <f t="shared" si="213"/>
        <v>56649</v>
      </c>
      <c r="U460" s="294"/>
      <c r="V460" s="294"/>
      <c r="W460" s="294"/>
      <c r="X460" s="294"/>
      <c r="Y460" s="294"/>
      <c r="Z460" s="318"/>
      <c r="AA460" s="294"/>
      <c r="AB460" s="294"/>
      <c r="AC460" s="294"/>
      <c r="AD460" s="294"/>
      <c r="AE460" s="512"/>
      <c r="AF460" s="512"/>
      <c r="AG460" s="514">
        <f t="shared" si="214"/>
        <v>0</v>
      </c>
      <c r="AH460" s="514">
        <v>0</v>
      </c>
      <c r="AI460" s="514">
        <f t="shared" si="215"/>
        <v>0</v>
      </c>
      <c r="AJ460" s="514">
        <v>0</v>
      </c>
      <c r="AK460" s="514">
        <f t="shared" si="216"/>
        <v>0</v>
      </c>
      <c r="AL460" s="514">
        <v>0</v>
      </c>
      <c r="AM460" s="515"/>
      <c r="AN460" s="299"/>
      <c r="AO460" s="296"/>
      <c r="AP460" s="274"/>
      <c r="AQ460" s="275"/>
      <c r="AR460" s="275"/>
      <c r="AS460" s="280"/>
    </row>
    <row r="461" spans="2:45" x14ac:dyDescent="0.3">
      <c r="B461" s="287">
        <f t="shared" si="217"/>
        <v>13</v>
      </c>
      <c r="C461" s="288" t="s">
        <v>174</v>
      </c>
      <c r="D461" s="288" t="str">
        <f t="shared" si="212"/>
        <v>Jul-25</v>
      </c>
      <c r="E461" s="272" t="s">
        <v>472</v>
      </c>
      <c r="F461" s="292">
        <v>45855</v>
      </c>
      <c r="G461" s="288" t="s">
        <v>329</v>
      </c>
      <c r="H461" s="288" t="s">
        <v>1451</v>
      </c>
      <c r="I461" s="288">
        <v>0</v>
      </c>
      <c r="J461" s="384">
        <v>45</v>
      </c>
      <c r="K461" s="292">
        <v>45839</v>
      </c>
      <c r="L461" s="272" t="s">
        <v>1480</v>
      </c>
      <c r="M461" s="292">
        <v>45855</v>
      </c>
      <c r="N461" s="272" t="s">
        <v>255</v>
      </c>
      <c r="O461" s="293">
        <v>0</v>
      </c>
      <c r="P461" s="298" t="s">
        <v>1357</v>
      </c>
      <c r="Q461" s="272" t="s">
        <v>1419</v>
      </c>
      <c r="R461" s="391">
        <v>1</v>
      </c>
      <c r="S461" s="293">
        <v>2750</v>
      </c>
      <c r="T461" s="294">
        <f t="shared" si="213"/>
        <v>2750</v>
      </c>
      <c r="U461" s="294"/>
      <c r="V461" s="294"/>
      <c r="W461" s="294"/>
      <c r="X461" s="294"/>
      <c r="Y461" s="294"/>
      <c r="Z461" s="318"/>
      <c r="AA461" s="294"/>
      <c r="AB461" s="294"/>
      <c r="AC461" s="294"/>
      <c r="AD461" s="294"/>
      <c r="AE461" s="512"/>
      <c r="AF461" s="512"/>
      <c r="AG461" s="514">
        <f t="shared" si="214"/>
        <v>0</v>
      </c>
      <c r="AH461" s="514">
        <v>0</v>
      </c>
      <c r="AI461" s="514">
        <f t="shared" si="215"/>
        <v>0</v>
      </c>
      <c r="AJ461" s="514">
        <v>0</v>
      </c>
      <c r="AK461" s="514">
        <f t="shared" si="216"/>
        <v>0</v>
      </c>
      <c r="AL461" s="514">
        <v>0</v>
      </c>
      <c r="AM461" s="515"/>
      <c r="AN461" s="299"/>
      <c r="AO461" s="296"/>
      <c r="AP461" s="274"/>
      <c r="AQ461" s="275"/>
      <c r="AR461" s="275"/>
      <c r="AS461" s="280"/>
    </row>
    <row r="462" spans="2:45" x14ac:dyDescent="0.3">
      <c r="B462" s="287">
        <f t="shared" si="217"/>
        <v>14</v>
      </c>
      <c r="C462" s="288" t="s">
        <v>174</v>
      </c>
      <c r="D462" s="288" t="str">
        <f t="shared" si="212"/>
        <v>Jul-25</v>
      </c>
      <c r="E462" s="272" t="s">
        <v>472</v>
      </c>
      <c r="F462" s="292">
        <v>45855</v>
      </c>
      <c r="G462" s="288" t="s">
        <v>329</v>
      </c>
      <c r="H462" s="288" t="s">
        <v>1451</v>
      </c>
      <c r="I462" s="288">
        <v>0</v>
      </c>
      <c r="J462" s="384">
        <v>46</v>
      </c>
      <c r="K462" s="292">
        <v>45839</v>
      </c>
      <c r="L462" s="272" t="s">
        <v>1481</v>
      </c>
      <c r="M462" s="292">
        <v>45855</v>
      </c>
      <c r="N462" s="272" t="s">
        <v>255</v>
      </c>
      <c r="O462" s="293">
        <v>0</v>
      </c>
      <c r="P462" s="298" t="s">
        <v>1357</v>
      </c>
      <c r="Q462" s="272" t="s">
        <v>1419</v>
      </c>
      <c r="R462" s="391">
        <v>1</v>
      </c>
      <c r="S462" s="293">
        <v>88367</v>
      </c>
      <c r="T462" s="294">
        <f t="shared" si="213"/>
        <v>88367</v>
      </c>
      <c r="U462" s="294"/>
      <c r="V462" s="294"/>
      <c r="W462" s="294"/>
      <c r="X462" s="294"/>
      <c r="Y462" s="294"/>
      <c r="Z462" s="318"/>
      <c r="AA462" s="294"/>
      <c r="AB462" s="294"/>
      <c r="AC462" s="294"/>
      <c r="AD462" s="294"/>
      <c r="AE462" s="512"/>
      <c r="AF462" s="512"/>
      <c r="AG462" s="514">
        <f t="shared" si="214"/>
        <v>0</v>
      </c>
      <c r="AH462" s="514">
        <v>0</v>
      </c>
      <c r="AI462" s="514">
        <f t="shared" si="215"/>
        <v>0</v>
      </c>
      <c r="AJ462" s="514">
        <v>0</v>
      </c>
      <c r="AK462" s="514">
        <f t="shared" si="216"/>
        <v>0</v>
      </c>
      <c r="AL462" s="514">
        <v>0</v>
      </c>
      <c r="AM462" s="515"/>
      <c r="AN462" s="299"/>
      <c r="AO462" s="296"/>
      <c r="AP462" s="274"/>
      <c r="AQ462" s="275"/>
      <c r="AR462" s="275"/>
      <c r="AS462" s="280"/>
    </row>
    <row r="463" spans="2:45" x14ac:dyDescent="0.3">
      <c r="B463" s="287">
        <f t="shared" si="217"/>
        <v>15</v>
      </c>
      <c r="C463" s="288" t="s">
        <v>174</v>
      </c>
      <c r="D463" s="288" t="str">
        <f t="shared" si="212"/>
        <v>Jul-25</v>
      </c>
      <c r="E463" s="272" t="s">
        <v>472</v>
      </c>
      <c r="F463" s="292">
        <v>45859</v>
      </c>
      <c r="G463" s="288" t="s">
        <v>329</v>
      </c>
      <c r="H463" s="288" t="s">
        <v>395</v>
      </c>
      <c r="I463" s="288">
        <v>0</v>
      </c>
      <c r="J463" s="384">
        <v>6</v>
      </c>
      <c r="K463" s="292">
        <v>45859</v>
      </c>
      <c r="L463" s="272" t="s">
        <v>1482</v>
      </c>
      <c r="M463" s="292">
        <v>45859</v>
      </c>
      <c r="N463" s="272" t="s">
        <v>255</v>
      </c>
      <c r="O463" s="293">
        <v>0</v>
      </c>
      <c r="P463" s="298" t="s">
        <v>1357</v>
      </c>
      <c r="Q463" s="272" t="s">
        <v>1484</v>
      </c>
      <c r="R463" s="391">
        <v>1</v>
      </c>
      <c r="S463" s="293">
        <v>100000</v>
      </c>
      <c r="T463" s="294">
        <f t="shared" si="213"/>
        <v>100000</v>
      </c>
      <c r="U463" s="294"/>
      <c r="V463" s="294"/>
      <c r="W463" s="294"/>
      <c r="X463" s="294"/>
      <c r="Y463" s="294"/>
      <c r="Z463" s="318"/>
      <c r="AA463" s="294"/>
      <c r="AB463" s="294"/>
      <c r="AC463" s="294"/>
      <c r="AD463" s="294"/>
      <c r="AE463" s="512"/>
      <c r="AF463" s="512"/>
      <c r="AG463" s="514">
        <f t="shared" si="214"/>
        <v>0</v>
      </c>
      <c r="AH463" s="514">
        <v>0</v>
      </c>
      <c r="AI463" s="514">
        <f t="shared" si="215"/>
        <v>0</v>
      </c>
      <c r="AJ463" s="514">
        <v>0</v>
      </c>
      <c r="AK463" s="514">
        <f t="shared" si="216"/>
        <v>0</v>
      </c>
      <c r="AL463" s="514">
        <v>0</v>
      </c>
      <c r="AM463" s="515"/>
      <c r="AN463" s="299"/>
      <c r="AO463" s="296"/>
      <c r="AP463" s="274"/>
      <c r="AQ463" s="275"/>
      <c r="AR463" s="275"/>
      <c r="AS463" s="280"/>
    </row>
    <row r="464" spans="2:45" x14ac:dyDescent="0.3">
      <c r="B464" s="287">
        <f t="shared" si="217"/>
        <v>16</v>
      </c>
      <c r="C464" s="288" t="s">
        <v>174</v>
      </c>
      <c r="D464" s="288" t="str">
        <f t="shared" si="212"/>
        <v>Aug-25</v>
      </c>
      <c r="E464" s="272" t="s">
        <v>472</v>
      </c>
      <c r="F464" s="292">
        <v>45870</v>
      </c>
      <c r="G464" s="288" t="s">
        <v>329</v>
      </c>
      <c r="H464" s="288" t="s">
        <v>1451</v>
      </c>
      <c r="I464" s="288" t="s">
        <v>329</v>
      </c>
      <c r="J464" s="384">
        <v>64</v>
      </c>
      <c r="K464" s="292">
        <v>45870</v>
      </c>
      <c r="L464" s="272" t="s">
        <v>1527</v>
      </c>
      <c r="M464" s="292">
        <v>45874</v>
      </c>
      <c r="N464" s="272" t="s">
        <v>255</v>
      </c>
      <c r="O464" s="293">
        <v>0</v>
      </c>
      <c r="P464" s="298" t="s">
        <v>1357</v>
      </c>
      <c r="Q464" s="272" t="s">
        <v>1419</v>
      </c>
      <c r="R464" s="391">
        <v>1</v>
      </c>
      <c r="S464" s="293">
        <v>104173</v>
      </c>
      <c r="T464" s="294">
        <f t="shared" si="213"/>
        <v>104173</v>
      </c>
      <c r="U464" s="294"/>
      <c r="V464" s="294"/>
      <c r="W464" s="294"/>
      <c r="X464" s="294"/>
      <c r="Y464" s="294"/>
      <c r="Z464" s="318">
        <v>45877</v>
      </c>
      <c r="AA464" s="294" t="s">
        <v>1588</v>
      </c>
      <c r="AB464" s="294" t="s">
        <v>250</v>
      </c>
      <c r="AC464" s="294"/>
      <c r="AD464" s="294" t="s">
        <v>1419</v>
      </c>
      <c r="AE464" s="512">
        <v>1</v>
      </c>
      <c r="AF464" s="512">
        <v>6325</v>
      </c>
      <c r="AG464" s="514">
        <f t="shared" si="214"/>
        <v>6325</v>
      </c>
      <c r="AH464" s="514">
        <v>0</v>
      </c>
      <c r="AI464" s="514">
        <f t="shared" si="215"/>
        <v>6325</v>
      </c>
      <c r="AJ464" s="514">
        <v>0</v>
      </c>
      <c r="AK464" s="514">
        <f t="shared" si="216"/>
        <v>1</v>
      </c>
      <c r="AL464" s="514">
        <v>0</v>
      </c>
      <c r="AM464" s="515"/>
      <c r="AN464" s="299"/>
      <c r="AO464" s="296"/>
      <c r="AP464" s="274"/>
      <c r="AQ464" s="275"/>
      <c r="AR464" s="275"/>
      <c r="AS464" s="280"/>
    </row>
    <row r="465" spans="2:45" x14ac:dyDescent="0.3">
      <c r="B465" s="287">
        <f t="shared" si="217"/>
        <v>17</v>
      </c>
      <c r="C465" s="288" t="s">
        <v>174</v>
      </c>
      <c r="D465" s="288" t="str">
        <f t="shared" si="212"/>
        <v>Aug-25</v>
      </c>
      <c r="E465" s="272" t="s">
        <v>472</v>
      </c>
      <c r="F465" s="292">
        <v>45870</v>
      </c>
      <c r="G465" s="288" t="s">
        <v>329</v>
      </c>
      <c r="H465" s="288" t="s">
        <v>240</v>
      </c>
      <c r="I465" s="288" t="s">
        <v>1417</v>
      </c>
      <c r="J465" s="384">
        <v>63</v>
      </c>
      <c r="K465" s="292">
        <v>45870</v>
      </c>
      <c r="L465" s="272" t="s">
        <v>1528</v>
      </c>
      <c r="M465" s="292">
        <v>45874</v>
      </c>
      <c r="N465" s="272" t="s">
        <v>255</v>
      </c>
      <c r="O465" s="293">
        <v>0</v>
      </c>
      <c r="P465" s="298" t="s">
        <v>1357</v>
      </c>
      <c r="Q465" s="272" t="s">
        <v>1419</v>
      </c>
      <c r="R465" s="391">
        <v>1</v>
      </c>
      <c r="S465" s="293">
        <v>78350</v>
      </c>
      <c r="T465" s="294">
        <f t="shared" si="213"/>
        <v>78350</v>
      </c>
      <c r="U465" s="294"/>
      <c r="V465" s="294"/>
      <c r="W465" s="294"/>
      <c r="X465" s="294"/>
      <c r="Y465" s="294"/>
      <c r="Z465" s="318"/>
      <c r="AA465" s="294"/>
      <c r="AB465" s="294"/>
      <c r="AC465" s="294"/>
      <c r="AD465" s="294"/>
      <c r="AE465" s="512"/>
      <c r="AF465" s="512"/>
      <c r="AG465" s="514">
        <f t="shared" si="214"/>
        <v>0</v>
      </c>
      <c r="AH465" s="514">
        <v>0</v>
      </c>
      <c r="AI465" s="514">
        <f t="shared" si="215"/>
        <v>0</v>
      </c>
      <c r="AJ465" s="514">
        <v>0</v>
      </c>
      <c r="AK465" s="514">
        <f t="shared" si="216"/>
        <v>0</v>
      </c>
      <c r="AL465" s="514">
        <v>0</v>
      </c>
      <c r="AM465" s="515"/>
      <c r="AN465" s="299"/>
      <c r="AO465" s="296"/>
      <c r="AP465" s="274"/>
      <c r="AQ465" s="275"/>
      <c r="AR465" s="275"/>
      <c r="AS465" s="280"/>
    </row>
    <row r="466" spans="2:45" x14ac:dyDescent="0.3">
      <c r="B466" s="287">
        <f t="shared" si="217"/>
        <v>18</v>
      </c>
      <c r="C466" s="288" t="s">
        <v>174</v>
      </c>
      <c r="D466" s="288" t="str">
        <f t="shared" si="212"/>
        <v>Aug-25</v>
      </c>
      <c r="E466" s="272" t="s">
        <v>472</v>
      </c>
      <c r="F466" s="292">
        <v>45874</v>
      </c>
      <c r="G466" s="288" t="s">
        <v>329</v>
      </c>
      <c r="H466" s="288" t="s">
        <v>395</v>
      </c>
      <c r="I466" s="288" t="s">
        <v>329</v>
      </c>
      <c r="J466" s="384">
        <v>7</v>
      </c>
      <c r="K466" s="292">
        <v>45874</v>
      </c>
      <c r="L466" s="272" t="s">
        <v>1529</v>
      </c>
      <c r="M466" s="292">
        <v>45874</v>
      </c>
      <c r="N466" s="272" t="s">
        <v>255</v>
      </c>
      <c r="O466" s="293">
        <v>0</v>
      </c>
      <c r="P466" s="298" t="s">
        <v>1357</v>
      </c>
      <c r="Q466" s="272" t="s">
        <v>329</v>
      </c>
      <c r="R466" s="391">
        <v>1</v>
      </c>
      <c r="S466" s="293">
        <v>200000</v>
      </c>
      <c r="T466" s="294">
        <f t="shared" si="213"/>
        <v>200000</v>
      </c>
      <c r="U466" s="294"/>
      <c r="V466" s="294"/>
      <c r="W466" s="294"/>
      <c r="X466" s="294"/>
      <c r="Y466" s="294"/>
      <c r="Z466" s="318"/>
      <c r="AA466" s="294"/>
      <c r="AB466" s="294"/>
      <c r="AC466" s="294"/>
      <c r="AD466" s="294"/>
      <c r="AE466" s="512"/>
      <c r="AF466" s="512"/>
      <c r="AG466" s="514">
        <f t="shared" si="214"/>
        <v>0</v>
      </c>
      <c r="AH466" s="514">
        <v>0</v>
      </c>
      <c r="AI466" s="514">
        <f t="shared" si="215"/>
        <v>0</v>
      </c>
      <c r="AJ466" s="514">
        <v>0</v>
      </c>
      <c r="AK466" s="514">
        <f t="shared" si="216"/>
        <v>0</v>
      </c>
      <c r="AL466" s="514">
        <v>0</v>
      </c>
      <c r="AM466" s="515"/>
      <c r="AN466" s="299"/>
      <c r="AO466" s="296"/>
      <c r="AP466" s="274"/>
      <c r="AQ466" s="275"/>
      <c r="AR466" s="275"/>
      <c r="AS466" s="280"/>
    </row>
    <row r="467" spans="2:45" x14ac:dyDescent="0.3">
      <c r="B467" s="287">
        <f t="shared" si="217"/>
        <v>19</v>
      </c>
      <c r="C467" s="288" t="s">
        <v>174</v>
      </c>
      <c r="D467" s="288" t="str">
        <f t="shared" ref="D467:D498" si="218">TEXT(F467,"mmm-yy")</f>
        <v>Aug-25</v>
      </c>
      <c r="E467" s="272" t="s">
        <v>472</v>
      </c>
      <c r="F467" s="292">
        <v>45882</v>
      </c>
      <c r="G467" s="288" t="s">
        <v>329</v>
      </c>
      <c r="H467" s="288" t="s">
        <v>395</v>
      </c>
      <c r="I467" s="288" t="s">
        <v>329</v>
      </c>
      <c r="J467" s="384">
        <v>8</v>
      </c>
      <c r="K467" s="292">
        <v>45882</v>
      </c>
      <c r="L467" s="272" t="s">
        <v>1622</v>
      </c>
      <c r="M467" s="292">
        <v>45882</v>
      </c>
      <c r="N467" s="272" t="s">
        <v>255</v>
      </c>
      <c r="O467" s="293">
        <v>0</v>
      </c>
      <c r="P467" s="298" t="s">
        <v>1357</v>
      </c>
      <c r="Q467" s="272" t="s">
        <v>329</v>
      </c>
      <c r="R467" s="391">
        <v>1</v>
      </c>
      <c r="S467" s="293">
        <v>200000</v>
      </c>
      <c r="T467" s="294">
        <f t="shared" ref="T467:T498" si="219">R467*S467</f>
        <v>200000</v>
      </c>
      <c r="U467" s="294"/>
      <c r="V467" s="294"/>
      <c r="W467" s="294"/>
      <c r="X467" s="294"/>
      <c r="Y467" s="294"/>
      <c r="Z467" s="318"/>
      <c r="AA467" s="294"/>
      <c r="AB467" s="294"/>
      <c r="AC467" s="294"/>
      <c r="AD467" s="294"/>
      <c r="AE467" s="512"/>
      <c r="AF467" s="512"/>
      <c r="AG467" s="514">
        <f t="shared" si="214"/>
        <v>0</v>
      </c>
      <c r="AH467" s="514">
        <v>0</v>
      </c>
      <c r="AI467" s="514">
        <f t="shared" si="215"/>
        <v>0</v>
      </c>
      <c r="AJ467" s="514">
        <v>0</v>
      </c>
      <c r="AK467" s="514">
        <f t="shared" si="216"/>
        <v>0</v>
      </c>
      <c r="AL467" s="514">
        <v>0</v>
      </c>
      <c r="AM467" s="515"/>
      <c r="AN467" s="299"/>
      <c r="AO467" s="296"/>
      <c r="AP467" s="274"/>
      <c r="AQ467" s="275"/>
      <c r="AR467" s="275"/>
      <c r="AS467" s="280"/>
    </row>
    <row r="468" spans="2:45" x14ac:dyDescent="0.3">
      <c r="B468" s="287">
        <f t="shared" si="217"/>
        <v>20</v>
      </c>
      <c r="C468" s="288" t="s">
        <v>174</v>
      </c>
      <c r="D468" s="288" t="str">
        <f t="shared" si="218"/>
        <v>Sep-25</v>
      </c>
      <c r="E468" s="272" t="s">
        <v>472</v>
      </c>
      <c r="F468" s="292">
        <v>45901</v>
      </c>
      <c r="G468" s="288" t="s">
        <v>329</v>
      </c>
      <c r="H468" s="288" t="s">
        <v>240</v>
      </c>
      <c r="I468" s="288" t="s">
        <v>1417</v>
      </c>
      <c r="J468" s="384">
        <v>76</v>
      </c>
      <c r="K468" s="292">
        <v>45901</v>
      </c>
      <c r="L468" s="272" t="s">
        <v>1717</v>
      </c>
      <c r="M468" s="292">
        <v>45908</v>
      </c>
      <c r="N468" s="272" t="s">
        <v>255</v>
      </c>
      <c r="O468" s="293">
        <v>0</v>
      </c>
      <c r="P468" s="298" t="s">
        <v>1357</v>
      </c>
      <c r="Q468" s="272" t="s">
        <v>1419</v>
      </c>
      <c r="R468" s="391">
        <v>1</v>
      </c>
      <c r="S468" s="293">
        <v>6150</v>
      </c>
      <c r="T468" s="294">
        <f t="shared" si="219"/>
        <v>6150</v>
      </c>
      <c r="U468" s="294"/>
      <c r="V468" s="294"/>
      <c r="W468" s="294"/>
      <c r="X468" s="294"/>
      <c r="Y468" s="294"/>
      <c r="Z468" s="318"/>
      <c r="AA468" s="294"/>
      <c r="AB468" s="294"/>
      <c r="AC468" s="294"/>
      <c r="AD468" s="294"/>
      <c r="AE468" s="512"/>
      <c r="AF468" s="512"/>
      <c r="AG468" s="514">
        <f t="shared" si="214"/>
        <v>0</v>
      </c>
      <c r="AH468" s="514">
        <v>0</v>
      </c>
      <c r="AI468" s="514">
        <f t="shared" si="215"/>
        <v>0</v>
      </c>
      <c r="AJ468" s="514">
        <v>0</v>
      </c>
      <c r="AK468" s="514">
        <f t="shared" si="216"/>
        <v>0</v>
      </c>
      <c r="AL468" s="514">
        <v>0</v>
      </c>
      <c r="AM468" s="515"/>
      <c r="AN468" s="299"/>
      <c r="AO468" s="296"/>
      <c r="AP468" s="274"/>
      <c r="AQ468" s="275"/>
      <c r="AR468" s="275"/>
      <c r="AS468" s="280"/>
    </row>
    <row r="469" spans="2:45" x14ac:dyDescent="0.3">
      <c r="B469" s="287">
        <f t="shared" si="217"/>
        <v>21</v>
      </c>
      <c r="C469" s="288" t="s">
        <v>174</v>
      </c>
      <c r="D469" s="288" t="str">
        <f t="shared" si="218"/>
        <v>Sep-25</v>
      </c>
      <c r="E469" s="272" t="s">
        <v>472</v>
      </c>
      <c r="F469" s="292">
        <v>45902</v>
      </c>
      <c r="G469" s="288" t="s">
        <v>329</v>
      </c>
      <c r="H469" s="288" t="s">
        <v>395</v>
      </c>
      <c r="I469" s="288" t="s">
        <v>329</v>
      </c>
      <c r="J469" s="384">
        <v>9</v>
      </c>
      <c r="K469" s="292">
        <v>45902</v>
      </c>
      <c r="L469" s="272" t="s">
        <v>1665</v>
      </c>
      <c r="M469" s="292">
        <v>45902</v>
      </c>
      <c r="N469" s="272" t="s">
        <v>255</v>
      </c>
      <c r="O469" s="293">
        <v>0</v>
      </c>
      <c r="P469" s="298" t="s">
        <v>1357</v>
      </c>
      <c r="Q469" s="272" t="s">
        <v>329</v>
      </c>
      <c r="R469" s="391">
        <v>1</v>
      </c>
      <c r="S469" s="293">
        <v>41400</v>
      </c>
      <c r="T469" s="294">
        <f t="shared" si="219"/>
        <v>41400</v>
      </c>
      <c r="U469" s="294"/>
      <c r="V469" s="294"/>
      <c r="W469" s="294"/>
      <c r="X469" s="294"/>
      <c r="Y469" s="294"/>
      <c r="Z469" s="318"/>
      <c r="AA469" s="294"/>
      <c r="AB469" s="294"/>
      <c r="AC469" s="294"/>
      <c r="AD469" s="294"/>
      <c r="AE469" s="512"/>
      <c r="AF469" s="512"/>
      <c r="AG469" s="514">
        <f t="shared" si="214"/>
        <v>0</v>
      </c>
      <c r="AH469" s="514">
        <v>0</v>
      </c>
      <c r="AI469" s="514">
        <f t="shared" si="215"/>
        <v>0</v>
      </c>
      <c r="AJ469" s="514">
        <v>0</v>
      </c>
      <c r="AK469" s="514">
        <f t="shared" si="216"/>
        <v>0</v>
      </c>
      <c r="AL469" s="514">
        <v>0</v>
      </c>
      <c r="AM469" s="515"/>
      <c r="AN469" s="299"/>
      <c r="AO469" s="296"/>
      <c r="AP469" s="274"/>
      <c r="AQ469" s="275"/>
      <c r="AR469" s="275"/>
      <c r="AS469" s="280"/>
    </row>
    <row r="470" spans="2:45" x14ac:dyDescent="0.3">
      <c r="B470" s="287">
        <f t="shared" si="217"/>
        <v>22</v>
      </c>
      <c r="C470" s="288" t="s">
        <v>174</v>
      </c>
      <c r="D470" s="288" t="str">
        <f t="shared" si="218"/>
        <v>Sep-25</v>
      </c>
      <c r="E470" s="272" t="s">
        <v>472</v>
      </c>
      <c r="F470" s="292">
        <v>45902</v>
      </c>
      <c r="G470" s="288" t="s">
        <v>329</v>
      </c>
      <c r="H470" s="288" t="s">
        <v>395</v>
      </c>
      <c r="I470" s="288" t="s">
        <v>329</v>
      </c>
      <c r="J470" s="384">
        <v>9</v>
      </c>
      <c r="K470" s="292">
        <v>45902</v>
      </c>
      <c r="L470" s="272" t="s">
        <v>1665</v>
      </c>
      <c r="M470" s="292">
        <v>45902</v>
      </c>
      <c r="N470" s="272" t="s">
        <v>255</v>
      </c>
      <c r="O470" s="293">
        <v>0</v>
      </c>
      <c r="P470" s="298" t="s">
        <v>1357</v>
      </c>
      <c r="Q470" s="272" t="s">
        <v>1666</v>
      </c>
      <c r="R470" s="391">
        <v>5</v>
      </c>
      <c r="S470" s="293">
        <v>1850</v>
      </c>
      <c r="T470" s="294">
        <f t="shared" si="219"/>
        <v>9250</v>
      </c>
      <c r="U470" s="294"/>
      <c r="V470" s="294"/>
      <c r="W470" s="294"/>
      <c r="X470" s="294"/>
      <c r="Y470" s="294"/>
      <c r="Z470" s="318"/>
      <c r="AA470" s="294"/>
      <c r="AB470" s="294"/>
      <c r="AC470" s="294"/>
      <c r="AD470" s="294"/>
      <c r="AE470" s="512"/>
      <c r="AF470" s="512"/>
      <c r="AG470" s="514">
        <f t="shared" si="214"/>
        <v>0</v>
      </c>
      <c r="AH470" s="514">
        <v>0</v>
      </c>
      <c r="AI470" s="514">
        <f t="shared" si="215"/>
        <v>0</v>
      </c>
      <c r="AJ470" s="514">
        <v>0</v>
      </c>
      <c r="AK470" s="514">
        <f t="shared" si="216"/>
        <v>0</v>
      </c>
      <c r="AL470" s="514">
        <v>0</v>
      </c>
      <c r="AM470" s="515"/>
      <c r="AN470" s="299"/>
      <c r="AO470" s="296"/>
      <c r="AP470" s="274"/>
      <c r="AQ470" s="275"/>
      <c r="AR470" s="275"/>
      <c r="AS470" s="280"/>
    </row>
    <row r="471" spans="2:45" x14ac:dyDescent="0.3">
      <c r="B471" s="287">
        <f t="shared" si="217"/>
        <v>23</v>
      </c>
      <c r="C471" s="288" t="s">
        <v>174</v>
      </c>
      <c r="D471" s="288" t="str">
        <f t="shared" si="218"/>
        <v>Sep-25</v>
      </c>
      <c r="E471" s="272" t="s">
        <v>472</v>
      </c>
      <c r="F471" s="292">
        <v>45902</v>
      </c>
      <c r="G471" s="288" t="s">
        <v>329</v>
      </c>
      <c r="H471" s="288" t="s">
        <v>395</v>
      </c>
      <c r="I471" s="288" t="s">
        <v>329</v>
      </c>
      <c r="J471" s="384">
        <v>9</v>
      </c>
      <c r="K471" s="292">
        <v>45902</v>
      </c>
      <c r="L471" s="272" t="s">
        <v>1665</v>
      </c>
      <c r="M471" s="292">
        <v>45902</v>
      </c>
      <c r="N471" s="272" t="s">
        <v>255</v>
      </c>
      <c r="O471" s="293">
        <v>0</v>
      </c>
      <c r="P471" s="298" t="s">
        <v>1357</v>
      </c>
      <c r="Q471" s="272" t="s">
        <v>1430</v>
      </c>
      <c r="R471" s="391">
        <v>59</v>
      </c>
      <c r="S471" s="293">
        <v>240</v>
      </c>
      <c r="T471" s="294">
        <f t="shared" si="219"/>
        <v>14160</v>
      </c>
      <c r="U471" s="294"/>
      <c r="V471" s="294"/>
      <c r="W471" s="294"/>
      <c r="X471" s="294"/>
      <c r="Y471" s="294"/>
      <c r="Z471" s="318"/>
      <c r="AA471" s="294"/>
      <c r="AB471" s="294"/>
      <c r="AC471" s="294"/>
      <c r="AD471" s="294"/>
      <c r="AE471" s="512"/>
      <c r="AF471" s="512"/>
      <c r="AG471" s="514">
        <f t="shared" si="214"/>
        <v>0</v>
      </c>
      <c r="AH471" s="514">
        <v>0</v>
      </c>
      <c r="AI471" s="514">
        <f t="shared" si="215"/>
        <v>0</v>
      </c>
      <c r="AJ471" s="514">
        <v>0</v>
      </c>
      <c r="AK471" s="514">
        <f t="shared" si="216"/>
        <v>0</v>
      </c>
      <c r="AL471" s="514">
        <v>0</v>
      </c>
      <c r="AM471" s="515"/>
      <c r="AN471" s="299"/>
      <c r="AO471" s="296"/>
      <c r="AP471" s="274"/>
      <c r="AQ471" s="275"/>
      <c r="AR471" s="275"/>
      <c r="AS471" s="280"/>
    </row>
    <row r="472" spans="2:45" x14ac:dyDescent="0.3">
      <c r="B472" s="287">
        <f t="shared" si="217"/>
        <v>24</v>
      </c>
      <c r="C472" s="288" t="s">
        <v>174</v>
      </c>
      <c r="D472" s="288" t="str">
        <f t="shared" si="218"/>
        <v>Sep-25</v>
      </c>
      <c r="E472" s="272" t="s">
        <v>472</v>
      </c>
      <c r="F472" s="292">
        <v>45902</v>
      </c>
      <c r="G472" s="288" t="s">
        <v>329</v>
      </c>
      <c r="H472" s="288" t="s">
        <v>395</v>
      </c>
      <c r="I472" s="288" t="s">
        <v>329</v>
      </c>
      <c r="J472" s="384">
        <v>10</v>
      </c>
      <c r="K472" s="292">
        <v>45902</v>
      </c>
      <c r="L472" s="272" t="s">
        <v>1667</v>
      </c>
      <c r="M472" s="292">
        <v>45902</v>
      </c>
      <c r="N472" s="272" t="s">
        <v>255</v>
      </c>
      <c r="O472" s="293">
        <v>0</v>
      </c>
      <c r="P472" s="298" t="s">
        <v>1357</v>
      </c>
      <c r="Q472" s="272" t="s">
        <v>329</v>
      </c>
      <c r="R472" s="391">
        <v>1</v>
      </c>
      <c r="S472" s="293">
        <v>200000</v>
      </c>
      <c r="T472" s="294">
        <f t="shared" si="219"/>
        <v>200000</v>
      </c>
      <c r="U472" s="294"/>
      <c r="V472" s="294"/>
      <c r="W472" s="294"/>
      <c r="X472" s="294"/>
      <c r="Y472" s="294"/>
      <c r="Z472" s="318"/>
      <c r="AA472" s="294"/>
      <c r="AB472" s="294"/>
      <c r="AC472" s="294"/>
      <c r="AD472" s="294"/>
      <c r="AE472" s="512"/>
      <c r="AF472" s="512"/>
      <c r="AG472" s="514">
        <f t="shared" si="214"/>
        <v>0</v>
      </c>
      <c r="AH472" s="514">
        <v>0</v>
      </c>
      <c r="AI472" s="514">
        <f t="shared" si="215"/>
        <v>0</v>
      </c>
      <c r="AJ472" s="514">
        <v>0</v>
      </c>
      <c r="AK472" s="514">
        <f t="shared" si="216"/>
        <v>0</v>
      </c>
      <c r="AL472" s="514">
        <v>0</v>
      </c>
      <c r="AM472" s="515"/>
      <c r="AN472" s="299"/>
      <c r="AO472" s="296"/>
      <c r="AP472" s="274"/>
      <c r="AQ472" s="275"/>
      <c r="AR472" s="275"/>
      <c r="AS472" s="280"/>
    </row>
    <row r="473" spans="2:45" x14ac:dyDescent="0.3">
      <c r="B473" s="287">
        <f t="shared" si="217"/>
        <v>25</v>
      </c>
      <c r="C473" s="288" t="s">
        <v>174</v>
      </c>
      <c r="D473" s="288" t="str">
        <f t="shared" si="218"/>
        <v>Sep-25</v>
      </c>
      <c r="E473" s="272" t="s">
        <v>472</v>
      </c>
      <c r="F473" s="292">
        <v>45919</v>
      </c>
      <c r="G473" s="288" t="s">
        <v>329</v>
      </c>
      <c r="H473" s="288" t="s">
        <v>395</v>
      </c>
      <c r="I473" s="288" t="s">
        <v>329</v>
      </c>
      <c r="J473" s="384">
        <v>11</v>
      </c>
      <c r="K473" s="292">
        <v>45919</v>
      </c>
      <c r="L473" s="272" t="s">
        <v>1855</v>
      </c>
      <c r="M473" s="292">
        <v>45919</v>
      </c>
      <c r="N473" s="272" t="s">
        <v>255</v>
      </c>
      <c r="O473" s="293">
        <v>0</v>
      </c>
      <c r="P473" s="298" t="s">
        <v>1357</v>
      </c>
      <c r="Q473" s="272" t="s">
        <v>329</v>
      </c>
      <c r="R473" s="391">
        <v>1</v>
      </c>
      <c r="S473" s="293">
        <v>100000</v>
      </c>
      <c r="T473" s="294">
        <f t="shared" si="219"/>
        <v>100000</v>
      </c>
      <c r="U473" s="294"/>
      <c r="V473" s="294"/>
      <c r="W473" s="294"/>
      <c r="X473" s="294"/>
      <c r="Y473" s="294"/>
      <c r="Z473" s="318"/>
      <c r="AA473" s="294"/>
      <c r="AB473" s="294"/>
      <c r="AC473" s="294"/>
      <c r="AD473" s="294"/>
      <c r="AE473" s="512"/>
      <c r="AF473" s="512"/>
      <c r="AG473" s="514">
        <f t="shared" si="214"/>
        <v>0</v>
      </c>
      <c r="AH473" s="514">
        <v>0</v>
      </c>
      <c r="AI473" s="514">
        <f t="shared" si="215"/>
        <v>0</v>
      </c>
      <c r="AJ473" s="514">
        <v>0</v>
      </c>
      <c r="AK473" s="514">
        <f t="shared" si="216"/>
        <v>0</v>
      </c>
      <c r="AL473" s="514">
        <v>0</v>
      </c>
      <c r="AM473" s="515"/>
      <c r="AN473" s="299"/>
      <c r="AO473" s="296"/>
      <c r="AP473" s="274"/>
      <c r="AQ473" s="275"/>
      <c r="AR473" s="275"/>
      <c r="AS473" s="280"/>
    </row>
    <row r="474" spans="2:45" x14ac:dyDescent="0.3">
      <c r="B474" s="287">
        <f t="shared" si="217"/>
        <v>26</v>
      </c>
      <c r="C474" s="288" t="s">
        <v>174</v>
      </c>
      <c r="D474" s="288" t="str">
        <f t="shared" si="218"/>
        <v>Oct-25</v>
      </c>
      <c r="E474" s="272" t="s">
        <v>472</v>
      </c>
      <c r="F474" s="292">
        <v>45933</v>
      </c>
      <c r="G474" s="288"/>
      <c r="H474" s="288" t="s">
        <v>395</v>
      </c>
      <c r="I474" s="288" t="s">
        <v>329</v>
      </c>
      <c r="J474" s="384" t="s">
        <v>339</v>
      </c>
      <c r="K474" s="292">
        <v>45933</v>
      </c>
      <c r="L474" s="272" t="s">
        <v>2099</v>
      </c>
      <c r="M474" s="292">
        <v>45933</v>
      </c>
      <c r="N474" s="272" t="s">
        <v>255</v>
      </c>
      <c r="O474" s="293">
        <v>0</v>
      </c>
      <c r="P474" s="298" t="s">
        <v>1357</v>
      </c>
      <c r="Q474" s="272" t="s">
        <v>329</v>
      </c>
      <c r="R474" s="391">
        <v>1</v>
      </c>
      <c r="S474" s="293">
        <v>160350</v>
      </c>
      <c r="T474" s="294">
        <f t="shared" si="219"/>
        <v>160350</v>
      </c>
      <c r="U474" s="294"/>
      <c r="V474" s="294"/>
      <c r="W474" s="294"/>
      <c r="X474" s="294"/>
      <c r="Y474" s="294"/>
      <c r="Z474" s="318"/>
      <c r="AA474" s="294"/>
      <c r="AB474" s="294"/>
      <c r="AC474" s="294"/>
      <c r="AD474" s="294"/>
      <c r="AE474" s="512"/>
      <c r="AF474" s="512"/>
      <c r="AG474" s="514">
        <f t="shared" si="214"/>
        <v>0</v>
      </c>
      <c r="AH474" s="514">
        <v>0</v>
      </c>
      <c r="AI474" s="514">
        <f t="shared" si="215"/>
        <v>0</v>
      </c>
      <c r="AJ474" s="514">
        <v>0</v>
      </c>
      <c r="AK474" s="514">
        <f t="shared" si="216"/>
        <v>0</v>
      </c>
      <c r="AL474" s="514">
        <v>0</v>
      </c>
      <c r="AM474" s="515"/>
      <c r="AN474" s="299"/>
      <c r="AO474" s="296"/>
      <c r="AP474" s="274"/>
      <c r="AQ474" s="275"/>
      <c r="AR474" s="275"/>
      <c r="AS474" s="280"/>
    </row>
    <row r="475" spans="2:45" x14ac:dyDescent="0.3">
      <c r="B475" s="287">
        <f t="shared" si="217"/>
        <v>27</v>
      </c>
      <c r="C475" s="288" t="s">
        <v>174</v>
      </c>
      <c r="D475" s="288" t="str">
        <f t="shared" si="218"/>
        <v>Oct-25</v>
      </c>
      <c r="E475" s="272" t="s">
        <v>472</v>
      </c>
      <c r="F475" s="292">
        <v>45933</v>
      </c>
      <c r="G475" s="288"/>
      <c r="H475" s="288" t="s">
        <v>240</v>
      </c>
      <c r="I475" s="288" t="s">
        <v>1417</v>
      </c>
      <c r="J475" s="384" t="s">
        <v>2097</v>
      </c>
      <c r="K475" s="292">
        <v>45931</v>
      </c>
      <c r="L475" s="272" t="s">
        <v>2100</v>
      </c>
      <c r="M475" s="292">
        <v>45933</v>
      </c>
      <c r="N475" s="272" t="s">
        <v>255</v>
      </c>
      <c r="O475" s="293">
        <v>0</v>
      </c>
      <c r="P475" s="298" t="s">
        <v>1357</v>
      </c>
      <c r="Q475" s="272" t="s">
        <v>1419</v>
      </c>
      <c r="R475" s="391">
        <v>1</v>
      </c>
      <c r="S475" s="293">
        <v>80600</v>
      </c>
      <c r="T475" s="294">
        <f t="shared" si="219"/>
        <v>80600</v>
      </c>
      <c r="U475" s="294"/>
      <c r="V475" s="294"/>
      <c r="W475" s="294"/>
      <c r="X475" s="294"/>
      <c r="Y475" s="294"/>
      <c r="Z475" s="318"/>
      <c r="AA475" s="294"/>
      <c r="AB475" s="294"/>
      <c r="AC475" s="294"/>
      <c r="AD475" s="294"/>
      <c r="AE475" s="512"/>
      <c r="AF475" s="512"/>
      <c r="AG475" s="514">
        <f t="shared" si="214"/>
        <v>0</v>
      </c>
      <c r="AH475" s="514">
        <v>0</v>
      </c>
      <c r="AI475" s="514">
        <f t="shared" si="215"/>
        <v>0</v>
      </c>
      <c r="AJ475" s="514">
        <v>0</v>
      </c>
      <c r="AK475" s="514">
        <f t="shared" si="216"/>
        <v>0</v>
      </c>
      <c r="AL475" s="514">
        <v>0</v>
      </c>
      <c r="AM475" s="515"/>
      <c r="AN475" s="299"/>
      <c r="AO475" s="296"/>
      <c r="AP475" s="274"/>
      <c r="AQ475" s="275"/>
      <c r="AR475" s="275"/>
      <c r="AS475" s="280"/>
    </row>
    <row r="476" spans="2:45" x14ac:dyDescent="0.3">
      <c r="B476" s="287">
        <f t="shared" si="217"/>
        <v>28</v>
      </c>
      <c r="C476" s="288" t="s">
        <v>174</v>
      </c>
      <c r="D476" s="288" t="str">
        <f t="shared" si="218"/>
        <v>Oct-25</v>
      </c>
      <c r="E476" s="272" t="s">
        <v>472</v>
      </c>
      <c r="F476" s="292">
        <v>45936</v>
      </c>
      <c r="G476" s="288"/>
      <c r="H476" s="288" t="s">
        <v>2054</v>
      </c>
      <c r="I476" s="288" t="s">
        <v>2096</v>
      </c>
      <c r="J476" s="384" t="s">
        <v>1102</v>
      </c>
      <c r="K476" s="292">
        <v>45930</v>
      </c>
      <c r="L476" s="272" t="s">
        <v>2101</v>
      </c>
      <c r="M476" s="292">
        <v>45936</v>
      </c>
      <c r="N476" s="272" t="s">
        <v>255</v>
      </c>
      <c r="O476" s="293">
        <v>0</v>
      </c>
      <c r="P476" s="298" t="s">
        <v>1357</v>
      </c>
      <c r="Q476" s="272" t="s">
        <v>1419</v>
      </c>
      <c r="R476" s="391">
        <v>1</v>
      </c>
      <c r="S476" s="293">
        <v>113312.5</v>
      </c>
      <c r="T476" s="294">
        <f t="shared" si="219"/>
        <v>113312.5</v>
      </c>
      <c r="U476" s="294"/>
      <c r="V476" s="294"/>
      <c r="W476" s="294"/>
      <c r="X476" s="294"/>
      <c r="Y476" s="294"/>
      <c r="Z476" s="318"/>
      <c r="AA476" s="294"/>
      <c r="AB476" s="294"/>
      <c r="AC476" s="294"/>
      <c r="AD476" s="294"/>
      <c r="AE476" s="512"/>
      <c r="AF476" s="512"/>
      <c r="AG476" s="514">
        <f t="shared" si="214"/>
        <v>0</v>
      </c>
      <c r="AH476" s="514">
        <v>0</v>
      </c>
      <c r="AI476" s="514">
        <f t="shared" si="215"/>
        <v>0</v>
      </c>
      <c r="AJ476" s="514">
        <v>0</v>
      </c>
      <c r="AK476" s="514">
        <f t="shared" si="216"/>
        <v>0</v>
      </c>
      <c r="AL476" s="514">
        <v>0</v>
      </c>
      <c r="AM476" s="515"/>
      <c r="AN476" s="299"/>
      <c r="AO476" s="296"/>
      <c r="AP476" s="274"/>
      <c r="AQ476" s="275"/>
      <c r="AR476" s="275"/>
      <c r="AS476" s="280"/>
    </row>
    <row r="477" spans="2:45" x14ac:dyDescent="0.3">
      <c r="B477" s="287">
        <f t="shared" si="217"/>
        <v>29</v>
      </c>
      <c r="C477" s="288" t="s">
        <v>174</v>
      </c>
      <c r="D477" s="288" t="str">
        <f t="shared" si="218"/>
        <v>Oct-25</v>
      </c>
      <c r="E477" s="272" t="s">
        <v>472</v>
      </c>
      <c r="F477" s="292">
        <v>45937</v>
      </c>
      <c r="G477" s="288"/>
      <c r="H477" s="288" t="s">
        <v>462</v>
      </c>
      <c r="I477" s="288" t="s">
        <v>1428</v>
      </c>
      <c r="J477" s="384" t="s">
        <v>2098</v>
      </c>
      <c r="K477" s="292">
        <v>45930</v>
      </c>
      <c r="L477" s="272" t="s">
        <v>2102</v>
      </c>
      <c r="M477" s="292">
        <v>45937</v>
      </c>
      <c r="N477" s="272" t="s">
        <v>255</v>
      </c>
      <c r="O477" s="293">
        <v>0</v>
      </c>
      <c r="P477" s="298" t="s">
        <v>1357</v>
      </c>
      <c r="Q477" s="272" t="s">
        <v>1430</v>
      </c>
      <c r="R477" s="391">
        <v>376</v>
      </c>
      <c r="S477" s="293">
        <v>240</v>
      </c>
      <c r="T477" s="294">
        <f t="shared" si="219"/>
        <v>90240</v>
      </c>
      <c r="U477" s="294"/>
      <c r="V477" s="294"/>
      <c r="W477" s="294"/>
      <c r="X477" s="294"/>
      <c r="Y477" s="294"/>
      <c r="Z477" s="318"/>
      <c r="AA477" s="294"/>
      <c r="AB477" s="294"/>
      <c r="AC477" s="294"/>
      <c r="AD477" s="294"/>
      <c r="AE477" s="512"/>
      <c r="AF477" s="512"/>
      <c r="AG477" s="514">
        <f t="shared" si="214"/>
        <v>0</v>
      </c>
      <c r="AH477" s="514">
        <v>0</v>
      </c>
      <c r="AI477" s="514">
        <f t="shared" si="215"/>
        <v>0</v>
      </c>
      <c r="AJ477" s="514">
        <v>0</v>
      </c>
      <c r="AK477" s="514">
        <f t="shared" si="216"/>
        <v>0</v>
      </c>
      <c r="AL477" s="514">
        <v>0</v>
      </c>
      <c r="AM477" s="515"/>
      <c r="AN477" s="299"/>
      <c r="AO477" s="296"/>
      <c r="AP477" s="274"/>
      <c r="AQ477" s="275"/>
      <c r="AR477" s="275"/>
      <c r="AS477" s="280"/>
    </row>
    <row r="478" spans="2:45" x14ac:dyDescent="0.3">
      <c r="B478" s="287">
        <f t="shared" si="217"/>
        <v>30</v>
      </c>
      <c r="C478" s="288" t="s">
        <v>174</v>
      </c>
      <c r="D478" s="288" t="str">
        <f t="shared" si="218"/>
        <v>Oct-25</v>
      </c>
      <c r="E478" s="272" t="s">
        <v>472</v>
      </c>
      <c r="F478" s="292">
        <v>45937</v>
      </c>
      <c r="G478" s="288"/>
      <c r="H478" s="288" t="s">
        <v>462</v>
      </c>
      <c r="I478" s="288" t="s">
        <v>1428</v>
      </c>
      <c r="J478" s="384" t="s">
        <v>2098</v>
      </c>
      <c r="K478" s="292">
        <v>45930</v>
      </c>
      <c r="L478" s="272" t="s">
        <v>2102</v>
      </c>
      <c r="M478" s="292">
        <v>45937</v>
      </c>
      <c r="N478" s="272" t="s">
        <v>255</v>
      </c>
      <c r="O478" s="293">
        <v>0</v>
      </c>
      <c r="P478" s="298" t="s">
        <v>1357</v>
      </c>
      <c r="Q478" s="272" t="s">
        <v>1666</v>
      </c>
      <c r="R478" s="391">
        <v>37</v>
      </c>
      <c r="S478" s="293">
        <v>1850</v>
      </c>
      <c r="T478" s="294">
        <f t="shared" si="219"/>
        <v>68450</v>
      </c>
      <c r="U478" s="294"/>
      <c r="V478" s="294"/>
      <c r="W478" s="294"/>
      <c r="X478" s="294"/>
      <c r="Y478" s="294"/>
      <c r="Z478" s="318"/>
      <c r="AA478" s="294"/>
      <c r="AB478" s="294"/>
      <c r="AC478" s="294"/>
      <c r="AD478" s="294"/>
      <c r="AE478" s="512"/>
      <c r="AF478" s="512"/>
      <c r="AG478" s="514">
        <f t="shared" si="214"/>
        <v>0</v>
      </c>
      <c r="AH478" s="514">
        <v>0</v>
      </c>
      <c r="AI478" s="514">
        <f t="shared" si="215"/>
        <v>0</v>
      </c>
      <c r="AJ478" s="514">
        <v>0</v>
      </c>
      <c r="AK478" s="514">
        <f t="shared" si="216"/>
        <v>0</v>
      </c>
      <c r="AL478" s="514">
        <v>0</v>
      </c>
      <c r="AM478" s="515"/>
      <c r="AN478" s="299"/>
      <c r="AO478" s="296"/>
      <c r="AP478" s="274"/>
      <c r="AQ478" s="275"/>
      <c r="AR478" s="275"/>
      <c r="AS478" s="280"/>
    </row>
    <row r="479" spans="2:45" x14ac:dyDescent="0.3">
      <c r="B479" s="287">
        <f t="shared" si="217"/>
        <v>31</v>
      </c>
      <c r="C479" s="288" t="s">
        <v>174</v>
      </c>
      <c r="D479" s="288" t="str">
        <f t="shared" si="218"/>
        <v>Oct-25</v>
      </c>
      <c r="E479" s="272" t="s">
        <v>472</v>
      </c>
      <c r="F479" s="292">
        <v>45943</v>
      </c>
      <c r="G479" s="288"/>
      <c r="H479" s="288" t="s">
        <v>253</v>
      </c>
      <c r="I479" s="288" t="s">
        <v>254</v>
      </c>
      <c r="J479" s="384" t="s">
        <v>2156</v>
      </c>
      <c r="K479" s="292">
        <v>45889</v>
      </c>
      <c r="L479" s="272" t="s">
        <v>2164</v>
      </c>
      <c r="M479" s="292">
        <v>45943</v>
      </c>
      <c r="N479" s="272" t="s">
        <v>255</v>
      </c>
      <c r="O479" s="293">
        <v>0</v>
      </c>
      <c r="P479" s="298" t="s">
        <v>1357</v>
      </c>
      <c r="Q479" s="272" t="s">
        <v>2165</v>
      </c>
      <c r="R479" s="391">
        <v>1</v>
      </c>
      <c r="S479" s="293">
        <v>6224.2</v>
      </c>
      <c r="T479" s="294">
        <f t="shared" si="219"/>
        <v>6224.2</v>
      </c>
      <c r="U479" s="294"/>
      <c r="V479" s="294" t="s">
        <v>313</v>
      </c>
      <c r="W479" s="294" t="str">
        <f t="shared" ref="W479:W485" si="220">TEXT(Z479,"mmm-yy")</f>
        <v>Oct-25</v>
      </c>
      <c r="X479" s="294">
        <v>0</v>
      </c>
      <c r="Y479" s="294">
        <v>0</v>
      </c>
      <c r="Z479" s="318">
        <v>45943</v>
      </c>
      <c r="AA479" s="294" t="s">
        <v>2121</v>
      </c>
      <c r="AB479" s="294" t="s">
        <v>250</v>
      </c>
      <c r="AC479" s="294"/>
      <c r="AD479" s="294" t="s">
        <v>2165</v>
      </c>
      <c r="AE479" s="512">
        <v>1</v>
      </c>
      <c r="AF479" s="512">
        <v>7360.12</v>
      </c>
      <c r="AG479" s="514">
        <f t="shared" si="214"/>
        <v>7360.12</v>
      </c>
      <c r="AH479" s="514">
        <v>0</v>
      </c>
      <c r="AI479" s="514">
        <f t="shared" si="215"/>
        <v>7360.12</v>
      </c>
      <c r="AJ479" s="514">
        <v>0</v>
      </c>
      <c r="AK479" s="514">
        <f t="shared" si="216"/>
        <v>1</v>
      </c>
      <c r="AL479" s="514">
        <v>0</v>
      </c>
      <c r="AM479" s="515"/>
      <c r="AN479" s="299"/>
      <c r="AO479" s="296"/>
      <c r="AP479" s="274"/>
      <c r="AQ479" s="275"/>
      <c r="AR479" s="275"/>
      <c r="AS479" s="280"/>
    </row>
    <row r="480" spans="2:45" x14ac:dyDescent="0.3">
      <c r="B480" s="287">
        <f t="shared" si="217"/>
        <v>32</v>
      </c>
      <c r="C480" s="288" t="s">
        <v>174</v>
      </c>
      <c r="D480" s="288" t="str">
        <f t="shared" si="218"/>
        <v>Oct-25</v>
      </c>
      <c r="E480" s="272" t="s">
        <v>472</v>
      </c>
      <c r="F480" s="292">
        <v>45943</v>
      </c>
      <c r="G480" s="288"/>
      <c r="H480" s="288" t="s">
        <v>253</v>
      </c>
      <c r="I480" s="288" t="s">
        <v>254</v>
      </c>
      <c r="J480" s="384" t="s">
        <v>2157</v>
      </c>
      <c r="K480" s="292">
        <v>45889</v>
      </c>
      <c r="L480" s="272" t="s">
        <v>2166</v>
      </c>
      <c r="M480" s="292">
        <v>45943</v>
      </c>
      <c r="N480" s="272" t="s">
        <v>255</v>
      </c>
      <c r="O480" s="293">
        <v>0</v>
      </c>
      <c r="P480" s="298" t="s">
        <v>1357</v>
      </c>
      <c r="Q480" s="272" t="s">
        <v>2165</v>
      </c>
      <c r="R480" s="391">
        <v>1</v>
      </c>
      <c r="S480" s="293">
        <v>6161.96</v>
      </c>
      <c r="T480" s="294">
        <f t="shared" si="219"/>
        <v>6161.96</v>
      </c>
      <c r="U480" s="294"/>
      <c r="V480" s="294" t="s">
        <v>313</v>
      </c>
      <c r="W480" s="294" t="str">
        <f t="shared" si="220"/>
        <v>Oct-25</v>
      </c>
      <c r="X480" s="294">
        <v>0</v>
      </c>
      <c r="Y480" s="294">
        <v>0</v>
      </c>
      <c r="Z480" s="318">
        <v>45943</v>
      </c>
      <c r="AA480" s="294" t="s">
        <v>2122</v>
      </c>
      <c r="AB480" s="294" t="s">
        <v>250</v>
      </c>
      <c r="AC480" s="294"/>
      <c r="AD480" s="294" t="s">
        <v>2165</v>
      </c>
      <c r="AE480" s="512">
        <v>1</v>
      </c>
      <c r="AF480" s="512">
        <v>9336.2999999999993</v>
      </c>
      <c r="AG480" s="514">
        <f t="shared" ref="AG480:AG503" si="221">AE480*AF480</f>
        <v>9336.2999999999993</v>
      </c>
      <c r="AH480" s="514">
        <v>0</v>
      </c>
      <c r="AI480" s="514">
        <f t="shared" ref="AI480:AI503" si="222">AG480-AH480</f>
        <v>9336.2999999999993</v>
      </c>
      <c r="AJ480" s="514">
        <v>0</v>
      </c>
      <c r="AK480" s="514">
        <f t="shared" ref="AK480:AK503" si="223">AE480-AJ480</f>
        <v>1</v>
      </c>
      <c r="AL480" s="514">
        <v>0</v>
      </c>
      <c r="AM480" s="515"/>
      <c r="AN480" s="299"/>
      <c r="AO480" s="296"/>
      <c r="AP480" s="274"/>
      <c r="AQ480" s="275"/>
      <c r="AR480" s="275"/>
      <c r="AS480" s="280"/>
    </row>
    <row r="481" spans="2:45" x14ac:dyDescent="0.3">
      <c r="B481" s="287">
        <f t="shared" si="217"/>
        <v>33</v>
      </c>
      <c r="C481" s="288" t="s">
        <v>174</v>
      </c>
      <c r="D481" s="288" t="str">
        <f t="shared" si="218"/>
        <v>Oct-25</v>
      </c>
      <c r="E481" s="272" t="s">
        <v>472</v>
      </c>
      <c r="F481" s="292">
        <v>45943</v>
      </c>
      <c r="G481" s="288"/>
      <c r="H481" s="288" t="s">
        <v>253</v>
      </c>
      <c r="I481" s="288" t="s">
        <v>254</v>
      </c>
      <c r="J481" s="384" t="s">
        <v>2158</v>
      </c>
      <c r="K481" s="292">
        <v>45551</v>
      </c>
      <c r="L481" s="272" t="s">
        <v>2167</v>
      </c>
      <c r="M481" s="292">
        <v>45943</v>
      </c>
      <c r="N481" s="272" t="s">
        <v>255</v>
      </c>
      <c r="O481" s="293">
        <v>0</v>
      </c>
      <c r="P481" s="298" t="s">
        <v>1357</v>
      </c>
      <c r="Q481" s="272" t="s">
        <v>2168</v>
      </c>
      <c r="R481" s="391">
        <v>1</v>
      </c>
      <c r="S481" s="293">
        <v>5000</v>
      </c>
      <c r="T481" s="294">
        <f t="shared" si="219"/>
        <v>5000</v>
      </c>
      <c r="U481" s="294"/>
      <c r="V481" s="294" t="s">
        <v>313</v>
      </c>
      <c r="W481" s="294" t="str">
        <f t="shared" si="220"/>
        <v>Oct-25</v>
      </c>
      <c r="X481" s="294">
        <v>0</v>
      </c>
      <c r="Y481" s="294">
        <v>0</v>
      </c>
      <c r="Z481" s="318">
        <v>45943</v>
      </c>
      <c r="AA481" s="294" t="s">
        <v>2123</v>
      </c>
      <c r="AB481" s="294" t="s">
        <v>250</v>
      </c>
      <c r="AC481" s="294"/>
      <c r="AD481" s="294" t="s">
        <v>2165</v>
      </c>
      <c r="AE481" s="512">
        <v>1</v>
      </c>
      <c r="AF481" s="512">
        <v>6224.2</v>
      </c>
      <c r="AG481" s="514">
        <f t="shared" si="221"/>
        <v>6224.2</v>
      </c>
      <c r="AH481" s="514">
        <v>0</v>
      </c>
      <c r="AI481" s="514">
        <f t="shared" si="222"/>
        <v>6224.2</v>
      </c>
      <c r="AJ481" s="514">
        <v>0</v>
      </c>
      <c r="AK481" s="514">
        <f t="shared" si="223"/>
        <v>1</v>
      </c>
      <c r="AL481" s="514">
        <v>0</v>
      </c>
      <c r="AM481" s="515"/>
      <c r="AN481" s="299"/>
      <c r="AO481" s="296"/>
      <c r="AP481" s="274"/>
      <c r="AQ481" s="275"/>
      <c r="AR481" s="275"/>
      <c r="AS481" s="280"/>
    </row>
    <row r="482" spans="2:45" x14ac:dyDescent="0.3">
      <c r="B482" s="287">
        <f t="shared" ref="B482:B521" si="224">B481+1</f>
        <v>34</v>
      </c>
      <c r="C482" s="288" t="s">
        <v>174</v>
      </c>
      <c r="D482" s="288" t="str">
        <f t="shared" si="218"/>
        <v>Oct-25</v>
      </c>
      <c r="E482" s="272" t="s">
        <v>472</v>
      </c>
      <c r="F482" s="292">
        <v>45943</v>
      </c>
      <c r="G482" s="288"/>
      <c r="H482" s="288" t="s">
        <v>253</v>
      </c>
      <c r="I482" s="288" t="s">
        <v>254</v>
      </c>
      <c r="J482" s="384" t="s">
        <v>2159</v>
      </c>
      <c r="K482" s="292">
        <v>45889</v>
      </c>
      <c r="L482" s="272" t="s">
        <v>2169</v>
      </c>
      <c r="M482" s="292">
        <v>45943</v>
      </c>
      <c r="N482" s="272" t="s">
        <v>255</v>
      </c>
      <c r="O482" s="293">
        <v>0</v>
      </c>
      <c r="P482" s="298" t="s">
        <v>1357</v>
      </c>
      <c r="Q482" s="272" t="s">
        <v>2165</v>
      </c>
      <c r="R482" s="391">
        <v>1</v>
      </c>
      <c r="S482" s="293">
        <v>9336.2999999999993</v>
      </c>
      <c r="T482" s="294">
        <f t="shared" si="219"/>
        <v>9336.2999999999993</v>
      </c>
      <c r="U482" s="294"/>
      <c r="V482" s="294" t="s">
        <v>313</v>
      </c>
      <c r="W482" s="294" t="str">
        <f t="shared" si="220"/>
        <v>Oct-25</v>
      </c>
      <c r="X482" s="294">
        <v>0</v>
      </c>
      <c r="Y482" s="294">
        <v>0</v>
      </c>
      <c r="Z482" s="318">
        <v>45943</v>
      </c>
      <c r="AA482" s="294" t="s">
        <v>2124</v>
      </c>
      <c r="AB482" s="294" t="s">
        <v>250</v>
      </c>
      <c r="AC482" s="294"/>
      <c r="AD482" s="294" t="s">
        <v>2165</v>
      </c>
      <c r="AE482" s="512">
        <v>1</v>
      </c>
      <c r="AF482" s="512">
        <v>6161.96</v>
      </c>
      <c r="AG482" s="514">
        <f t="shared" si="221"/>
        <v>6161.96</v>
      </c>
      <c r="AH482" s="514">
        <v>0</v>
      </c>
      <c r="AI482" s="514">
        <f t="shared" si="222"/>
        <v>6161.96</v>
      </c>
      <c r="AJ482" s="514">
        <v>0</v>
      </c>
      <c r="AK482" s="514">
        <f t="shared" si="223"/>
        <v>1</v>
      </c>
      <c r="AL482" s="514">
        <v>0</v>
      </c>
      <c r="AM482" s="515"/>
      <c r="AN482" s="299"/>
      <c r="AO482" s="296"/>
      <c r="AP482" s="274"/>
      <c r="AQ482" s="275"/>
      <c r="AR482" s="275"/>
      <c r="AS482" s="280"/>
    </row>
    <row r="483" spans="2:45" x14ac:dyDescent="0.3">
      <c r="B483" s="287">
        <f t="shared" si="224"/>
        <v>35</v>
      </c>
      <c r="C483" s="288" t="s">
        <v>174</v>
      </c>
      <c r="D483" s="288" t="str">
        <f t="shared" si="218"/>
        <v>Oct-25</v>
      </c>
      <c r="E483" s="272" t="s">
        <v>472</v>
      </c>
      <c r="F483" s="292">
        <v>45943</v>
      </c>
      <c r="G483" s="288"/>
      <c r="H483" s="288" t="s">
        <v>253</v>
      </c>
      <c r="I483" s="288" t="s">
        <v>254</v>
      </c>
      <c r="J483" s="384" t="s">
        <v>2160</v>
      </c>
      <c r="K483" s="292">
        <v>45889</v>
      </c>
      <c r="L483" s="272" t="s">
        <v>2170</v>
      </c>
      <c r="M483" s="292">
        <v>45943</v>
      </c>
      <c r="N483" s="272" t="s">
        <v>255</v>
      </c>
      <c r="O483" s="293">
        <v>0</v>
      </c>
      <c r="P483" s="298" t="s">
        <v>1357</v>
      </c>
      <c r="Q483" s="272" t="s">
        <v>2165</v>
      </c>
      <c r="R483" s="391">
        <v>1</v>
      </c>
      <c r="S483" s="293">
        <v>7360.12</v>
      </c>
      <c r="T483" s="294">
        <f t="shared" si="219"/>
        <v>7360.12</v>
      </c>
      <c r="U483" s="294"/>
      <c r="V483" s="294" t="s">
        <v>313</v>
      </c>
      <c r="W483" s="294" t="str">
        <f t="shared" si="220"/>
        <v>Oct-25</v>
      </c>
      <c r="X483" s="294">
        <v>0</v>
      </c>
      <c r="Y483" s="294">
        <v>0</v>
      </c>
      <c r="Z483" s="318">
        <v>45943</v>
      </c>
      <c r="AA483" s="294" t="s">
        <v>2125</v>
      </c>
      <c r="AB483" s="294" t="s">
        <v>250</v>
      </c>
      <c r="AC483" s="294"/>
      <c r="AD483" s="294" t="s">
        <v>2168</v>
      </c>
      <c r="AE483" s="512">
        <v>1</v>
      </c>
      <c r="AF483" s="512">
        <v>5000</v>
      </c>
      <c r="AG483" s="514">
        <f t="shared" si="221"/>
        <v>5000</v>
      </c>
      <c r="AH483" s="514">
        <v>0</v>
      </c>
      <c r="AI483" s="514">
        <f t="shared" si="222"/>
        <v>5000</v>
      </c>
      <c r="AJ483" s="514">
        <v>0</v>
      </c>
      <c r="AK483" s="514">
        <f t="shared" si="223"/>
        <v>1</v>
      </c>
      <c r="AL483" s="514">
        <v>0</v>
      </c>
      <c r="AM483" s="515"/>
      <c r="AN483" s="299"/>
      <c r="AO483" s="296"/>
      <c r="AP483" s="274"/>
      <c r="AQ483" s="275"/>
      <c r="AR483" s="275"/>
      <c r="AS483" s="280"/>
    </row>
    <row r="484" spans="2:45" x14ac:dyDescent="0.3">
      <c r="B484" s="287">
        <f t="shared" si="224"/>
        <v>36</v>
      </c>
      <c r="C484" s="288" t="s">
        <v>174</v>
      </c>
      <c r="D484" s="288" t="str">
        <f t="shared" si="218"/>
        <v>Oct-25</v>
      </c>
      <c r="E484" s="272" t="s">
        <v>472</v>
      </c>
      <c r="F484" s="292">
        <v>45944</v>
      </c>
      <c r="G484" s="288"/>
      <c r="H484" s="288" t="s">
        <v>270</v>
      </c>
      <c r="I484" s="288" t="s">
        <v>298</v>
      </c>
      <c r="J484" s="384" t="s">
        <v>2161</v>
      </c>
      <c r="K484" s="292">
        <v>45875</v>
      </c>
      <c r="L484" s="272" t="s">
        <v>2171</v>
      </c>
      <c r="M484" s="292">
        <v>45944</v>
      </c>
      <c r="N484" s="272" t="s">
        <v>255</v>
      </c>
      <c r="O484" s="293">
        <v>0</v>
      </c>
      <c r="P484" s="298" t="s">
        <v>1357</v>
      </c>
      <c r="Q484" s="272" t="s">
        <v>2165</v>
      </c>
      <c r="R484" s="391">
        <v>1</v>
      </c>
      <c r="S484" s="293">
        <v>4237.29</v>
      </c>
      <c r="T484" s="294">
        <f t="shared" si="219"/>
        <v>4237.29</v>
      </c>
      <c r="U484" s="294"/>
      <c r="V484" s="294" t="s">
        <v>313</v>
      </c>
      <c r="W484" s="294" t="str">
        <f t="shared" si="220"/>
        <v>Oct-25</v>
      </c>
      <c r="X484" s="294">
        <v>0</v>
      </c>
      <c r="Y484" s="294">
        <v>0</v>
      </c>
      <c r="Z484" s="318">
        <v>45944</v>
      </c>
      <c r="AA484" s="294" t="s">
        <v>2126</v>
      </c>
      <c r="AB484" s="294" t="s">
        <v>250</v>
      </c>
      <c r="AC484" s="294"/>
      <c r="AD484" s="294" t="s">
        <v>2165</v>
      </c>
      <c r="AE484" s="512">
        <v>1</v>
      </c>
      <c r="AF484" s="512">
        <v>4237.29</v>
      </c>
      <c r="AG484" s="514">
        <f t="shared" si="221"/>
        <v>4237.29</v>
      </c>
      <c r="AH484" s="514">
        <v>0</v>
      </c>
      <c r="AI484" s="514">
        <f t="shared" si="222"/>
        <v>4237.29</v>
      </c>
      <c r="AJ484" s="514">
        <v>0</v>
      </c>
      <c r="AK484" s="514">
        <f t="shared" si="223"/>
        <v>1</v>
      </c>
      <c r="AL484" s="514">
        <v>0</v>
      </c>
      <c r="AM484" s="515"/>
      <c r="AN484" s="299"/>
      <c r="AO484" s="296"/>
      <c r="AP484" s="274"/>
      <c r="AQ484" s="275"/>
      <c r="AR484" s="275"/>
      <c r="AS484" s="280"/>
    </row>
    <row r="485" spans="2:45" x14ac:dyDescent="0.3">
      <c r="B485" s="287">
        <f t="shared" si="224"/>
        <v>37</v>
      </c>
      <c r="C485" s="288" t="s">
        <v>174</v>
      </c>
      <c r="D485" s="288" t="str">
        <f t="shared" si="218"/>
        <v>Oct-25</v>
      </c>
      <c r="E485" s="272" t="s">
        <v>472</v>
      </c>
      <c r="F485" s="292">
        <v>45944</v>
      </c>
      <c r="G485" s="288"/>
      <c r="H485" s="288" t="s">
        <v>270</v>
      </c>
      <c r="I485" s="288" t="s">
        <v>298</v>
      </c>
      <c r="J485" s="384" t="s">
        <v>2162</v>
      </c>
      <c r="K485" s="292">
        <v>45846</v>
      </c>
      <c r="L485" s="272" t="s">
        <v>2172</v>
      </c>
      <c r="M485" s="292">
        <v>45944</v>
      </c>
      <c r="N485" s="272" t="s">
        <v>255</v>
      </c>
      <c r="O485" s="293">
        <v>0</v>
      </c>
      <c r="P485" s="298" t="s">
        <v>1357</v>
      </c>
      <c r="Q485" s="272" t="s">
        <v>2165</v>
      </c>
      <c r="R485" s="391">
        <v>1</v>
      </c>
      <c r="S485" s="293">
        <v>37983.269999999997</v>
      </c>
      <c r="T485" s="294">
        <f t="shared" si="219"/>
        <v>37983.269999999997</v>
      </c>
      <c r="U485" s="294"/>
      <c r="V485" s="294" t="s">
        <v>313</v>
      </c>
      <c r="W485" s="294" t="str">
        <f t="shared" si="220"/>
        <v>Oct-25</v>
      </c>
      <c r="X485" s="294">
        <v>0</v>
      </c>
      <c r="Y485" s="294">
        <v>0</v>
      </c>
      <c r="Z485" s="318">
        <v>45944</v>
      </c>
      <c r="AA485" s="294" t="s">
        <v>2127</v>
      </c>
      <c r="AB485" s="294" t="s">
        <v>250</v>
      </c>
      <c r="AC485" s="294"/>
      <c r="AD485" s="294" t="s">
        <v>2165</v>
      </c>
      <c r="AE485" s="512">
        <v>1</v>
      </c>
      <c r="AF485" s="512">
        <v>37983.269999999997</v>
      </c>
      <c r="AG485" s="514">
        <f t="shared" si="221"/>
        <v>37983.269999999997</v>
      </c>
      <c r="AH485" s="514">
        <v>0</v>
      </c>
      <c r="AI485" s="514">
        <f t="shared" si="222"/>
        <v>37983.269999999997</v>
      </c>
      <c r="AJ485" s="514">
        <v>0</v>
      </c>
      <c r="AK485" s="514">
        <f t="shared" si="223"/>
        <v>1</v>
      </c>
      <c r="AL485" s="514">
        <v>0</v>
      </c>
      <c r="AM485" s="515"/>
      <c r="AN485" s="299"/>
      <c r="AO485" s="296"/>
      <c r="AP485" s="274"/>
      <c r="AQ485" s="275"/>
      <c r="AR485" s="275"/>
      <c r="AS485" s="280"/>
    </row>
    <row r="486" spans="2:45" x14ac:dyDescent="0.3">
      <c r="B486" s="287">
        <f t="shared" si="224"/>
        <v>38</v>
      </c>
      <c r="C486" s="288" t="s">
        <v>174</v>
      </c>
      <c r="D486" s="288" t="str">
        <f t="shared" si="218"/>
        <v>Oct-25</v>
      </c>
      <c r="E486" s="272" t="s">
        <v>472</v>
      </c>
      <c r="F486" s="292">
        <v>45945</v>
      </c>
      <c r="G486" s="288"/>
      <c r="H486" s="288" t="s">
        <v>395</v>
      </c>
      <c r="I486" s="288" t="s">
        <v>329</v>
      </c>
      <c r="J486" s="384" t="s">
        <v>341</v>
      </c>
      <c r="K486" s="292">
        <v>45945</v>
      </c>
      <c r="L486" s="272" t="s">
        <v>2173</v>
      </c>
      <c r="M486" s="292">
        <v>45945</v>
      </c>
      <c r="N486" s="272" t="s">
        <v>255</v>
      </c>
      <c r="O486" s="293">
        <v>0</v>
      </c>
      <c r="P486" s="298" t="s">
        <v>1357</v>
      </c>
      <c r="Q486" s="272" t="s">
        <v>329</v>
      </c>
      <c r="R486" s="391">
        <v>1</v>
      </c>
      <c r="S486" s="293">
        <v>251000</v>
      </c>
      <c r="T486" s="294">
        <f t="shared" si="219"/>
        <v>251000</v>
      </c>
      <c r="U486" s="294"/>
      <c r="V486" s="294"/>
      <c r="W486" s="294"/>
      <c r="X486" s="294"/>
      <c r="Y486" s="294"/>
      <c r="Z486" s="318"/>
      <c r="AA486" s="294"/>
      <c r="AB486" s="294"/>
      <c r="AC486" s="294"/>
      <c r="AD486" s="294"/>
      <c r="AE486" s="512"/>
      <c r="AF486" s="512"/>
      <c r="AG486" s="514">
        <f t="shared" si="221"/>
        <v>0</v>
      </c>
      <c r="AH486" s="514">
        <v>0</v>
      </c>
      <c r="AI486" s="514">
        <f t="shared" si="222"/>
        <v>0</v>
      </c>
      <c r="AJ486" s="514">
        <v>0</v>
      </c>
      <c r="AK486" s="514">
        <f t="shared" si="223"/>
        <v>0</v>
      </c>
      <c r="AL486" s="514">
        <v>0</v>
      </c>
      <c r="AM486" s="515"/>
      <c r="AN486" s="299"/>
      <c r="AO486" s="296"/>
      <c r="AP486" s="274"/>
      <c r="AQ486" s="275"/>
      <c r="AR486" s="275"/>
      <c r="AS486" s="280"/>
    </row>
    <row r="487" spans="2:45" x14ac:dyDescent="0.3">
      <c r="B487" s="287">
        <f t="shared" si="224"/>
        <v>39</v>
      </c>
      <c r="C487" s="288" t="s">
        <v>174</v>
      </c>
      <c r="D487" s="288" t="str">
        <f t="shared" si="218"/>
        <v>Oct-25</v>
      </c>
      <c r="E487" s="272" t="s">
        <v>472</v>
      </c>
      <c r="F487" s="292">
        <v>45947</v>
      </c>
      <c r="G487" s="288"/>
      <c r="H487" s="288" t="s">
        <v>250</v>
      </c>
      <c r="I487" s="288" t="s">
        <v>251</v>
      </c>
      <c r="J487" s="384" t="s">
        <v>2163</v>
      </c>
      <c r="K487" s="292">
        <v>45946</v>
      </c>
      <c r="L487" s="272" t="s">
        <v>2174</v>
      </c>
      <c r="M487" s="292">
        <v>45947</v>
      </c>
      <c r="N487" s="272" t="s">
        <v>255</v>
      </c>
      <c r="O487" s="293">
        <v>0</v>
      </c>
      <c r="P487" s="298" t="s">
        <v>1357</v>
      </c>
      <c r="Q487" s="272" t="s">
        <v>2175</v>
      </c>
      <c r="R487" s="391">
        <v>1</v>
      </c>
      <c r="S487" s="293">
        <v>700000</v>
      </c>
      <c r="T487" s="294">
        <f t="shared" si="219"/>
        <v>700000</v>
      </c>
      <c r="U487" s="294"/>
      <c r="V487" s="294"/>
      <c r="W487" s="294"/>
      <c r="X487" s="294"/>
      <c r="Y487" s="294"/>
      <c r="Z487" s="318"/>
      <c r="AA487" s="294"/>
      <c r="AB487" s="294"/>
      <c r="AC487" s="294"/>
      <c r="AD487" s="294"/>
      <c r="AE487" s="512"/>
      <c r="AF487" s="512"/>
      <c r="AG487" s="514">
        <f t="shared" si="221"/>
        <v>0</v>
      </c>
      <c r="AH487" s="514">
        <v>0</v>
      </c>
      <c r="AI487" s="514">
        <f t="shared" si="222"/>
        <v>0</v>
      </c>
      <c r="AJ487" s="514">
        <v>0</v>
      </c>
      <c r="AK487" s="514">
        <f t="shared" si="223"/>
        <v>0</v>
      </c>
      <c r="AL487" s="514">
        <v>0</v>
      </c>
      <c r="AM487" s="515"/>
      <c r="AN487" s="299"/>
      <c r="AO487" s="296"/>
      <c r="AP487" s="274"/>
      <c r="AQ487" s="275"/>
      <c r="AR487" s="275"/>
      <c r="AS487" s="280"/>
    </row>
    <row r="488" spans="2:45" x14ac:dyDescent="0.3">
      <c r="B488" s="287">
        <f t="shared" si="224"/>
        <v>40</v>
      </c>
      <c r="C488" s="288" t="s">
        <v>174</v>
      </c>
      <c r="D488" s="288" t="str">
        <f t="shared" si="218"/>
        <v>Nov-25</v>
      </c>
      <c r="E488" s="272" t="s">
        <v>472</v>
      </c>
      <c r="F488" s="292">
        <v>45963</v>
      </c>
      <c r="G488" s="288" t="s">
        <v>329</v>
      </c>
      <c r="H488" s="288" t="s">
        <v>395</v>
      </c>
      <c r="I488" s="288" t="s">
        <v>329</v>
      </c>
      <c r="J488" s="384" t="s">
        <v>335</v>
      </c>
      <c r="K488" s="292">
        <v>45963</v>
      </c>
      <c r="L488" s="272" t="s">
        <v>2283</v>
      </c>
      <c r="M488" s="292">
        <v>45963</v>
      </c>
      <c r="N488" s="272" t="s">
        <v>255</v>
      </c>
      <c r="O488" s="293">
        <v>0</v>
      </c>
      <c r="P488" s="298" t="s">
        <v>1357</v>
      </c>
      <c r="Q488" s="272" t="s">
        <v>329</v>
      </c>
      <c r="R488" s="391">
        <v>1</v>
      </c>
      <c r="S488" s="293">
        <v>139600</v>
      </c>
      <c r="T488" s="294">
        <f t="shared" si="219"/>
        <v>139600</v>
      </c>
      <c r="U488" s="294"/>
      <c r="V488" s="294"/>
      <c r="W488" s="294"/>
      <c r="X488" s="294"/>
      <c r="Y488" s="294"/>
      <c r="Z488" s="318"/>
      <c r="AA488" s="294"/>
      <c r="AB488" s="294"/>
      <c r="AC488" s="294"/>
      <c r="AD488" s="294"/>
      <c r="AE488" s="512"/>
      <c r="AF488" s="512"/>
      <c r="AG488" s="514">
        <f t="shared" si="221"/>
        <v>0</v>
      </c>
      <c r="AH488" s="514">
        <v>0</v>
      </c>
      <c r="AI488" s="514">
        <f t="shared" si="222"/>
        <v>0</v>
      </c>
      <c r="AJ488" s="514">
        <v>0</v>
      </c>
      <c r="AK488" s="514">
        <f t="shared" si="223"/>
        <v>0</v>
      </c>
      <c r="AL488" s="514">
        <v>0</v>
      </c>
      <c r="AM488" s="515"/>
      <c r="AN488" s="299"/>
      <c r="AO488" s="296"/>
      <c r="AP488" s="274"/>
      <c r="AQ488" s="275"/>
      <c r="AR488" s="275"/>
      <c r="AS488" s="280"/>
    </row>
    <row r="489" spans="2:45" x14ac:dyDescent="0.3">
      <c r="B489" s="287">
        <f t="shared" si="224"/>
        <v>41</v>
      </c>
      <c r="C489" s="288" t="s">
        <v>174</v>
      </c>
      <c r="D489" s="288" t="str">
        <f t="shared" si="218"/>
        <v>Nov-25</v>
      </c>
      <c r="E489" s="272" t="s">
        <v>472</v>
      </c>
      <c r="F489" s="292">
        <v>45963</v>
      </c>
      <c r="G489" s="288" t="s">
        <v>329</v>
      </c>
      <c r="H489" s="288" t="s">
        <v>240</v>
      </c>
      <c r="I489" s="288" t="s">
        <v>1417</v>
      </c>
      <c r="J489" s="384" t="s">
        <v>2284</v>
      </c>
      <c r="K489" s="292">
        <v>45962</v>
      </c>
      <c r="L489" s="272" t="s">
        <v>2285</v>
      </c>
      <c r="M489" s="292">
        <v>45963</v>
      </c>
      <c r="N489" s="272" t="s">
        <v>255</v>
      </c>
      <c r="O489" s="293">
        <v>0</v>
      </c>
      <c r="P489" s="298" t="s">
        <v>1357</v>
      </c>
      <c r="Q489" s="272" t="s">
        <v>1419</v>
      </c>
      <c r="R489" s="391">
        <v>1</v>
      </c>
      <c r="S489" s="293">
        <v>67050</v>
      </c>
      <c r="T489" s="294">
        <f t="shared" si="219"/>
        <v>67050</v>
      </c>
      <c r="U489" s="294"/>
      <c r="V489" s="294"/>
      <c r="W489" s="294"/>
      <c r="X489" s="294"/>
      <c r="Y489" s="294"/>
      <c r="Z489" s="318"/>
      <c r="AA489" s="294"/>
      <c r="AB489" s="294"/>
      <c r="AC489" s="294"/>
      <c r="AD489" s="294"/>
      <c r="AE489" s="512"/>
      <c r="AF489" s="512"/>
      <c r="AG489" s="514">
        <f t="shared" si="221"/>
        <v>0</v>
      </c>
      <c r="AH489" s="514">
        <v>0</v>
      </c>
      <c r="AI489" s="514">
        <f t="shared" si="222"/>
        <v>0</v>
      </c>
      <c r="AJ489" s="514">
        <v>0</v>
      </c>
      <c r="AK489" s="514">
        <f t="shared" si="223"/>
        <v>0</v>
      </c>
      <c r="AL489" s="514">
        <v>0</v>
      </c>
      <c r="AM489" s="515"/>
      <c r="AN489" s="299"/>
      <c r="AO489" s="296"/>
      <c r="AP489" s="274"/>
      <c r="AQ489" s="275"/>
      <c r="AR489" s="275"/>
      <c r="AS489" s="280"/>
    </row>
    <row r="490" spans="2:45" x14ac:dyDescent="0.3">
      <c r="B490" s="287">
        <f t="shared" si="224"/>
        <v>42</v>
      </c>
      <c r="C490" s="288" t="s">
        <v>174</v>
      </c>
      <c r="D490" s="288" t="str">
        <f t="shared" si="218"/>
        <v>Nov-25</v>
      </c>
      <c r="E490" s="272" t="s">
        <v>472</v>
      </c>
      <c r="F490" s="292">
        <v>45964</v>
      </c>
      <c r="G490" s="288" t="s">
        <v>329</v>
      </c>
      <c r="H490" s="288" t="s">
        <v>462</v>
      </c>
      <c r="I490" s="288" t="s">
        <v>1428</v>
      </c>
      <c r="J490" s="384" t="s">
        <v>2286</v>
      </c>
      <c r="K490" s="292">
        <v>45961</v>
      </c>
      <c r="L490" s="272" t="s">
        <v>2287</v>
      </c>
      <c r="M490" s="292">
        <v>45964</v>
      </c>
      <c r="N490" s="272" t="s">
        <v>255</v>
      </c>
      <c r="O490" s="293">
        <v>0</v>
      </c>
      <c r="P490" s="298" t="s">
        <v>1357</v>
      </c>
      <c r="Q490" s="272" t="s">
        <v>1430</v>
      </c>
      <c r="R490" s="391">
        <v>416</v>
      </c>
      <c r="S490" s="293">
        <v>240</v>
      </c>
      <c r="T490" s="294">
        <f t="shared" si="219"/>
        <v>99840</v>
      </c>
      <c r="U490" s="294"/>
      <c r="V490" s="294"/>
      <c r="W490" s="294"/>
      <c r="X490" s="294"/>
      <c r="Y490" s="294"/>
      <c r="Z490" s="318"/>
      <c r="AA490" s="294"/>
      <c r="AB490" s="294"/>
      <c r="AC490" s="294"/>
      <c r="AD490" s="294"/>
      <c r="AE490" s="512"/>
      <c r="AF490" s="512"/>
      <c r="AG490" s="514">
        <f t="shared" si="221"/>
        <v>0</v>
      </c>
      <c r="AH490" s="514">
        <v>0</v>
      </c>
      <c r="AI490" s="514">
        <f t="shared" si="222"/>
        <v>0</v>
      </c>
      <c r="AJ490" s="514">
        <v>0</v>
      </c>
      <c r="AK490" s="514">
        <f t="shared" si="223"/>
        <v>0</v>
      </c>
      <c r="AL490" s="514">
        <v>0</v>
      </c>
      <c r="AM490" s="515"/>
      <c r="AN490" s="299"/>
      <c r="AO490" s="296"/>
      <c r="AP490" s="274"/>
      <c r="AQ490" s="275"/>
      <c r="AR490" s="275"/>
      <c r="AS490" s="280"/>
    </row>
    <row r="491" spans="2:45" x14ac:dyDescent="0.3">
      <c r="B491" s="287">
        <f t="shared" si="224"/>
        <v>43</v>
      </c>
      <c r="C491" s="288" t="s">
        <v>174</v>
      </c>
      <c r="D491" s="288" t="str">
        <f t="shared" si="218"/>
        <v>Nov-25</v>
      </c>
      <c r="E491" s="272" t="s">
        <v>472</v>
      </c>
      <c r="F491" s="292">
        <v>45964</v>
      </c>
      <c r="G491" s="288" t="s">
        <v>329</v>
      </c>
      <c r="H491" s="288" t="s">
        <v>462</v>
      </c>
      <c r="I491" s="288" t="s">
        <v>1428</v>
      </c>
      <c r="J491" s="384" t="s">
        <v>2286</v>
      </c>
      <c r="K491" s="292">
        <v>45961</v>
      </c>
      <c r="L491" s="272" t="s">
        <v>2287</v>
      </c>
      <c r="M491" s="292">
        <v>45964</v>
      </c>
      <c r="N491" s="272" t="s">
        <v>255</v>
      </c>
      <c r="O491" s="293">
        <v>0</v>
      </c>
      <c r="P491" s="298" t="s">
        <v>1357</v>
      </c>
      <c r="Q491" s="272" t="s">
        <v>1666</v>
      </c>
      <c r="R491" s="391">
        <v>55</v>
      </c>
      <c r="S491" s="293">
        <v>1850</v>
      </c>
      <c r="T491" s="294">
        <f t="shared" si="219"/>
        <v>101750</v>
      </c>
      <c r="U491" s="294"/>
      <c r="V491" s="294"/>
      <c r="W491" s="294"/>
      <c r="X491" s="294"/>
      <c r="Y491" s="294"/>
      <c r="Z491" s="318"/>
      <c r="AA491" s="294"/>
      <c r="AB491" s="294"/>
      <c r="AC491" s="294"/>
      <c r="AD491" s="294"/>
      <c r="AE491" s="512"/>
      <c r="AF491" s="512"/>
      <c r="AG491" s="514">
        <f t="shared" si="221"/>
        <v>0</v>
      </c>
      <c r="AH491" s="514">
        <v>0</v>
      </c>
      <c r="AI491" s="514">
        <f t="shared" si="222"/>
        <v>0</v>
      </c>
      <c r="AJ491" s="514">
        <v>0</v>
      </c>
      <c r="AK491" s="514">
        <f t="shared" si="223"/>
        <v>0</v>
      </c>
      <c r="AL491" s="514">
        <v>0</v>
      </c>
      <c r="AM491" s="515"/>
      <c r="AN491" s="299"/>
      <c r="AO491" s="296"/>
      <c r="AP491" s="274"/>
      <c r="AQ491" s="275"/>
      <c r="AR491" s="275"/>
      <c r="AS491" s="280"/>
    </row>
    <row r="492" spans="2:45" x14ac:dyDescent="0.3">
      <c r="B492" s="287">
        <f t="shared" si="224"/>
        <v>44</v>
      </c>
      <c r="C492" s="288" t="s">
        <v>174</v>
      </c>
      <c r="D492" s="288" t="str">
        <f t="shared" si="218"/>
        <v>Nov-25</v>
      </c>
      <c r="E492" s="272" t="s">
        <v>472</v>
      </c>
      <c r="F492" s="292">
        <v>45964</v>
      </c>
      <c r="G492" s="288" t="s">
        <v>329</v>
      </c>
      <c r="H492" s="288" t="s">
        <v>2054</v>
      </c>
      <c r="I492" s="288" t="s">
        <v>2096</v>
      </c>
      <c r="J492" s="384" t="s">
        <v>2288</v>
      </c>
      <c r="K492" s="292">
        <v>45961</v>
      </c>
      <c r="L492" s="272" t="s">
        <v>2289</v>
      </c>
      <c r="M492" s="292">
        <v>45964</v>
      </c>
      <c r="N492" s="272" t="s">
        <v>255</v>
      </c>
      <c r="O492" s="293">
        <v>0</v>
      </c>
      <c r="P492" s="298" t="s">
        <v>1357</v>
      </c>
      <c r="Q492" s="272" t="s">
        <v>1419</v>
      </c>
      <c r="R492" s="391">
        <v>1</v>
      </c>
      <c r="S492" s="293">
        <v>156875</v>
      </c>
      <c r="T492" s="294">
        <f t="shared" si="219"/>
        <v>156875</v>
      </c>
      <c r="U492" s="294"/>
      <c r="V492" s="294"/>
      <c r="W492" s="294"/>
      <c r="X492" s="294"/>
      <c r="Y492" s="294"/>
      <c r="Z492" s="318"/>
      <c r="AA492" s="294"/>
      <c r="AB492" s="294"/>
      <c r="AC492" s="294"/>
      <c r="AD492" s="294"/>
      <c r="AE492" s="512"/>
      <c r="AF492" s="512"/>
      <c r="AG492" s="514">
        <f t="shared" si="221"/>
        <v>0</v>
      </c>
      <c r="AH492" s="514">
        <v>0</v>
      </c>
      <c r="AI492" s="514">
        <f t="shared" si="222"/>
        <v>0</v>
      </c>
      <c r="AJ492" s="514">
        <v>0</v>
      </c>
      <c r="AK492" s="514">
        <f t="shared" si="223"/>
        <v>0</v>
      </c>
      <c r="AL492" s="514">
        <v>0</v>
      </c>
      <c r="AM492" s="515"/>
      <c r="AN492" s="299"/>
      <c r="AO492" s="296"/>
      <c r="AP492" s="274"/>
      <c r="AQ492" s="275"/>
      <c r="AR492" s="275"/>
      <c r="AS492" s="280"/>
    </row>
    <row r="493" spans="2:45" x14ac:dyDescent="0.3">
      <c r="B493" s="287">
        <f t="shared" si="224"/>
        <v>45</v>
      </c>
      <c r="C493" s="288" t="s">
        <v>174</v>
      </c>
      <c r="D493" s="288" t="str">
        <f t="shared" si="218"/>
        <v>Nov-25</v>
      </c>
      <c r="E493" s="272" t="s">
        <v>472</v>
      </c>
      <c r="F493" s="292">
        <v>45976</v>
      </c>
      <c r="G493" s="288" t="s">
        <v>329</v>
      </c>
      <c r="H493" s="288" t="s">
        <v>2325</v>
      </c>
      <c r="I493" s="288" t="s">
        <v>2326</v>
      </c>
      <c r="J493" s="384" t="s">
        <v>2327</v>
      </c>
      <c r="K493" s="292">
        <v>45976</v>
      </c>
      <c r="L493" s="272" t="s">
        <v>2328</v>
      </c>
      <c r="M493" s="292">
        <v>45978</v>
      </c>
      <c r="N493" s="272" t="s">
        <v>255</v>
      </c>
      <c r="O493" s="293">
        <v>0</v>
      </c>
      <c r="P493" s="298" t="s">
        <v>1357</v>
      </c>
      <c r="Q493" s="272" t="s">
        <v>2329</v>
      </c>
      <c r="R493" s="391">
        <v>25140</v>
      </c>
      <c r="S493" s="293">
        <v>2.2000000000000002</v>
      </c>
      <c r="T493" s="294">
        <f t="shared" si="219"/>
        <v>55308.000000000007</v>
      </c>
      <c r="U493" s="294"/>
      <c r="V493" s="294"/>
      <c r="W493" s="294"/>
      <c r="X493" s="294"/>
      <c r="Y493" s="294"/>
      <c r="Z493" s="318"/>
      <c r="AA493" s="294"/>
      <c r="AB493" s="294"/>
      <c r="AC493" s="294"/>
      <c r="AD493" s="294"/>
      <c r="AE493" s="512"/>
      <c r="AF493" s="512"/>
      <c r="AG493" s="514">
        <f t="shared" si="221"/>
        <v>0</v>
      </c>
      <c r="AH493" s="514">
        <v>0</v>
      </c>
      <c r="AI493" s="514">
        <f t="shared" si="222"/>
        <v>0</v>
      </c>
      <c r="AJ493" s="514">
        <v>0</v>
      </c>
      <c r="AK493" s="514">
        <f t="shared" si="223"/>
        <v>0</v>
      </c>
      <c r="AL493" s="514">
        <v>0</v>
      </c>
      <c r="AM493" s="515"/>
      <c r="AN493" s="299"/>
      <c r="AO493" s="296"/>
      <c r="AP493" s="274"/>
      <c r="AQ493" s="275"/>
      <c r="AR493" s="275"/>
      <c r="AS493" s="280"/>
    </row>
    <row r="494" spans="2:45" x14ac:dyDescent="0.3">
      <c r="B494" s="287">
        <f t="shared" si="224"/>
        <v>46</v>
      </c>
      <c r="C494" s="288" t="s">
        <v>174</v>
      </c>
      <c r="D494" s="288" t="str">
        <f t="shared" si="218"/>
        <v>Nov-25</v>
      </c>
      <c r="E494" s="272" t="s">
        <v>472</v>
      </c>
      <c r="F494" s="292">
        <v>45979</v>
      </c>
      <c r="G494" s="288" t="s">
        <v>329</v>
      </c>
      <c r="H494" s="288" t="s">
        <v>395</v>
      </c>
      <c r="I494" s="288" t="s">
        <v>329</v>
      </c>
      <c r="J494" s="384" t="s">
        <v>343</v>
      </c>
      <c r="K494" s="292">
        <v>45979</v>
      </c>
      <c r="L494" s="272" t="s">
        <v>2330</v>
      </c>
      <c r="M494" s="292">
        <v>45979</v>
      </c>
      <c r="N494" s="272" t="s">
        <v>255</v>
      </c>
      <c r="O494" s="293">
        <v>0</v>
      </c>
      <c r="P494" s="298" t="s">
        <v>1357</v>
      </c>
      <c r="Q494" s="272" t="s">
        <v>329</v>
      </c>
      <c r="R494" s="391">
        <v>1</v>
      </c>
      <c r="S494" s="293">
        <v>49100</v>
      </c>
      <c r="T494" s="294">
        <f t="shared" si="219"/>
        <v>49100</v>
      </c>
      <c r="U494" s="294"/>
      <c r="V494" s="294"/>
      <c r="W494" s="294"/>
      <c r="X494" s="294"/>
      <c r="Y494" s="294"/>
      <c r="Z494" s="318"/>
      <c r="AA494" s="294"/>
      <c r="AB494" s="294"/>
      <c r="AC494" s="294"/>
      <c r="AD494" s="294"/>
      <c r="AE494" s="512"/>
      <c r="AF494" s="512"/>
      <c r="AG494" s="514">
        <f t="shared" si="221"/>
        <v>0</v>
      </c>
      <c r="AH494" s="514">
        <v>0</v>
      </c>
      <c r="AI494" s="514">
        <f t="shared" si="222"/>
        <v>0</v>
      </c>
      <c r="AJ494" s="514">
        <v>0</v>
      </c>
      <c r="AK494" s="514">
        <f t="shared" si="223"/>
        <v>0</v>
      </c>
      <c r="AL494" s="514">
        <v>0</v>
      </c>
      <c r="AM494" s="515"/>
      <c r="AN494" s="299"/>
      <c r="AO494" s="296"/>
      <c r="AP494" s="274"/>
      <c r="AQ494" s="275"/>
      <c r="AR494" s="275"/>
      <c r="AS494" s="280"/>
    </row>
    <row r="495" spans="2:45" x14ac:dyDescent="0.3">
      <c r="B495" s="287">
        <f t="shared" si="224"/>
        <v>47</v>
      </c>
      <c r="C495" s="288" t="s">
        <v>174</v>
      </c>
      <c r="D495" s="288" t="str">
        <f t="shared" si="218"/>
        <v>Nov-25</v>
      </c>
      <c r="E495" s="272" t="s">
        <v>472</v>
      </c>
      <c r="F495" s="292">
        <v>45982</v>
      </c>
      <c r="G495" s="288"/>
      <c r="H495" s="288" t="s">
        <v>2332</v>
      </c>
      <c r="I495" s="288" t="s">
        <v>329</v>
      </c>
      <c r="J495" s="384" t="s">
        <v>1067</v>
      </c>
      <c r="K495" s="292">
        <v>45982</v>
      </c>
      <c r="L495" s="272" t="s">
        <v>2335</v>
      </c>
      <c r="M495" s="292">
        <v>45982</v>
      </c>
      <c r="N495" s="272" t="s">
        <v>255</v>
      </c>
      <c r="O495" s="293">
        <v>0</v>
      </c>
      <c r="P495" s="298" t="s">
        <v>1357</v>
      </c>
      <c r="Q495" s="272" t="s">
        <v>329</v>
      </c>
      <c r="R495" s="391">
        <v>1</v>
      </c>
      <c r="S495" s="293">
        <v>300000</v>
      </c>
      <c r="T495" s="294">
        <f t="shared" si="219"/>
        <v>300000</v>
      </c>
      <c r="U495" s="294"/>
      <c r="V495" s="294"/>
      <c r="W495" s="294"/>
      <c r="X495" s="294"/>
      <c r="Y495" s="294"/>
      <c r="Z495" s="318"/>
      <c r="AA495" s="294"/>
      <c r="AB495" s="294"/>
      <c r="AC495" s="294"/>
      <c r="AD495" s="294"/>
      <c r="AE495" s="512"/>
      <c r="AF495" s="512"/>
      <c r="AG495" s="514">
        <f t="shared" si="221"/>
        <v>0</v>
      </c>
      <c r="AH495" s="514">
        <v>0</v>
      </c>
      <c r="AI495" s="514">
        <f t="shared" si="222"/>
        <v>0</v>
      </c>
      <c r="AJ495" s="514">
        <v>0</v>
      </c>
      <c r="AK495" s="514">
        <f t="shared" si="223"/>
        <v>0</v>
      </c>
      <c r="AL495" s="514">
        <v>0</v>
      </c>
      <c r="AM495" s="515"/>
      <c r="AN495" s="299"/>
      <c r="AO495" s="296"/>
      <c r="AP495" s="274"/>
      <c r="AQ495" s="275"/>
      <c r="AR495" s="275"/>
      <c r="AS495" s="280"/>
    </row>
    <row r="496" spans="2:45" x14ac:dyDescent="0.3">
      <c r="B496" s="287">
        <f t="shared" si="224"/>
        <v>48</v>
      </c>
      <c r="C496" s="288" t="s">
        <v>174</v>
      </c>
      <c r="D496" s="288" t="str">
        <f t="shared" si="218"/>
        <v>Nov-25</v>
      </c>
      <c r="E496" s="272" t="s">
        <v>472</v>
      </c>
      <c r="F496" s="292">
        <v>45990</v>
      </c>
      <c r="G496" s="288"/>
      <c r="H496" s="288" t="s">
        <v>395</v>
      </c>
      <c r="I496" s="288" t="s">
        <v>329</v>
      </c>
      <c r="J496" s="384" t="s">
        <v>337</v>
      </c>
      <c r="K496" s="292">
        <v>45990</v>
      </c>
      <c r="L496" s="272" t="s">
        <v>2337</v>
      </c>
      <c r="M496" s="292">
        <v>45990</v>
      </c>
      <c r="N496" s="272" t="s">
        <v>255</v>
      </c>
      <c r="O496" s="293">
        <v>0</v>
      </c>
      <c r="P496" s="298" t="s">
        <v>1357</v>
      </c>
      <c r="Q496" s="272" t="s">
        <v>329</v>
      </c>
      <c r="R496" s="391">
        <v>1</v>
      </c>
      <c r="S496" s="293">
        <v>8800</v>
      </c>
      <c r="T496" s="294">
        <f t="shared" si="219"/>
        <v>8800</v>
      </c>
      <c r="U496" s="294"/>
      <c r="V496" s="294"/>
      <c r="W496" s="294"/>
      <c r="X496" s="294"/>
      <c r="Y496" s="294"/>
      <c r="Z496" s="318"/>
      <c r="AA496" s="294"/>
      <c r="AB496" s="294"/>
      <c r="AC496" s="294"/>
      <c r="AD496" s="294"/>
      <c r="AE496" s="512"/>
      <c r="AF496" s="512"/>
      <c r="AG496" s="514">
        <f t="shared" si="221"/>
        <v>0</v>
      </c>
      <c r="AH496" s="514">
        <v>0</v>
      </c>
      <c r="AI496" s="514">
        <f t="shared" si="222"/>
        <v>0</v>
      </c>
      <c r="AJ496" s="514">
        <v>0</v>
      </c>
      <c r="AK496" s="514">
        <f t="shared" si="223"/>
        <v>0</v>
      </c>
      <c r="AL496" s="514">
        <v>0</v>
      </c>
      <c r="AM496" s="515"/>
      <c r="AN496" s="299"/>
      <c r="AO496" s="296"/>
      <c r="AP496" s="274"/>
      <c r="AQ496" s="275"/>
      <c r="AR496" s="275"/>
      <c r="AS496" s="280"/>
    </row>
    <row r="497" spans="2:45" x14ac:dyDescent="0.3">
      <c r="B497" s="287">
        <f t="shared" si="224"/>
        <v>49</v>
      </c>
      <c r="C497" s="288" t="s">
        <v>174</v>
      </c>
      <c r="D497" s="288" t="str">
        <f t="shared" si="218"/>
        <v>Dec-25</v>
      </c>
      <c r="E497" s="272" t="s">
        <v>472</v>
      </c>
      <c r="F497" s="292">
        <v>45999</v>
      </c>
      <c r="G497" s="288" t="s">
        <v>329</v>
      </c>
      <c r="H497" s="288" t="s">
        <v>462</v>
      </c>
      <c r="I497" s="288" t="s">
        <v>1428</v>
      </c>
      <c r="J497" s="384" t="s">
        <v>2345</v>
      </c>
      <c r="K497" s="292">
        <v>45991</v>
      </c>
      <c r="L497" s="272" t="s">
        <v>2346</v>
      </c>
      <c r="M497" s="292">
        <v>45999</v>
      </c>
      <c r="N497" s="272" t="s">
        <v>255</v>
      </c>
      <c r="O497" s="293">
        <v>0</v>
      </c>
      <c r="P497" s="298" t="s">
        <v>1357</v>
      </c>
      <c r="Q497" s="272" t="s">
        <v>1666</v>
      </c>
      <c r="R497" s="391">
        <v>2</v>
      </c>
      <c r="S497" s="293">
        <v>1850</v>
      </c>
      <c r="T497" s="294">
        <f t="shared" si="219"/>
        <v>3700</v>
      </c>
      <c r="U497" s="294"/>
      <c r="V497" s="294"/>
      <c r="W497" s="294"/>
      <c r="X497" s="294"/>
      <c r="Y497" s="294"/>
      <c r="Z497" s="318"/>
      <c r="AA497" s="294"/>
      <c r="AB497" s="294"/>
      <c r="AC497" s="294"/>
      <c r="AD497" s="294"/>
      <c r="AE497" s="512"/>
      <c r="AF497" s="512"/>
      <c r="AG497" s="514">
        <f t="shared" si="221"/>
        <v>0</v>
      </c>
      <c r="AH497" s="514">
        <v>0</v>
      </c>
      <c r="AI497" s="514">
        <f t="shared" si="222"/>
        <v>0</v>
      </c>
      <c r="AJ497" s="514">
        <v>0</v>
      </c>
      <c r="AK497" s="514">
        <f t="shared" si="223"/>
        <v>0</v>
      </c>
      <c r="AL497" s="514">
        <v>0</v>
      </c>
      <c r="AM497" s="515"/>
      <c r="AN497" s="299"/>
      <c r="AO497" s="296"/>
      <c r="AP497" s="274"/>
      <c r="AQ497" s="275"/>
      <c r="AR497" s="275"/>
      <c r="AS497" s="280"/>
    </row>
    <row r="498" spans="2:45" x14ac:dyDescent="0.3">
      <c r="B498" s="287">
        <f t="shared" si="224"/>
        <v>50</v>
      </c>
      <c r="C498" s="288" t="s">
        <v>174</v>
      </c>
      <c r="D498" s="288" t="str">
        <f t="shared" si="218"/>
        <v>Dec-25</v>
      </c>
      <c r="E498" s="272" t="s">
        <v>472</v>
      </c>
      <c r="F498" s="292">
        <v>45999</v>
      </c>
      <c r="G498" s="288" t="s">
        <v>329</v>
      </c>
      <c r="H498" s="288" t="s">
        <v>462</v>
      </c>
      <c r="I498" s="288" t="s">
        <v>1428</v>
      </c>
      <c r="J498" s="384" t="s">
        <v>2345</v>
      </c>
      <c r="K498" s="292">
        <v>45991</v>
      </c>
      <c r="L498" s="272" t="s">
        <v>2346</v>
      </c>
      <c r="M498" s="292">
        <v>45999</v>
      </c>
      <c r="N498" s="272" t="s">
        <v>255</v>
      </c>
      <c r="O498" s="293">
        <v>0</v>
      </c>
      <c r="P498" s="298" t="s">
        <v>1357</v>
      </c>
      <c r="Q498" s="272" t="s">
        <v>1666</v>
      </c>
      <c r="R498" s="391">
        <v>36</v>
      </c>
      <c r="S498" s="293">
        <v>240</v>
      </c>
      <c r="T498" s="294">
        <f t="shared" si="219"/>
        <v>8640</v>
      </c>
      <c r="U498" s="294"/>
      <c r="V498" s="294"/>
      <c r="W498" s="294"/>
      <c r="X498" s="294"/>
      <c r="Y498" s="294"/>
      <c r="Z498" s="318"/>
      <c r="AA498" s="294"/>
      <c r="AB498" s="294"/>
      <c r="AC498" s="294"/>
      <c r="AD498" s="294"/>
      <c r="AE498" s="512"/>
      <c r="AF498" s="512"/>
      <c r="AG498" s="514">
        <f t="shared" si="221"/>
        <v>0</v>
      </c>
      <c r="AH498" s="514">
        <v>0</v>
      </c>
      <c r="AI498" s="514">
        <f t="shared" si="222"/>
        <v>0</v>
      </c>
      <c r="AJ498" s="514">
        <v>0</v>
      </c>
      <c r="AK498" s="514">
        <f t="shared" si="223"/>
        <v>0</v>
      </c>
      <c r="AL498" s="514">
        <v>0</v>
      </c>
      <c r="AM498" s="515"/>
      <c r="AN498" s="299"/>
      <c r="AO498" s="296"/>
      <c r="AP498" s="274"/>
      <c r="AQ498" s="275"/>
      <c r="AR498" s="275"/>
      <c r="AS498" s="280"/>
    </row>
    <row r="499" spans="2:45" x14ac:dyDescent="0.3">
      <c r="B499" s="287">
        <f t="shared" si="224"/>
        <v>51</v>
      </c>
      <c r="C499" s="288" t="s">
        <v>174</v>
      </c>
      <c r="D499" s="288" t="str">
        <f t="shared" ref="D499:D515" si="225">TEXT(F499,"mmm-yy")</f>
        <v>Dec-25</v>
      </c>
      <c r="E499" s="272" t="s">
        <v>472</v>
      </c>
      <c r="F499" s="292">
        <v>45999</v>
      </c>
      <c r="G499" s="288" t="s">
        <v>329</v>
      </c>
      <c r="H499" s="288" t="s">
        <v>240</v>
      </c>
      <c r="I499" s="288" t="s">
        <v>1417</v>
      </c>
      <c r="J499" s="384" t="s">
        <v>2347</v>
      </c>
      <c r="K499" s="292">
        <v>45992</v>
      </c>
      <c r="L499" s="272" t="s">
        <v>2348</v>
      </c>
      <c r="M499" s="292">
        <v>45999</v>
      </c>
      <c r="N499" s="272" t="s">
        <v>255</v>
      </c>
      <c r="O499" s="293">
        <v>0</v>
      </c>
      <c r="P499" s="298" t="s">
        <v>1357</v>
      </c>
      <c r="Q499" s="272" t="s">
        <v>1419</v>
      </c>
      <c r="R499" s="391">
        <v>1</v>
      </c>
      <c r="S499" s="293">
        <v>1300</v>
      </c>
      <c r="T499" s="294">
        <f t="shared" ref="T499:T515" si="226">R499*S499</f>
        <v>1300</v>
      </c>
      <c r="U499" s="294"/>
      <c r="V499" s="294"/>
      <c r="W499" s="294"/>
      <c r="X499" s="294"/>
      <c r="Y499" s="294"/>
      <c r="Z499" s="318"/>
      <c r="AA499" s="294"/>
      <c r="AB499" s="294"/>
      <c r="AC499" s="294"/>
      <c r="AD499" s="294"/>
      <c r="AE499" s="512"/>
      <c r="AF499" s="512"/>
      <c r="AG499" s="514">
        <f t="shared" si="221"/>
        <v>0</v>
      </c>
      <c r="AH499" s="514">
        <v>0</v>
      </c>
      <c r="AI499" s="514">
        <f t="shared" si="222"/>
        <v>0</v>
      </c>
      <c r="AJ499" s="514">
        <v>0</v>
      </c>
      <c r="AK499" s="514">
        <f t="shared" si="223"/>
        <v>0</v>
      </c>
      <c r="AL499" s="514">
        <v>0</v>
      </c>
      <c r="AM499" s="515"/>
      <c r="AN499" s="299"/>
      <c r="AO499" s="296"/>
      <c r="AP499" s="274"/>
      <c r="AQ499" s="275"/>
      <c r="AR499" s="275"/>
      <c r="AS499" s="280"/>
    </row>
    <row r="500" spans="2:45" x14ac:dyDescent="0.3">
      <c r="B500" s="287">
        <f t="shared" si="224"/>
        <v>52</v>
      </c>
      <c r="C500" s="288" t="s">
        <v>174</v>
      </c>
      <c r="D500" s="288" t="str">
        <f t="shared" si="225"/>
        <v>Dec-25</v>
      </c>
      <c r="E500" s="272" t="s">
        <v>472</v>
      </c>
      <c r="F500" s="292">
        <v>46022</v>
      </c>
      <c r="G500" s="288" t="s">
        <v>2414</v>
      </c>
      <c r="H500" s="288" t="s">
        <v>196</v>
      </c>
      <c r="I500" s="288" t="s">
        <v>2680</v>
      </c>
      <c r="J500" s="384" t="s">
        <v>2417</v>
      </c>
      <c r="K500" s="292">
        <v>46022</v>
      </c>
      <c r="L500" s="272" t="s">
        <v>2420</v>
      </c>
      <c r="M500" s="292">
        <v>46022</v>
      </c>
      <c r="N500" s="272" t="s">
        <v>255</v>
      </c>
      <c r="O500" s="293">
        <v>0</v>
      </c>
      <c r="P500" s="298" t="s">
        <v>1357</v>
      </c>
      <c r="Q500" s="272" t="s">
        <v>2175</v>
      </c>
      <c r="R500" s="391">
        <v>35215</v>
      </c>
      <c r="S500" s="293">
        <v>0.84899999999999998</v>
      </c>
      <c r="T500" s="294">
        <f t="shared" si="226"/>
        <v>29897.535</v>
      </c>
      <c r="U500" s="294"/>
      <c r="V500" s="294"/>
      <c r="W500" s="294"/>
      <c r="X500" s="294"/>
      <c r="Y500" s="294"/>
      <c r="Z500" s="318"/>
      <c r="AA500" s="294"/>
      <c r="AB500" s="294"/>
      <c r="AC500" s="294"/>
      <c r="AD500" s="294"/>
      <c r="AE500" s="512"/>
      <c r="AF500" s="512"/>
      <c r="AG500" s="514">
        <f t="shared" si="221"/>
        <v>0</v>
      </c>
      <c r="AH500" s="514">
        <v>0</v>
      </c>
      <c r="AI500" s="514">
        <f t="shared" si="222"/>
        <v>0</v>
      </c>
      <c r="AJ500" s="514">
        <v>0</v>
      </c>
      <c r="AK500" s="514">
        <f t="shared" si="223"/>
        <v>0</v>
      </c>
      <c r="AL500" s="514">
        <v>0</v>
      </c>
      <c r="AM500" s="515"/>
      <c r="AN500" s="299"/>
      <c r="AO500" s="296"/>
      <c r="AP500" s="274"/>
      <c r="AQ500" s="275"/>
      <c r="AR500" s="275"/>
      <c r="AS500" s="280"/>
    </row>
    <row r="501" spans="2:45" x14ac:dyDescent="0.3">
      <c r="B501" s="287">
        <f t="shared" si="224"/>
        <v>53</v>
      </c>
      <c r="C501" s="288" t="s">
        <v>174</v>
      </c>
      <c r="D501" s="288" t="str">
        <f t="shared" si="225"/>
        <v>Jan-26</v>
      </c>
      <c r="E501" s="272" t="s">
        <v>472</v>
      </c>
      <c r="F501" s="292">
        <v>46028</v>
      </c>
      <c r="G501" s="288"/>
      <c r="H501" s="288" t="s">
        <v>462</v>
      </c>
      <c r="I501" s="288" t="s">
        <v>1428</v>
      </c>
      <c r="J501" s="384" t="s">
        <v>2571</v>
      </c>
      <c r="K501" s="292">
        <v>46022</v>
      </c>
      <c r="L501" s="272" t="s">
        <v>2572</v>
      </c>
      <c r="M501" s="292">
        <v>46028</v>
      </c>
      <c r="N501" s="272" t="s">
        <v>255</v>
      </c>
      <c r="O501" s="293">
        <v>0</v>
      </c>
      <c r="P501" s="298" t="s">
        <v>1357</v>
      </c>
      <c r="R501" s="391">
        <v>15</v>
      </c>
      <c r="S501" s="293">
        <v>240</v>
      </c>
      <c r="T501" s="294">
        <f t="shared" si="226"/>
        <v>3600</v>
      </c>
      <c r="U501" s="294"/>
      <c r="V501" s="294"/>
      <c r="W501" s="294"/>
      <c r="X501" s="294"/>
      <c r="Y501" s="294"/>
      <c r="Z501" s="318"/>
      <c r="AA501" s="294"/>
      <c r="AB501" s="294"/>
      <c r="AC501" s="294"/>
      <c r="AD501" s="294"/>
      <c r="AE501" s="512"/>
      <c r="AF501" s="512"/>
      <c r="AG501" s="514">
        <f t="shared" si="221"/>
        <v>0</v>
      </c>
      <c r="AH501" s="514">
        <v>0</v>
      </c>
      <c r="AI501" s="514">
        <f t="shared" si="222"/>
        <v>0</v>
      </c>
      <c r="AJ501" s="514">
        <v>0</v>
      </c>
      <c r="AK501" s="514">
        <f t="shared" si="223"/>
        <v>0</v>
      </c>
      <c r="AL501" s="514">
        <v>0</v>
      </c>
      <c r="AM501" s="515"/>
      <c r="AN501" s="299"/>
      <c r="AO501" s="296"/>
      <c r="AP501" s="274"/>
      <c r="AQ501" s="275"/>
      <c r="AR501" s="275"/>
      <c r="AS501" s="280"/>
    </row>
    <row r="502" spans="2:45" x14ac:dyDescent="0.3">
      <c r="B502" s="287">
        <f t="shared" si="224"/>
        <v>54</v>
      </c>
      <c r="C502" s="288" t="s">
        <v>174</v>
      </c>
      <c r="D502" s="288" t="str">
        <f t="shared" si="225"/>
        <v>Jan-26</v>
      </c>
      <c r="E502" s="272" t="s">
        <v>472</v>
      </c>
      <c r="F502" s="292">
        <v>46028</v>
      </c>
      <c r="G502" s="288"/>
      <c r="H502" s="288" t="s">
        <v>462</v>
      </c>
      <c r="I502" s="288" t="s">
        <v>1428</v>
      </c>
      <c r="J502" s="384" t="s">
        <v>2571</v>
      </c>
      <c r="K502" s="292">
        <v>46022</v>
      </c>
      <c r="L502" s="272" t="s">
        <v>2572</v>
      </c>
      <c r="M502" s="292">
        <v>46028</v>
      </c>
      <c r="N502" s="272" t="s">
        <v>255</v>
      </c>
      <c r="O502" s="293">
        <v>0</v>
      </c>
      <c r="P502" s="298" t="s">
        <v>1357</v>
      </c>
      <c r="R502" s="391">
        <v>1</v>
      </c>
      <c r="S502" s="293">
        <v>1850</v>
      </c>
      <c r="T502" s="294">
        <f t="shared" si="226"/>
        <v>1850</v>
      </c>
      <c r="U502" s="294"/>
      <c r="V502" s="294"/>
      <c r="W502" s="294"/>
      <c r="X502" s="294"/>
      <c r="Y502" s="294"/>
      <c r="Z502" s="318"/>
      <c r="AA502" s="294"/>
      <c r="AB502" s="294"/>
      <c r="AC502" s="294"/>
      <c r="AD502" s="294"/>
      <c r="AE502" s="512"/>
      <c r="AF502" s="512"/>
      <c r="AG502" s="514">
        <f t="shared" si="221"/>
        <v>0</v>
      </c>
      <c r="AH502" s="514">
        <v>0</v>
      </c>
      <c r="AI502" s="514">
        <f t="shared" si="222"/>
        <v>0</v>
      </c>
      <c r="AJ502" s="514">
        <v>0</v>
      </c>
      <c r="AK502" s="514">
        <f t="shared" si="223"/>
        <v>0</v>
      </c>
      <c r="AL502" s="514">
        <v>0</v>
      </c>
      <c r="AM502" s="515"/>
      <c r="AN502" s="299"/>
      <c r="AO502" s="296"/>
      <c r="AP502" s="274"/>
      <c r="AQ502" s="275"/>
      <c r="AR502" s="275"/>
      <c r="AS502" s="280"/>
    </row>
    <row r="503" spans="2:45" x14ac:dyDescent="0.3">
      <c r="B503" s="287">
        <f t="shared" si="224"/>
        <v>55</v>
      </c>
      <c r="C503" s="288" t="s">
        <v>174</v>
      </c>
      <c r="D503" s="288" t="str">
        <f t="shared" si="225"/>
        <v>Jan-26</v>
      </c>
      <c r="E503" s="272" t="s">
        <v>472</v>
      </c>
      <c r="F503" s="292">
        <v>46035</v>
      </c>
      <c r="G503" s="288" t="s">
        <v>2581</v>
      </c>
      <c r="H503" s="288" t="s">
        <v>196</v>
      </c>
      <c r="I503" s="288" t="s">
        <v>2680</v>
      </c>
      <c r="J503" s="384" t="s">
        <v>2583</v>
      </c>
      <c r="K503" s="292">
        <v>46031</v>
      </c>
      <c r="L503" s="272" t="s">
        <v>2587</v>
      </c>
      <c r="M503" s="292">
        <v>46035</v>
      </c>
      <c r="N503" s="272" t="s">
        <v>255</v>
      </c>
      <c r="O503" s="293">
        <v>0</v>
      </c>
      <c r="P503" s="298" t="s">
        <v>1357</v>
      </c>
      <c r="Q503" s="272" t="s">
        <v>2175</v>
      </c>
      <c r="R503" s="391">
        <v>10510</v>
      </c>
      <c r="S503" s="293">
        <v>1.113</v>
      </c>
      <c r="T503" s="294">
        <f t="shared" si="226"/>
        <v>11697.63</v>
      </c>
      <c r="U503" s="294"/>
      <c r="V503" s="294"/>
      <c r="W503" s="294"/>
      <c r="X503" s="294"/>
      <c r="Y503" s="294"/>
      <c r="Z503" s="318"/>
      <c r="AA503" s="294"/>
      <c r="AB503" s="294"/>
      <c r="AC503" s="294"/>
      <c r="AD503" s="294"/>
      <c r="AE503" s="512"/>
      <c r="AF503" s="512"/>
      <c r="AG503" s="514">
        <f t="shared" si="221"/>
        <v>0</v>
      </c>
      <c r="AH503" s="514">
        <v>0</v>
      </c>
      <c r="AI503" s="514">
        <f t="shared" si="222"/>
        <v>0</v>
      </c>
      <c r="AJ503" s="514">
        <v>0</v>
      </c>
      <c r="AK503" s="514">
        <f t="shared" si="223"/>
        <v>0</v>
      </c>
      <c r="AL503" s="514">
        <v>0</v>
      </c>
      <c r="AM503" s="515"/>
      <c r="AN503" s="299"/>
      <c r="AO503" s="296"/>
      <c r="AP503" s="274"/>
      <c r="AQ503" s="275"/>
      <c r="AR503" s="275"/>
      <c r="AS503" s="280"/>
    </row>
    <row r="504" spans="2:45" x14ac:dyDescent="0.3">
      <c r="B504" s="287">
        <f t="shared" si="224"/>
        <v>56</v>
      </c>
      <c r="C504" s="288" t="s">
        <v>174</v>
      </c>
      <c r="D504" s="288" t="str">
        <f t="shared" si="225"/>
        <v>Jan-26</v>
      </c>
      <c r="E504" s="272" t="s">
        <v>472</v>
      </c>
      <c r="F504" s="292">
        <v>46041</v>
      </c>
      <c r="G504" s="288" t="s">
        <v>329</v>
      </c>
      <c r="H504" s="288" t="s">
        <v>240</v>
      </c>
      <c r="I504" s="288" t="s">
        <v>1417</v>
      </c>
      <c r="J504" s="384" t="s">
        <v>2729</v>
      </c>
      <c r="K504" s="292">
        <v>46023</v>
      </c>
      <c r="L504" s="272" t="s">
        <v>2730</v>
      </c>
      <c r="M504" s="292">
        <v>46041</v>
      </c>
      <c r="N504" s="272" t="s">
        <v>255</v>
      </c>
      <c r="O504" s="293">
        <v>0</v>
      </c>
      <c r="P504" s="298" t="s">
        <v>1357</v>
      </c>
      <c r="Q504" s="272" t="s">
        <v>1419</v>
      </c>
      <c r="R504" s="391">
        <v>1</v>
      </c>
      <c r="S504" s="293">
        <v>24550</v>
      </c>
      <c r="T504" s="294">
        <f t="shared" si="226"/>
        <v>24550</v>
      </c>
      <c r="U504" s="294"/>
      <c r="V504" s="294"/>
      <c r="W504" s="294"/>
      <c r="X504" s="294"/>
      <c r="Y504" s="294"/>
      <c r="Z504" s="318"/>
      <c r="AA504" s="294"/>
      <c r="AB504" s="294"/>
      <c r="AC504" s="294"/>
      <c r="AD504" s="294"/>
      <c r="AE504" s="512"/>
      <c r="AF504" s="512"/>
      <c r="AG504" s="514"/>
      <c r="AH504" s="514"/>
      <c r="AI504" s="514"/>
      <c r="AJ504" s="514"/>
      <c r="AK504" s="514"/>
      <c r="AL504" s="514"/>
      <c r="AM504" s="515"/>
      <c r="AN504" s="299"/>
      <c r="AO504" s="296"/>
      <c r="AP504" s="274"/>
      <c r="AQ504" s="275"/>
      <c r="AR504" s="275"/>
      <c r="AS504" s="280"/>
    </row>
    <row r="505" spans="2:45" x14ac:dyDescent="0.3">
      <c r="B505" s="287">
        <f t="shared" si="224"/>
        <v>57</v>
      </c>
      <c r="C505" s="288" t="s">
        <v>174</v>
      </c>
      <c r="D505" s="288" t="str">
        <f t="shared" si="225"/>
        <v>Jan-26</v>
      </c>
      <c r="E505" s="272" t="s">
        <v>472</v>
      </c>
      <c r="F505" s="292">
        <v>46042</v>
      </c>
      <c r="G505" s="288" t="s">
        <v>2660</v>
      </c>
      <c r="H505" s="288" t="s">
        <v>196</v>
      </c>
      <c r="I505" s="288" t="s">
        <v>2680</v>
      </c>
      <c r="J505" s="384" t="s">
        <v>2662</v>
      </c>
      <c r="K505" s="292">
        <v>46042</v>
      </c>
      <c r="L505" s="272" t="s">
        <v>2666</v>
      </c>
      <c r="M505" s="292">
        <v>46044</v>
      </c>
      <c r="N505" s="272" t="s">
        <v>255</v>
      </c>
      <c r="O505" s="293">
        <v>0</v>
      </c>
      <c r="P505" s="298" t="s">
        <v>1357</v>
      </c>
      <c r="Q505" s="272" t="s">
        <v>2175</v>
      </c>
      <c r="R505" s="391">
        <v>14340</v>
      </c>
      <c r="S505" s="293">
        <v>0.50600000000000001</v>
      </c>
      <c r="T505" s="294">
        <f t="shared" si="226"/>
        <v>7256.04</v>
      </c>
      <c r="U505" s="294"/>
      <c r="V505" s="294"/>
      <c r="W505" s="294"/>
      <c r="X505" s="294"/>
      <c r="Y505" s="294"/>
      <c r="Z505" s="318"/>
      <c r="AA505" s="294"/>
      <c r="AB505" s="294"/>
      <c r="AC505" s="294"/>
      <c r="AD505" s="294"/>
      <c r="AE505" s="512"/>
      <c r="AF505" s="512"/>
      <c r="AG505" s="514">
        <f t="shared" ref="AG505:AG515" si="227">AE505*AF505</f>
        <v>0</v>
      </c>
      <c r="AH505" s="514">
        <v>0</v>
      </c>
      <c r="AI505" s="514">
        <f t="shared" ref="AI505:AI515" si="228">AG505-AH505</f>
        <v>0</v>
      </c>
      <c r="AJ505" s="514">
        <v>0</v>
      </c>
      <c r="AK505" s="514">
        <f t="shared" ref="AK505:AK515" si="229">AE505-AJ505</f>
        <v>0</v>
      </c>
      <c r="AL505" s="514">
        <v>0</v>
      </c>
      <c r="AM505" s="515"/>
      <c r="AN505" s="299"/>
      <c r="AO505" s="296"/>
      <c r="AP505" s="274"/>
      <c r="AQ505" s="275"/>
      <c r="AR505" s="275"/>
      <c r="AS505" s="280"/>
    </row>
    <row r="506" spans="2:45" x14ac:dyDescent="0.3">
      <c r="B506" s="287">
        <f t="shared" si="224"/>
        <v>58</v>
      </c>
      <c r="C506" s="288" t="s">
        <v>174</v>
      </c>
      <c r="D506" s="288" t="str">
        <f t="shared" si="225"/>
        <v>Jan-26</v>
      </c>
      <c r="E506" s="272" t="s">
        <v>472</v>
      </c>
      <c r="F506" s="292">
        <v>46044</v>
      </c>
      <c r="G506" s="288" t="s">
        <v>329</v>
      </c>
      <c r="H506" s="288" t="s">
        <v>2325</v>
      </c>
      <c r="I506" s="288" t="s">
        <v>2326</v>
      </c>
      <c r="J506" s="384" t="s">
        <v>2732</v>
      </c>
      <c r="K506" s="292">
        <v>45982</v>
      </c>
      <c r="L506" s="272" t="s">
        <v>2733</v>
      </c>
      <c r="M506" s="292">
        <v>46044</v>
      </c>
      <c r="N506" s="272" t="s">
        <v>255</v>
      </c>
      <c r="O506" s="293">
        <v>0</v>
      </c>
      <c r="P506" s="298" t="s">
        <v>1357</v>
      </c>
      <c r="Q506" s="272" t="s">
        <v>2329</v>
      </c>
      <c r="R506" s="391">
        <v>31360</v>
      </c>
      <c r="S506" s="293">
        <v>2.2000000000000002</v>
      </c>
      <c r="T506" s="294">
        <f t="shared" si="226"/>
        <v>68992</v>
      </c>
      <c r="U506" s="294"/>
      <c r="V506" s="294"/>
      <c r="W506" s="294"/>
      <c r="X506" s="294"/>
      <c r="Y506" s="294"/>
      <c r="Z506" s="318"/>
      <c r="AA506" s="294"/>
      <c r="AB506" s="294"/>
      <c r="AC506" s="294"/>
      <c r="AD506" s="294"/>
      <c r="AE506" s="512"/>
      <c r="AF506" s="512"/>
      <c r="AG506" s="514">
        <f t="shared" si="227"/>
        <v>0</v>
      </c>
      <c r="AH506" s="514">
        <v>0</v>
      </c>
      <c r="AI506" s="514">
        <f t="shared" si="228"/>
        <v>0</v>
      </c>
      <c r="AJ506" s="514">
        <v>0</v>
      </c>
      <c r="AK506" s="514">
        <f t="shared" si="229"/>
        <v>0</v>
      </c>
      <c r="AL506" s="514">
        <v>0</v>
      </c>
      <c r="AM506" s="515"/>
      <c r="AN506" s="299"/>
      <c r="AO506" s="296"/>
      <c r="AP506" s="274"/>
      <c r="AQ506" s="275"/>
      <c r="AR506" s="275"/>
      <c r="AS506" s="280"/>
    </row>
    <row r="507" spans="2:45" x14ac:dyDescent="0.3">
      <c r="B507" s="287">
        <f t="shared" si="224"/>
        <v>59</v>
      </c>
      <c r="C507" s="288" t="s">
        <v>174</v>
      </c>
      <c r="D507" s="288" t="str">
        <f t="shared" si="225"/>
        <v>Jan-26</v>
      </c>
      <c r="E507" s="272" t="s">
        <v>472</v>
      </c>
      <c r="F507" s="292">
        <v>46044</v>
      </c>
      <c r="G507" s="288" t="s">
        <v>329</v>
      </c>
      <c r="H507" s="288" t="s">
        <v>2325</v>
      </c>
      <c r="I507" s="288" t="s">
        <v>2326</v>
      </c>
      <c r="J507" s="384" t="s">
        <v>2734</v>
      </c>
      <c r="K507" s="292">
        <v>46018</v>
      </c>
      <c r="L507" s="272" t="s">
        <v>2735</v>
      </c>
      <c r="M507" s="292">
        <v>46044</v>
      </c>
      <c r="N507" s="272" t="s">
        <v>255</v>
      </c>
      <c r="O507" s="293">
        <v>0</v>
      </c>
      <c r="P507" s="298" t="s">
        <v>1357</v>
      </c>
      <c r="Q507" s="272" t="s">
        <v>2329</v>
      </c>
      <c r="R507" s="391">
        <v>22920</v>
      </c>
      <c r="S507" s="293">
        <v>2.2000000000000002</v>
      </c>
      <c r="T507" s="294">
        <f t="shared" si="226"/>
        <v>50424.000000000007</v>
      </c>
      <c r="U507" s="294"/>
      <c r="V507" s="294"/>
      <c r="W507" s="294"/>
      <c r="X507" s="294"/>
      <c r="Y507" s="294"/>
      <c r="Z507" s="318"/>
      <c r="AA507" s="294"/>
      <c r="AB507" s="294"/>
      <c r="AC507" s="294"/>
      <c r="AD507" s="294"/>
      <c r="AE507" s="512"/>
      <c r="AF507" s="512"/>
      <c r="AG507" s="514">
        <f t="shared" si="227"/>
        <v>0</v>
      </c>
      <c r="AH507" s="514">
        <v>0</v>
      </c>
      <c r="AI507" s="514">
        <f t="shared" si="228"/>
        <v>0</v>
      </c>
      <c r="AJ507" s="514">
        <v>0</v>
      </c>
      <c r="AK507" s="514">
        <f t="shared" si="229"/>
        <v>0</v>
      </c>
      <c r="AL507" s="514">
        <v>0</v>
      </c>
      <c r="AM507" s="515"/>
      <c r="AN507" s="299"/>
      <c r="AO507" s="296"/>
      <c r="AP507" s="274"/>
      <c r="AQ507" s="275"/>
      <c r="AR507" s="275"/>
      <c r="AS507" s="280"/>
    </row>
    <row r="508" spans="2:45" x14ac:dyDescent="0.3">
      <c r="B508" s="287">
        <f t="shared" si="224"/>
        <v>60</v>
      </c>
      <c r="C508" s="288" t="s">
        <v>174</v>
      </c>
      <c r="D508" s="288" t="str">
        <f t="shared" si="225"/>
        <v>Jan-26</v>
      </c>
      <c r="E508" s="272" t="s">
        <v>472</v>
      </c>
      <c r="F508" s="292">
        <v>46045</v>
      </c>
      <c r="G508" s="288" t="s">
        <v>329</v>
      </c>
      <c r="H508" s="288" t="s">
        <v>395</v>
      </c>
      <c r="I508" s="288" t="s">
        <v>329</v>
      </c>
      <c r="J508" s="384" t="s">
        <v>1434</v>
      </c>
      <c r="K508" s="292">
        <v>46036</v>
      </c>
      <c r="L508" s="272" t="s">
        <v>2736</v>
      </c>
      <c r="M508" s="292">
        <v>46045</v>
      </c>
      <c r="N508" s="272" t="s">
        <v>255</v>
      </c>
      <c r="O508" s="293">
        <v>0</v>
      </c>
      <c r="P508" s="298" t="s">
        <v>1357</v>
      </c>
      <c r="Q508" s="272" t="s">
        <v>329</v>
      </c>
      <c r="R508" s="391">
        <v>1</v>
      </c>
      <c r="S508" s="293">
        <v>44700</v>
      </c>
      <c r="T508" s="294">
        <f t="shared" si="226"/>
        <v>44700</v>
      </c>
      <c r="U508" s="294"/>
      <c r="V508" s="294"/>
      <c r="W508" s="294"/>
      <c r="X508" s="294"/>
      <c r="Y508" s="294"/>
      <c r="Z508" s="318"/>
      <c r="AA508" s="294"/>
      <c r="AB508" s="294"/>
      <c r="AC508" s="294"/>
      <c r="AD508" s="294"/>
      <c r="AE508" s="512"/>
      <c r="AF508" s="512"/>
      <c r="AG508" s="514">
        <f t="shared" si="227"/>
        <v>0</v>
      </c>
      <c r="AH508" s="514">
        <v>0</v>
      </c>
      <c r="AI508" s="514">
        <f t="shared" si="228"/>
        <v>0</v>
      </c>
      <c r="AJ508" s="514">
        <v>0</v>
      </c>
      <c r="AK508" s="514">
        <f t="shared" si="229"/>
        <v>0</v>
      </c>
      <c r="AL508" s="514">
        <v>0</v>
      </c>
      <c r="AM508" s="515"/>
      <c r="AN508" s="299"/>
      <c r="AO508" s="296"/>
      <c r="AP508" s="274"/>
      <c r="AQ508" s="275"/>
      <c r="AR508" s="275"/>
      <c r="AS508" s="280"/>
    </row>
    <row r="509" spans="2:45" x14ac:dyDescent="0.3">
      <c r="B509" s="287">
        <f t="shared" si="224"/>
        <v>61</v>
      </c>
      <c r="C509" s="288" t="s">
        <v>174</v>
      </c>
      <c r="D509" s="288" t="str">
        <f t="shared" si="225"/>
        <v>Feb-26</v>
      </c>
      <c r="E509" s="272" t="s">
        <v>472</v>
      </c>
      <c r="F509" s="292">
        <v>46065</v>
      </c>
      <c r="G509" s="288" t="s">
        <v>329</v>
      </c>
      <c r="H509" s="288" t="s">
        <v>196</v>
      </c>
      <c r="I509" s="288" t="s">
        <v>2680</v>
      </c>
      <c r="J509" s="384" t="s">
        <v>2807</v>
      </c>
      <c r="K509" s="292">
        <v>46059</v>
      </c>
      <c r="L509" s="272" t="s">
        <v>2808</v>
      </c>
      <c r="M509" s="292">
        <v>46065</v>
      </c>
      <c r="N509" s="272" t="s">
        <v>255</v>
      </c>
      <c r="O509" s="293">
        <v>0</v>
      </c>
      <c r="P509" s="298" t="s">
        <v>1357</v>
      </c>
      <c r="Q509" s="272" t="s">
        <v>2175</v>
      </c>
      <c r="R509" s="391">
        <v>8</v>
      </c>
      <c r="S509" s="293">
        <v>650</v>
      </c>
      <c r="T509" s="294">
        <f t="shared" si="226"/>
        <v>5200</v>
      </c>
      <c r="U509" s="294"/>
      <c r="V509" s="294"/>
      <c r="W509" s="294"/>
      <c r="X509" s="294"/>
      <c r="Y509" s="294"/>
      <c r="Z509" s="318"/>
      <c r="AA509" s="294"/>
      <c r="AB509" s="294"/>
      <c r="AC509" s="294"/>
      <c r="AD509" s="294"/>
      <c r="AE509" s="512"/>
      <c r="AF509" s="512"/>
      <c r="AG509" s="514">
        <f t="shared" si="227"/>
        <v>0</v>
      </c>
      <c r="AH509" s="514">
        <v>0</v>
      </c>
      <c r="AI509" s="514">
        <f t="shared" si="228"/>
        <v>0</v>
      </c>
      <c r="AJ509" s="514">
        <v>0</v>
      </c>
      <c r="AK509" s="514">
        <f t="shared" si="229"/>
        <v>0</v>
      </c>
      <c r="AL509" s="514">
        <v>0</v>
      </c>
      <c r="AM509" s="515"/>
      <c r="AN509" s="299"/>
      <c r="AO509" s="296"/>
      <c r="AP509" s="274"/>
      <c r="AQ509" s="275"/>
      <c r="AR509" s="275"/>
      <c r="AS509" s="280"/>
    </row>
    <row r="510" spans="2:45" x14ac:dyDescent="0.3">
      <c r="B510" s="287">
        <f t="shared" si="224"/>
        <v>62</v>
      </c>
      <c r="C510" s="288" t="s">
        <v>174</v>
      </c>
      <c r="D510" s="288" t="str">
        <f t="shared" si="225"/>
        <v>Feb-26</v>
      </c>
      <c r="E510" s="272" t="s">
        <v>472</v>
      </c>
      <c r="F510" s="292">
        <v>46077</v>
      </c>
      <c r="G510" s="288"/>
      <c r="H510" s="288" t="s">
        <v>462</v>
      </c>
      <c r="I510" s="288" t="s">
        <v>1428</v>
      </c>
      <c r="J510" s="384" t="s">
        <v>2860</v>
      </c>
      <c r="K510" s="292">
        <v>46053</v>
      </c>
      <c r="L510" s="272" t="s">
        <v>2861</v>
      </c>
      <c r="M510" s="292">
        <v>46077</v>
      </c>
      <c r="N510" s="272" t="s">
        <v>255</v>
      </c>
      <c r="O510" s="293">
        <v>0</v>
      </c>
      <c r="P510" s="298" t="s">
        <v>1357</v>
      </c>
      <c r="Q510" s="272" t="s">
        <v>1430</v>
      </c>
      <c r="R510" s="288">
        <v>69</v>
      </c>
      <c r="S510" s="293">
        <v>245</v>
      </c>
      <c r="T510" s="294">
        <f t="shared" si="226"/>
        <v>16905</v>
      </c>
      <c r="U510" s="294"/>
      <c r="V510" s="294"/>
      <c r="W510" s="294"/>
      <c r="X510" s="294"/>
      <c r="Y510" s="294"/>
      <c r="Z510" s="318"/>
      <c r="AA510" s="294"/>
      <c r="AB510" s="294"/>
      <c r="AC510" s="294"/>
      <c r="AD510" s="294"/>
      <c r="AE510" s="512"/>
      <c r="AF510" s="512"/>
      <c r="AG510" s="514">
        <f t="shared" si="227"/>
        <v>0</v>
      </c>
      <c r="AH510" s="514">
        <v>0</v>
      </c>
      <c r="AI510" s="514">
        <f t="shared" si="228"/>
        <v>0</v>
      </c>
      <c r="AJ510" s="514">
        <v>0</v>
      </c>
      <c r="AK510" s="514">
        <f t="shared" si="229"/>
        <v>0</v>
      </c>
      <c r="AL510" s="514">
        <v>0</v>
      </c>
      <c r="AM510" s="515"/>
      <c r="AN510" s="299"/>
      <c r="AO510" s="296"/>
      <c r="AP510" s="274"/>
      <c r="AQ510" s="275"/>
      <c r="AR510" s="275"/>
      <c r="AS510" s="280"/>
    </row>
    <row r="511" spans="2:45" x14ac:dyDescent="0.3">
      <c r="B511" s="287">
        <f t="shared" si="224"/>
        <v>63</v>
      </c>
      <c r="C511" s="288" t="s">
        <v>174</v>
      </c>
      <c r="D511" s="288" t="str">
        <f t="shared" si="225"/>
        <v>Feb-26</v>
      </c>
      <c r="E511" s="272" t="s">
        <v>472</v>
      </c>
      <c r="F511" s="292">
        <v>46077</v>
      </c>
      <c r="G511" s="288"/>
      <c r="H511" s="288" t="s">
        <v>462</v>
      </c>
      <c r="I511" s="288" t="s">
        <v>1428</v>
      </c>
      <c r="J511" s="384" t="s">
        <v>2860</v>
      </c>
      <c r="K511" s="292">
        <v>46053</v>
      </c>
      <c r="L511" s="272" t="s">
        <v>2861</v>
      </c>
      <c r="M511" s="292">
        <v>46077</v>
      </c>
      <c r="N511" s="272" t="s">
        <v>255</v>
      </c>
      <c r="O511" s="293">
        <v>0</v>
      </c>
      <c r="P511" s="298" t="s">
        <v>1357</v>
      </c>
      <c r="Q511" s="272" t="s">
        <v>1666</v>
      </c>
      <c r="R511" s="288">
        <v>5</v>
      </c>
      <c r="S511" s="293">
        <v>1850</v>
      </c>
      <c r="T511" s="294">
        <f t="shared" si="226"/>
        <v>9250</v>
      </c>
      <c r="U511" s="294"/>
      <c r="V511" s="294"/>
      <c r="W511" s="294"/>
      <c r="X511" s="294"/>
      <c r="Y511" s="294"/>
      <c r="Z511" s="318"/>
      <c r="AA511" s="294"/>
      <c r="AB511" s="294"/>
      <c r="AC511" s="294"/>
      <c r="AD511" s="294"/>
      <c r="AE511" s="512"/>
      <c r="AF511" s="512"/>
      <c r="AG511" s="514">
        <f t="shared" si="227"/>
        <v>0</v>
      </c>
      <c r="AH511" s="514">
        <v>0</v>
      </c>
      <c r="AI511" s="514">
        <f t="shared" si="228"/>
        <v>0</v>
      </c>
      <c r="AJ511" s="514">
        <v>0</v>
      </c>
      <c r="AK511" s="514">
        <f t="shared" si="229"/>
        <v>0</v>
      </c>
      <c r="AL511" s="514">
        <v>0</v>
      </c>
      <c r="AM511" s="515"/>
      <c r="AN511" s="299"/>
      <c r="AO511" s="296"/>
      <c r="AP511" s="274"/>
      <c r="AQ511" s="275"/>
      <c r="AR511" s="275"/>
      <c r="AS511" s="280"/>
    </row>
    <row r="512" spans="2:45" x14ac:dyDescent="0.3">
      <c r="B512" s="287">
        <f t="shared" si="224"/>
        <v>64</v>
      </c>
      <c r="C512" s="288" t="s">
        <v>174</v>
      </c>
      <c r="D512" s="288" t="str">
        <f t="shared" si="225"/>
        <v>Feb-26</v>
      </c>
      <c r="E512" s="272" t="s">
        <v>472</v>
      </c>
      <c r="F512" s="292">
        <v>46078</v>
      </c>
      <c r="G512" s="288"/>
      <c r="H512" s="288" t="s">
        <v>2332</v>
      </c>
      <c r="I512" s="288" t="s">
        <v>329</v>
      </c>
      <c r="J512" s="384" t="s">
        <v>2862</v>
      </c>
      <c r="K512" s="292">
        <v>46078</v>
      </c>
      <c r="L512" s="272" t="s">
        <v>2863</v>
      </c>
      <c r="M512" s="292">
        <v>46078</v>
      </c>
      <c r="N512" s="272" t="s">
        <v>255</v>
      </c>
      <c r="O512" s="293">
        <v>0</v>
      </c>
      <c r="P512" s="298" t="s">
        <v>1357</v>
      </c>
      <c r="Q512" s="272" t="s">
        <v>329</v>
      </c>
      <c r="R512" s="288">
        <v>1</v>
      </c>
      <c r="S512" s="293">
        <v>200000</v>
      </c>
      <c r="T512" s="294">
        <f t="shared" si="226"/>
        <v>200000</v>
      </c>
      <c r="U512" s="294"/>
      <c r="V512" s="294"/>
      <c r="W512" s="294"/>
      <c r="X512" s="294"/>
      <c r="Y512" s="294"/>
      <c r="Z512" s="318"/>
      <c r="AA512" s="294"/>
      <c r="AB512" s="294"/>
      <c r="AC512" s="294"/>
      <c r="AD512" s="294"/>
      <c r="AE512" s="512"/>
      <c r="AF512" s="512"/>
      <c r="AG512" s="514">
        <f t="shared" si="227"/>
        <v>0</v>
      </c>
      <c r="AH512" s="514">
        <v>0</v>
      </c>
      <c r="AI512" s="514">
        <f t="shared" si="228"/>
        <v>0</v>
      </c>
      <c r="AJ512" s="514">
        <v>0</v>
      </c>
      <c r="AK512" s="514">
        <f t="shared" si="229"/>
        <v>0</v>
      </c>
      <c r="AL512" s="514">
        <v>0</v>
      </c>
      <c r="AM512" s="515"/>
      <c r="AN512" s="299"/>
      <c r="AO512" s="296"/>
      <c r="AP512" s="274"/>
      <c r="AQ512" s="275"/>
      <c r="AR512" s="275"/>
      <c r="AS512" s="280"/>
    </row>
    <row r="513" spans="2:45" x14ac:dyDescent="0.3">
      <c r="B513" s="287">
        <f t="shared" si="224"/>
        <v>65</v>
      </c>
      <c r="C513" s="288" t="s">
        <v>174</v>
      </c>
      <c r="D513" s="288" t="str">
        <f t="shared" si="225"/>
        <v>Mar-26</v>
      </c>
      <c r="E513" s="272" t="s">
        <v>472</v>
      </c>
      <c r="F513" s="292">
        <v>46090</v>
      </c>
      <c r="G513" s="288" t="s">
        <v>329</v>
      </c>
      <c r="H513" s="288" t="s">
        <v>395</v>
      </c>
      <c r="I513" s="288" t="s">
        <v>329</v>
      </c>
      <c r="J513" s="384" t="s">
        <v>345</v>
      </c>
      <c r="K513" s="292">
        <v>46090</v>
      </c>
      <c r="L513" s="272" t="s">
        <v>2923</v>
      </c>
      <c r="M513" s="292">
        <v>46090</v>
      </c>
      <c r="N513" s="272" t="s">
        <v>255</v>
      </c>
      <c r="O513" s="293">
        <v>0</v>
      </c>
      <c r="P513" s="298" t="s">
        <v>1357</v>
      </c>
      <c r="Q513" s="272" t="s">
        <v>329</v>
      </c>
      <c r="R513" s="288">
        <v>1</v>
      </c>
      <c r="S513" s="272">
        <v>8400</v>
      </c>
      <c r="T513" s="294">
        <f t="shared" si="226"/>
        <v>8400</v>
      </c>
      <c r="U513" s="294"/>
      <c r="V513" s="294" t="s">
        <v>313</v>
      </c>
      <c r="W513" s="495">
        <v>46082</v>
      </c>
      <c r="X513" s="294">
        <v>0</v>
      </c>
      <c r="Y513" s="294" t="s">
        <v>2978</v>
      </c>
      <c r="Z513" s="318">
        <v>46102</v>
      </c>
      <c r="AA513" s="294" t="s">
        <v>2979</v>
      </c>
      <c r="AB513" s="294" t="s">
        <v>250</v>
      </c>
      <c r="AC513" s="294"/>
      <c r="AD513" s="294" t="s">
        <v>2175</v>
      </c>
      <c r="AE513" s="512">
        <v>1</v>
      </c>
      <c r="AF513" s="512">
        <v>64379</v>
      </c>
      <c r="AG513" s="514">
        <f t="shared" si="227"/>
        <v>64379</v>
      </c>
      <c r="AH513" s="514">
        <v>0</v>
      </c>
      <c r="AI513" s="514">
        <f t="shared" si="228"/>
        <v>64379</v>
      </c>
      <c r="AJ513" s="514">
        <v>0</v>
      </c>
      <c r="AK513" s="514">
        <f t="shared" si="229"/>
        <v>1</v>
      </c>
      <c r="AL513" s="514">
        <v>0</v>
      </c>
      <c r="AM513" s="515"/>
      <c r="AN513" s="299"/>
      <c r="AO513" s="296"/>
      <c r="AP513" s="274"/>
      <c r="AQ513" s="275"/>
      <c r="AR513" s="275"/>
      <c r="AS513" s="280"/>
    </row>
    <row r="514" spans="2:45" x14ac:dyDescent="0.3">
      <c r="B514" s="287">
        <f t="shared" si="224"/>
        <v>66</v>
      </c>
      <c r="C514" s="288" t="s">
        <v>174</v>
      </c>
      <c r="D514" s="288" t="str">
        <f t="shared" si="225"/>
        <v>Mar-26</v>
      </c>
      <c r="E514" s="272" t="s">
        <v>472</v>
      </c>
      <c r="F514" s="292">
        <v>46107</v>
      </c>
      <c r="G514" s="288" t="s">
        <v>3012</v>
      </c>
      <c r="H514" s="288" t="s">
        <v>253</v>
      </c>
      <c r="I514" s="288" t="s">
        <v>298</v>
      </c>
      <c r="J514" s="384" t="s">
        <v>3012</v>
      </c>
      <c r="K514" s="292">
        <v>45999</v>
      </c>
      <c r="L514" s="272" t="s">
        <v>3013</v>
      </c>
      <c r="M514" s="292">
        <v>46107</v>
      </c>
      <c r="N514" s="272" t="s">
        <v>255</v>
      </c>
      <c r="O514" s="293">
        <v>0</v>
      </c>
      <c r="P514" s="298" t="s">
        <v>1357</v>
      </c>
      <c r="Q514" s="272" t="s">
        <v>2165</v>
      </c>
      <c r="R514" s="272">
        <v>1</v>
      </c>
      <c r="S514" s="288">
        <v>12654.45</v>
      </c>
      <c r="T514" s="294">
        <f t="shared" si="226"/>
        <v>12654.45</v>
      </c>
      <c r="U514" s="294"/>
      <c r="V514" s="294" t="s">
        <v>313</v>
      </c>
      <c r="W514" s="495">
        <v>46082</v>
      </c>
      <c r="X514" s="294">
        <v>0</v>
      </c>
      <c r="Y514" s="294" t="s">
        <v>3012</v>
      </c>
      <c r="Z514" s="318">
        <v>46107</v>
      </c>
      <c r="AA514" s="294" t="s">
        <v>3018</v>
      </c>
      <c r="AB514" s="294" t="s">
        <v>250</v>
      </c>
      <c r="AC514" s="294"/>
      <c r="AD514" s="294" t="s">
        <v>2165</v>
      </c>
      <c r="AE514" s="512">
        <v>1</v>
      </c>
      <c r="AF514" s="512">
        <v>12654.45</v>
      </c>
      <c r="AG514" s="514">
        <f t="shared" si="227"/>
        <v>12654.45</v>
      </c>
      <c r="AH514" s="514">
        <v>0</v>
      </c>
      <c r="AI514" s="514">
        <f t="shared" si="228"/>
        <v>12654.45</v>
      </c>
      <c r="AJ514" s="514">
        <v>0</v>
      </c>
      <c r="AK514" s="514">
        <f t="shared" si="229"/>
        <v>1</v>
      </c>
      <c r="AL514" s="514">
        <v>0</v>
      </c>
      <c r="AM514" s="515"/>
      <c r="AN514" s="299"/>
      <c r="AO514" s="296"/>
      <c r="AP514" s="274"/>
      <c r="AQ514" s="275"/>
      <c r="AR514" s="275"/>
      <c r="AS514" s="280"/>
    </row>
    <row r="515" spans="2:45" x14ac:dyDescent="0.3">
      <c r="B515" s="287">
        <f t="shared" si="224"/>
        <v>67</v>
      </c>
      <c r="C515" s="288" t="s">
        <v>174</v>
      </c>
      <c r="D515" s="288" t="str">
        <f t="shared" si="225"/>
        <v>Mar-26</v>
      </c>
      <c r="E515" s="272" t="s">
        <v>472</v>
      </c>
      <c r="F515" s="292">
        <v>46107</v>
      </c>
      <c r="G515" s="288" t="s">
        <v>3014</v>
      </c>
      <c r="H515" s="288" t="s">
        <v>253</v>
      </c>
      <c r="I515" s="288" t="s">
        <v>254</v>
      </c>
      <c r="J515" s="384" t="s">
        <v>3014</v>
      </c>
      <c r="K515" s="292">
        <v>45764</v>
      </c>
      <c r="L515" s="272" t="s">
        <v>3015</v>
      </c>
      <c r="M515" s="292">
        <v>46107</v>
      </c>
      <c r="N515" s="272" t="s">
        <v>255</v>
      </c>
      <c r="O515" s="293">
        <v>0</v>
      </c>
      <c r="P515" s="298" t="s">
        <v>1357</v>
      </c>
      <c r="Q515" s="272" t="s">
        <v>2165</v>
      </c>
      <c r="R515" s="272">
        <v>1</v>
      </c>
      <c r="S515" s="288">
        <v>5000</v>
      </c>
      <c r="T515" s="294">
        <f t="shared" si="226"/>
        <v>5000</v>
      </c>
      <c r="U515" s="294"/>
      <c r="V515" s="294" t="s">
        <v>313</v>
      </c>
      <c r="W515" s="495">
        <v>46082</v>
      </c>
      <c r="X515" s="294">
        <v>0</v>
      </c>
      <c r="Y515" s="294" t="s">
        <v>3014</v>
      </c>
      <c r="Z515" s="318">
        <v>46107</v>
      </c>
      <c r="AA515" s="294" t="s">
        <v>3020</v>
      </c>
      <c r="AB515" s="294" t="s">
        <v>250</v>
      </c>
      <c r="AC515" s="294"/>
      <c r="AD515" s="294" t="s">
        <v>2165</v>
      </c>
      <c r="AE515" s="512">
        <v>1</v>
      </c>
      <c r="AF515" s="512">
        <v>5000</v>
      </c>
      <c r="AG515" s="514">
        <f t="shared" si="227"/>
        <v>5000</v>
      </c>
      <c r="AH515" s="514">
        <v>0</v>
      </c>
      <c r="AI515" s="514">
        <f t="shared" si="228"/>
        <v>5000</v>
      </c>
      <c r="AJ515" s="514">
        <v>0</v>
      </c>
      <c r="AK515" s="514">
        <f t="shared" si="229"/>
        <v>1</v>
      </c>
      <c r="AL515" s="514">
        <v>0</v>
      </c>
      <c r="AM515" s="515"/>
      <c r="AN515" s="299"/>
      <c r="AO515" s="296"/>
      <c r="AP515" s="274"/>
      <c r="AQ515" s="275"/>
      <c r="AR515" s="275"/>
      <c r="AS515" s="280"/>
    </row>
    <row r="516" spans="2:45" x14ac:dyDescent="0.3">
      <c r="B516" s="287">
        <f t="shared" si="224"/>
        <v>68</v>
      </c>
      <c r="C516" s="288" t="s">
        <v>3085</v>
      </c>
      <c r="D516" s="288" t="str">
        <f t="shared" ref="D516:D518" si="230">TEXT(F516,"mmm-yy")</f>
        <v>Apr-26</v>
      </c>
      <c r="E516" s="272" t="s">
        <v>472</v>
      </c>
      <c r="F516" s="292">
        <v>46119</v>
      </c>
      <c r="G516" s="288" t="s">
        <v>329</v>
      </c>
      <c r="H516" s="288" t="s">
        <v>2325</v>
      </c>
      <c r="I516" s="288" t="s">
        <v>2326</v>
      </c>
      <c r="J516" s="384" t="s">
        <v>3285</v>
      </c>
      <c r="K516" s="292">
        <v>46049</v>
      </c>
      <c r="L516" s="272" t="s">
        <v>3286</v>
      </c>
      <c r="M516" s="292">
        <v>46119</v>
      </c>
      <c r="N516" s="272" t="s">
        <v>255</v>
      </c>
      <c r="O516" s="293">
        <v>0</v>
      </c>
      <c r="P516" s="298" t="s">
        <v>1357</v>
      </c>
      <c r="Q516" s="272" t="s">
        <v>2329</v>
      </c>
      <c r="R516" s="272">
        <v>24470</v>
      </c>
      <c r="S516" s="288">
        <v>2.2000000000000002</v>
      </c>
      <c r="T516" s="294">
        <f t="shared" ref="T516:T521" si="231">R516*S516</f>
        <v>53834.000000000007</v>
      </c>
      <c r="U516" s="294"/>
      <c r="V516" s="294"/>
      <c r="W516" s="495"/>
      <c r="X516" s="294"/>
      <c r="Y516" s="294"/>
      <c r="Z516" s="318"/>
      <c r="AA516" s="294"/>
      <c r="AB516" s="294"/>
      <c r="AC516" s="294"/>
      <c r="AD516" s="294"/>
      <c r="AE516" s="512"/>
      <c r="AF516" s="512"/>
      <c r="AG516" s="514"/>
      <c r="AH516" s="514"/>
      <c r="AI516" s="514"/>
      <c r="AJ516" s="514"/>
      <c r="AK516" s="514"/>
      <c r="AL516" s="514"/>
      <c r="AM516" s="515"/>
      <c r="AN516" s="299"/>
      <c r="AO516" s="296"/>
      <c r="AP516" s="274"/>
      <c r="AQ516" s="275"/>
      <c r="AR516" s="275"/>
      <c r="AS516" s="280"/>
    </row>
    <row r="517" spans="2:45" x14ac:dyDescent="0.3">
      <c r="B517" s="287">
        <f t="shared" si="224"/>
        <v>69</v>
      </c>
      <c r="C517" s="288" t="s">
        <v>3085</v>
      </c>
      <c r="D517" s="288" t="str">
        <f t="shared" si="230"/>
        <v>Apr-26</v>
      </c>
      <c r="E517" s="272" t="s">
        <v>472</v>
      </c>
      <c r="F517" s="292">
        <v>46119</v>
      </c>
      <c r="G517" s="288" t="s">
        <v>329</v>
      </c>
      <c r="H517" s="288" t="s">
        <v>2325</v>
      </c>
      <c r="I517" s="288" t="s">
        <v>2326</v>
      </c>
      <c r="J517" s="384" t="s">
        <v>3285</v>
      </c>
      <c r="K517" s="292">
        <v>46049</v>
      </c>
      <c r="L517" s="272" t="s">
        <v>3286</v>
      </c>
      <c r="M517" s="292">
        <v>46119</v>
      </c>
      <c r="N517" s="272" t="s">
        <v>255</v>
      </c>
      <c r="O517" s="293">
        <v>0</v>
      </c>
      <c r="P517" s="298" t="s">
        <v>1357</v>
      </c>
      <c r="Q517" s="272" t="s">
        <v>2329</v>
      </c>
      <c r="R517" s="272">
        <v>24470</v>
      </c>
      <c r="S517" s="288">
        <v>0.3</v>
      </c>
      <c r="T517" s="294">
        <f t="shared" si="231"/>
        <v>7341</v>
      </c>
      <c r="U517" s="294"/>
      <c r="V517" s="294"/>
      <c r="W517" s="495"/>
      <c r="X517" s="294"/>
      <c r="Y517" s="294"/>
      <c r="Z517" s="318"/>
      <c r="AA517" s="294"/>
      <c r="AB517" s="294"/>
      <c r="AC517" s="294"/>
      <c r="AD517" s="294"/>
      <c r="AE517" s="512"/>
      <c r="AF517" s="512"/>
      <c r="AG517" s="514"/>
      <c r="AH517" s="514"/>
      <c r="AI517" s="514"/>
      <c r="AJ517" s="514"/>
      <c r="AK517" s="514"/>
      <c r="AL517" s="514"/>
      <c r="AM517" s="515"/>
      <c r="AN517" s="299"/>
      <c r="AO517" s="296"/>
      <c r="AP517" s="274"/>
      <c r="AQ517" s="275"/>
      <c r="AR517" s="275"/>
      <c r="AS517" s="280"/>
    </row>
    <row r="518" spans="2:45" x14ac:dyDescent="0.3">
      <c r="B518" s="287">
        <f t="shared" si="224"/>
        <v>70</v>
      </c>
      <c r="C518" s="288" t="s">
        <v>3085</v>
      </c>
      <c r="D518" s="288" t="str">
        <f t="shared" si="230"/>
        <v>Apr-26</v>
      </c>
      <c r="E518" s="272" t="s">
        <v>472</v>
      </c>
      <c r="F518" s="292">
        <v>46122</v>
      </c>
      <c r="G518" s="288" t="s">
        <v>329</v>
      </c>
      <c r="H518" s="288" t="s">
        <v>395</v>
      </c>
      <c r="I518" s="288" t="s">
        <v>329</v>
      </c>
      <c r="J518" s="384" t="s">
        <v>385</v>
      </c>
      <c r="K518" s="292">
        <v>46084</v>
      </c>
      <c r="L518" s="272" t="s">
        <v>3287</v>
      </c>
      <c r="M518" s="292">
        <v>46122</v>
      </c>
      <c r="N518" s="272" t="s">
        <v>255</v>
      </c>
      <c r="O518" s="293">
        <v>0</v>
      </c>
      <c r="P518" s="298" t="s">
        <v>1357</v>
      </c>
      <c r="Q518" s="272" t="s">
        <v>329</v>
      </c>
      <c r="R518" s="272">
        <v>1</v>
      </c>
      <c r="S518" s="288">
        <v>2500</v>
      </c>
      <c r="T518" s="294">
        <f t="shared" si="231"/>
        <v>2500</v>
      </c>
      <c r="U518" s="294"/>
      <c r="V518" s="294"/>
      <c r="W518" s="495"/>
      <c r="X518" s="294"/>
      <c r="Y518" s="294"/>
      <c r="Z518" s="318"/>
      <c r="AA518" s="294"/>
      <c r="AB518" s="294"/>
      <c r="AC518" s="294"/>
      <c r="AD518" s="294"/>
      <c r="AE518" s="512"/>
      <c r="AF518" s="512"/>
      <c r="AG518" s="514"/>
      <c r="AH518" s="514"/>
      <c r="AI518" s="514"/>
      <c r="AJ518" s="514"/>
      <c r="AK518" s="514"/>
      <c r="AL518" s="514"/>
      <c r="AM518" s="515"/>
      <c r="AN518" s="299"/>
      <c r="AO518" s="296"/>
      <c r="AP518" s="274"/>
      <c r="AQ518" s="275"/>
      <c r="AR518" s="275"/>
      <c r="AS518" s="280"/>
    </row>
    <row r="519" spans="2:45" x14ac:dyDescent="0.3">
      <c r="B519" s="287">
        <f t="shared" si="224"/>
        <v>71</v>
      </c>
      <c r="C519" s="272" t="s">
        <v>174</v>
      </c>
      <c r="D519" s="288" t="str">
        <f t="shared" ref="D519" si="232">TEXT(F519,"mmm-yy")</f>
        <v>May-26</v>
      </c>
      <c r="E519" s="288" t="s">
        <v>2679</v>
      </c>
      <c r="F519" s="289">
        <v>46164</v>
      </c>
      <c r="G519" s="290" t="s">
        <v>2437</v>
      </c>
      <c r="H519" s="291" t="s">
        <v>3698</v>
      </c>
      <c r="I519" s="296" t="s">
        <v>2954</v>
      </c>
      <c r="J519" s="387" t="s">
        <v>3699</v>
      </c>
      <c r="K519" s="289">
        <v>46104</v>
      </c>
      <c r="L519" s="291" t="s">
        <v>3700</v>
      </c>
      <c r="M519" s="289">
        <v>46164</v>
      </c>
      <c r="N519" s="291" t="s">
        <v>3701</v>
      </c>
      <c r="O519" s="296" t="s">
        <v>3702</v>
      </c>
      <c r="P519" s="295"/>
      <c r="Q519" s="555" t="s">
        <v>2168</v>
      </c>
      <c r="R519" s="458">
        <v>1</v>
      </c>
      <c r="S519" s="404">
        <v>104488.08</v>
      </c>
      <c r="T519" s="459">
        <f t="shared" si="231"/>
        <v>104488.08</v>
      </c>
      <c r="U519" s="294"/>
      <c r="V519" s="294"/>
      <c r="W519" s="495"/>
      <c r="X519" s="294"/>
      <c r="Y519" s="294"/>
      <c r="Z519" s="318"/>
      <c r="AA519" s="294"/>
      <c r="AB519" s="294"/>
      <c r="AC519" s="294"/>
      <c r="AD519" s="294"/>
      <c r="AE519" s="512"/>
      <c r="AF519" s="512"/>
      <c r="AG519" s="514"/>
      <c r="AH519" s="514"/>
      <c r="AI519" s="514"/>
      <c r="AJ519" s="514"/>
      <c r="AK519" s="514"/>
      <c r="AL519" s="514"/>
      <c r="AM519" s="515"/>
      <c r="AN519" s="299"/>
      <c r="AO519" s="296"/>
      <c r="AP519" s="274"/>
      <c r="AQ519" s="275"/>
      <c r="AR519" s="275"/>
      <c r="AS519" s="280"/>
    </row>
    <row r="520" spans="2:45" x14ac:dyDescent="0.3">
      <c r="B520" s="287">
        <f t="shared" si="224"/>
        <v>72</v>
      </c>
      <c r="C520" s="272" t="s">
        <v>174</v>
      </c>
      <c r="D520" s="288" t="str">
        <f t="shared" ref="D520" si="233">TEXT(F520,"mmm-yy")</f>
        <v>Jun-26</v>
      </c>
      <c r="E520" s="272" t="s">
        <v>472</v>
      </c>
      <c r="F520" s="289">
        <v>46185</v>
      </c>
      <c r="G520" s="290" t="s">
        <v>3974</v>
      </c>
      <c r="H520" s="291" t="s">
        <v>196</v>
      </c>
      <c r="I520" s="296" t="s">
        <v>2680</v>
      </c>
      <c r="J520" s="387" t="s">
        <v>3975</v>
      </c>
      <c r="K520" s="289">
        <v>46183</v>
      </c>
      <c r="L520" s="291" t="s">
        <v>3976</v>
      </c>
      <c r="M520" s="289">
        <v>46185</v>
      </c>
      <c r="N520" s="291" t="s">
        <v>255</v>
      </c>
      <c r="O520" s="296" t="s">
        <v>329</v>
      </c>
      <c r="P520" s="295" t="s">
        <v>1357</v>
      </c>
      <c r="Q520" s="295" t="s">
        <v>2165</v>
      </c>
      <c r="R520" s="458">
        <v>1</v>
      </c>
      <c r="S520" s="404">
        <v>121400</v>
      </c>
      <c r="T520" s="459">
        <f t="shared" si="231"/>
        <v>121400</v>
      </c>
      <c r="U520" s="294"/>
      <c r="V520" s="294"/>
      <c r="W520" s="495"/>
      <c r="X520" s="294"/>
      <c r="Y520" s="294"/>
      <c r="Z520" s="318"/>
      <c r="AA520" s="294"/>
      <c r="AB520" s="294"/>
      <c r="AC520" s="294"/>
      <c r="AD520" s="294"/>
      <c r="AE520" s="512"/>
      <c r="AF520" s="512"/>
      <c r="AG520" s="514"/>
      <c r="AH520" s="514"/>
      <c r="AI520" s="514"/>
      <c r="AJ520" s="514"/>
      <c r="AK520" s="514"/>
      <c r="AL520" s="514"/>
      <c r="AM520" s="515"/>
      <c r="AN520" s="299"/>
      <c r="AO520" s="296"/>
      <c r="AP520" s="274"/>
      <c r="AQ520" s="275"/>
      <c r="AR520" s="275"/>
      <c r="AS520" s="280"/>
    </row>
    <row r="521" spans="2:45" x14ac:dyDescent="0.3">
      <c r="B521" s="287">
        <f t="shared" si="224"/>
        <v>73</v>
      </c>
      <c r="C521" s="272" t="s">
        <v>174</v>
      </c>
      <c r="D521" s="288" t="str">
        <f t="shared" ref="D521" si="234">TEXT(F521,"mmm-yy")</f>
        <v>Jun-26</v>
      </c>
      <c r="E521" s="272" t="s">
        <v>472</v>
      </c>
      <c r="F521" s="289">
        <v>46181</v>
      </c>
      <c r="G521" s="290" t="s">
        <v>329</v>
      </c>
      <c r="H521" s="291" t="s">
        <v>240</v>
      </c>
      <c r="I521" s="296" t="s">
        <v>1417</v>
      </c>
      <c r="J521" s="387" t="s">
        <v>1505</v>
      </c>
      <c r="K521" s="289">
        <v>46174</v>
      </c>
      <c r="L521" s="291" t="s">
        <v>3977</v>
      </c>
      <c r="M521" s="289">
        <v>46181</v>
      </c>
      <c r="N521" s="291" t="s">
        <v>255</v>
      </c>
      <c r="O521" s="296"/>
      <c r="P521" s="295" t="s">
        <v>1357</v>
      </c>
      <c r="Q521" s="295" t="s">
        <v>1419</v>
      </c>
      <c r="R521" s="458">
        <v>1</v>
      </c>
      <c r="S521" s="404">
        <v>13300</v>
      </c>
      <c r="T521" s="459">
        <f t="shared" si="231"/>
        <v>13300</v>
      </c>
      <c r="U521" s="294"/>
      <c r="V521" s="294"/>
      <c r="W521" s="495"/>
      <c r="X521" s="294"/>
      <c r="Y521" s="294"/>
      <c r="Z521" s="318"/>
      <c r="AA521" s="294"/>
      <c r="AB521" s="294"/>
      <c r="AC521" s="294"/>
      <c r="AD521" s="294"/>
      <c r="AE521" s="512"/>
      <c r="AF521" s="512"/>
      <c r="AG521" s="514"/>
      <c r="AH521" s="514"/>
      <c r="AI521" s="514"/>
      <c r="AJ521" s="514"/>
      <c r="AK521" s="514"/>
      <c r="AL521" s="514"/>
      <c r="AM521" s="515"/>
      <c r="AN521" s="299"/>
      <c r="AO521" s="296"/>
      <c r="AP521" s="274"/>
      <c r="AQ521" s="275"/>
      <c r="AR521" s="275"/>
      <c r="AS521" s="280"/>
    </row>
    <row r="522" spans="2:45" ht="14.4" thickBot="1" x14ac:dyDescent="0.35">
      <c r="B522" s="287"/>
      <c r="C522" s="301"/>
      <c r="D522" s="301"/>
      <c r="F522" s="302"/>
      <c r="G522" s="301"/>
      <c r="H522" s="301"/>
      <c r="I522" s="301"/>
      <c r="K522" s="302"/>
      <c r="M522" s="302"/>
      <c r="O522" s="301"/>
      <c r="S522" s="303"/>
      <c r="T522" s="397"/>
      <c r="U522" s="397"/>
      <c r="V522" s="397"/>
      <c r="W522" s="397"/>
      <c r="X522" s="397"/>
      <c r="Y522" s="397"/>
      <c r="Z522" s="304"/>
      <c r="AA522" s="397"/>
      <c r="AB522" s="397"/>
      <c r="AC522" s="397"/>
      <c r="AD522" s="397"/>
      <c r="AE522" s="518"/>
      <c r="AF522" s="518"/>
      <c r="AG522" s="514"/>
      <c r="AH522" s="514"/>
      <c r="AI522" s="514"/>
      <c r="AJ522" s="514"/>
      <c r="AK522" s="514"/>
      <c r="AL522" s="514"/>
      <c r="AM522" s="515"/>
      <c r="AN522" s="299"/>
      <c r="AO522" s="296"/>
      <c r="AP522" s="274"/>
      <c r="AQ522" s="275"/>
      <c r="AR522" s="275"/>
      <c r="AS522" s="280"/>
    </row>
    <row r="523" spans="2:45" ht="14.4" thickBot="1" x14ac:dyDescent="0.35">
      <c r="B523" s="379"/>
      <c r="C523" s="380"/>
      <c r="D523" s="380"/>
      <c r="E523" s="380"/>
      <c r="F523" s="381"/>
      <c r="G523" s="380"/>
      <c r="H523" s="380"/>
      <c r="I523" s="380"/>
      <c r="J523" s="389"/>
      <c r="K523" s="381"/>
      <c r="L523" s="380"/>
      <c r="M523" s="381"/>
      <c r="N523" s="380"/>
      <c r="O523" s="380"/>
      <c r="P523" s="380"/>
      <c r="Q523" s="380"/>
      <c r="R523" s="401"/>
      <c r="S523" s="413"/>
      <c r="T523" s="392">
        <f>SUBTOTAL(9,T435:T522)</f>
        <v>6323802.3750000009</v>
      </c>
      <c r="U523" s="381"/>
      <c r="V523" s="380"/>
      <c r="W523" s="380"/>
      <c r="X523" s="381"/>
      <c r="Y523" s="381"/>
      <c r="Z523" s="381"/>
      <c r="AA523" s="380"/>
      <c r="AB523" s="380"/>
      <c r="AC523" s="380"/>
      <c r="AD523" s="380"/>
      <c r="AE523" s="389"/>
      <c r="AF523" s="389"/>
      <c r="AG523" s="389"/>
      <c r="AH523" s="389"/>
      <c r="AI523" s="389"/>
      <c r="AJ523" s="389"/>
      <c r="AK523" s="389"/>
      <c r="AL523" s="389"/>
      <c r="AM523" s="389"/>
      <c r="AN523" s="380"/>
      <c r="AO523" s="380"/>
      <c r="AP523" s="380"/>
      <c r="AQ523" s="380"/>
      <c r="AR523" s="380"/>
      <c r="AS523" s="382"/>
    </row>
    <row r="524" spans="2:45" x14ac:dyDescent="0.3">
      <c r="R524" s="530"/>
      <c r="S524" s="298"/>
      <c r="T524" s="531"/>
    </row>
    <row r="525" spans="2:45" ht="14.4" thickBot="1" x14ac:dyDescent="0.35">
      <c r="T525" s="278">
        <f>SUBTOTAL(9,T527:T753)</f>
        <v>8911745.3050000016</v>
      </c>
    </row>
    <row r="526" spans="2:45" ht="15" thickBot="1" x14ac:dyDescent="0.35">
      <c r="B526" s="281" t="s">
        <v>538</v>
      </c>
      <c r="C526" s="283" t="s">
        <v>539</v>
      </c>
      <c r="D526" s="282" t="s">
        <v>15</v>
      </c>
      <c r="E526" s="282" t="s">
        <v>2688</v>
      </c>
      <c r="F526" s="282" t="s">
        <v>109</v>
      </c>
      <c r="G526" s="282" t="s">
        <v>209</v>
      </c>
      <c r="H526" s="284" t="s">
        <v>112</v>
      </c>
      <c r="I526" s="282" t="s">
        <v>277</v>
      </c>
      <c r="J526" s="386" t="s">
        <v>110</v>
      </c>
      <c r="K526" s="282" t="s">
        <v>278</v>
      </c>
      <c r="L526" s="284" t="s">
        <v>279</v>
      </c>
      <c r="M526" s="282" t="s">
        <v>540</v>
      </c>
      <c r="N526" s="284" t="s">
        <v>541</v>
      </c>
      <c r="O526" s="282" t="s">
        <v>542</v>
      </c>
      <c r="P526" s="285" t="s">
        <v>3004</v>
      </c>
      <c r="Q526" s="285" t="s">
        <v>543</v>
      </c>
      <c r="R526" s="72" t="s">
        <v>533</v>
      </c>
      <c r="S526" s="412" t="s">
        <v>211</v>
      </c>
      <c r="T526" s="72" t="s">
        <v>545</v>
      </c>
      <c r="U526" s="408"/>
      <c r="V526" s="282" t="s">
        <v>539</v>
      </c>
      <c r="W526" s="282" t="s">
        <v>15</v>
      </c>
      <c r="X526" s="286" t="s">
        <v>547</v>
      </c>
      <c r="Y526" s="284" t="s">
        <v>76</v>
      </c>
      <c r="Z526" s="286" t="s">
        <v>546</v>
      </c>
      <c r="AA526" s="282" t="s">
        <v>548</v>
      </c>
      <c r="AB526" s="282" t="s">
        <v>71</v>
      </c>
      <c r="AC526" s="284"/>
      <c r="AD526" s="284" t="s">
        <v>549</v>
      </c>
      <c r="AE526" s="510" t="s">
        <v>78</v>
      </c>
      <c r="AF526" s="511" t="s">
        <v>211</v>
      </c>
      <c r="AG526" s="524" t="s">
        <v>550</v>
      </c>
      <c r="AH526" s="511" t="s">
        <v>116</v>
      </c>
      <c r="AI526" s="511" t="s">
        <v>218</v>
      </c>
      <c r="AJ526" s="511" t="s">
        <v>103</v>
      </c>
      <c r="AK526" s="511" t="s">
        <v>104</v>
      </c>
      <c r="AL526" s="511" t="s">
        <v>1455</v>
      </c>
      <c r="AM526" s="386" t="s">
        <v>182</v>
      </c>
      <c r="AN526" s="282" t="s">
        <v>551</v>
      </c>
      <c r="AO526" s="282" t="s">
        <v>2306</v>
      </c>
      <c r="AP526" s="285" t="s">
        <v>552</v>
      </c>
      <c r="AQ526" s="285" t="s">
        <v>535</v>
      </c>
      <c r="AR526" s="285" t="s">
        <v>553</v>
      </c>
      <c r="AS526" s="285" t="s">
        <v>554</v>
      </c>
    </row>
    <row r="527" spans="2:45" x14ac:dyDescent="0.3">
      <c r="B527" s="287">
        <v>1</v>
      </c>
      <c r="C527" s="288" t="s">
        <v>174</v>
      </c>
      <c r="D527" s="288" t="str">
        <f>TEXT(F527,"mmm-yy")</f>
        <v>May-25</v>
      </c>
      <c r="E527" s="272" t="s">
        <v>472</v>
      </c>
      <c r="F527" s="273">
        <v>45782</v>
      </c>
      <c r="G527" s="272" t="s">
        <v>329</v>
      </c>
      <c r="H527" s="272" t="s">
        <v>330</v>
      </c>
      <c r="J527" s="384" t="s">
        <v>331</v>
      </c>
      <c r="L527" s="272" t="s">
        <v>332</v>
      </c>
      <c r="R527" s="391">
        <v>1</v>
      </c>
      <c r="S527" s="305">
        <v>3000</v>
      </c>
      <c r="T527" s="294">
        <f t="shared" ref="T527:T590" si="235">R527*S527</f>
        <v>3000</v>
      </c>
    </row>
    <row r="528" spans="2:45" x14ac:dyDescent="0.3">
      <c r="B528" s="272">
        <f>B527+1</f>
        <v>2</v>
      </c>
      <c r="C528" s="288" t="s">
        <v>174</v>
      </c>
      <c r="D528" s="288" t="str">
        <f>TEXT(F528,"mmm-yy")</f>
        <v>May-25</v>
      </c>
      <c r="E528" s="272" t="s">
        <v>472</v>
      </c>
      <c r="F528" s="273">
        <v>45782</v>
      </c>
      <c r="G528" s="272" t="s">
        <v>329</v>
      </c>
      <c r="H528" s="272" t="s">
        <v>330</v>
      </c>
      <c r="J528" s="384" t="s">
        <v>331</v>
      </c>
      <c r="L528" s="272" t="s">
        <v>332</v>
      </c>
      <c r="R528" s="391">
        <v>1</v>
      </c>
      <c r="S528" s="305">
        <v>3606</v>
      </c>
      <c r="T528" s="294">
        <f t="shared" si="235"/>
        <v>3606</v>
      </c>
    </row>
    <row r="529" spans="2:20" x14ac:dyDescent="0.3">
      <c r="B529" s="272">
        <f t="shared" ref="B529:B592" si="236">B528+1</f>
        <v>3</v>
      </c>
      <c r="C529" s="288" t="s">
        <v>174</v>
      </c>
      <c r="D529" s="288" t="str">
        <f t="shared" ref="D529:D592" si="237">TEXT(F529,"mmm-yy")</f>
        <v>May-25</v>
      </c>
      <c r="E529" s="272" t="s">
        <v>472</v>
      </c>
      <c r="F529" s="273">
        <v>45782</v>
      </c>
      <c r="G529" s="272" t="s">
        <v>329</v>
      </c>
      <c r="H529" s="272" t="s">
        <v>330</v>
      </c>
      <c r="J529" s="384" t="s">
        <v>331</v>
      </c>
      <c r="L529" s="272" t="s">
        <v>332</v>
      </c>
      <c r="R529" s="391">
        <v>1</v>
      </c>
      <c r="S529" s="305">
        <v>3000</v>
      </c>
      <c r="T529" s="294">
        <f t="shared" si="235"/>
        <v>3000</v>
      </c>
    </row>
    <row r="530" spans="2:20" x14ac:dyDescent="0.3">
      <c r="B530" s="272">
        <f t="shared" si="236"/>
        <v>4</v>
      </c>
      <c r="C530" s="288" t="s">
        <v>174</v>
      </c>
      <c r="D530" s="288" t="str">
        <f t="shared" si="237"/>
        <v>May-25</v>
      </c>
      <c r="E530" s="272" t="s">
        <v>472</v>
      </c>
      <c r="F530" s="273">
        <v>45782</v>
      </c>
      <c r="G530" s="272" t="s">
        <v>329</v>
      </c>
      <c r="H530" s="272" t="s">
        <v>330</v>
      </c>
      <c r="J530" s="384" t="s">
        <v>333</v>
      </c>
      <c r="L530" s="272" t="s">
        <v>334</v>
      </c>
      <c r="R530" s="391">
        <v>1</v>
      </c>
      <c r="S530" s="305">
        <v>3000</v>
      </c>
      <c r="T530" s="294">
        <f t="shared" si="235"/>
        <v>3000</v>
      </c>
    </row>
    <row r="531" spans="2:20" x14ac:dyDescent="0.3">
      <c r="B531" s="272">
        <f t="shared" si="236"/>
        <v>5</v>
      </c>
      <c r="C531" s="288" t="s">
        <v>174</v>
      </c>
      <c r="D531" s="288" t="str">
        <f t="shared" si="237"/>
        <v>May-25</v>
      </c>
      <c r="E531" s="272" t="s">
        <v>472</v>
      </c>
      <c r="F531" s="273">
        <v>45782</v>
      </c>
      <c r="G531" s="272" t="s">
        <v>329</v>
      </c>
      <c r="H531" s="272" t="s">
        <v>330</v>
      </c>
      <c r="J531" s="384" t="s">
        <v>333</v>
      </c>
      <c r="L531" s="272" t="s">
        <v>334</v>
      </c>
      <c r="R531" s="391">
        <v>1</v>
      </c>
      <c r="S531" s="305">
        <v>3000</v>
      </c>
      <c r="T531" s="294">
        <f t="shared" si="235"/>
        <v>3000</v>
      </c>
    </row>
    <row r="532" spans="2:20" x14ac:dyDescent="0.3">
      <c r="B532" s="272">
        <f t="shared" si="236"/>
        <v>6</v>
      </c>
      <c r="C532" s="288" t="s">
        <v>174</v>
      </c>
      <c r="D532" s="288" t="str">
        <f t="shared" si="237"/>
        <v>May-25</v>
      </c>
      <c r="E532" s="272" t="s">
        <v>472</v>
      </c>
      <c r="F532" s="273">
        <v>45782</v>
      </c>
      <c r="G532" s="272" t="s">
        <v>329</v>
      </c>
      <c r="H532" s="272" t="s">
        <v>330</v>
      </c>
      <c r="J532" s="384" t="s">
        <v>333</v>
      </c>
      <c r="L532" s="272" t="s">
        <v>334</v>
      </c>
      <c r="R532" s="391">
        <v>1</v>
      </c>
      <c r="S532" s="305">
        <v>3000</v>
      </c>
      <c r="T532" s="294">
        <f t="shared" si="235"/>
        <v>3000</v>
      </c>
    </row>
    <row r="533" spans="2:20" x14ac:dyDescent="0.3">
      <c r="B533" s="272">
        <f t="shared" si="236"/>
        <v>7</v>
      </c>
      <c r="C533" s="288" t="s">
        <v>174</v>
      </c>
      <c r="D533" s="288" t="str">
        <f t="shared" si="237"/>
        <v>May-25</v>
      </c>
      <c r="E533" s="272" t="s">
        <v>472</v>
      </c>
      <c r="F533" s="273">
        <v>45782</v>
      </c>
      <c r="G533" s="272" t="s">
        <v>329</v>
      </c>
      <c r="H533" s="272" t="s">
        <v>330</v>
      </c>
      <c r="J533" s="384" t="s">
        <v>333</v>
      </c>
      <c r="L533" s="272" t="s">
        <v>334</v>
      </c>
      <c r="R533" s="391">
        <v>1</v>
      </c>
      <c r="S533" s="305">
        <v>3000</v>
      </c>
      <c r="T533" s="294">
        <f t="shared" si="235"/>
        <v>3000</v>
      </c>
    </row>
    <row r="534" spans="2:20" x14ac:dyDescent="0.3">
      <c r="B534" s="272">
        <f t="shared" si="236"/>
        <v>8</v>
      </c>
      <c r="C534" s="288" t="s">
        <v>174</v>
      </c>
      <c r="D534" s="288" t="str">
        <f t="shared" si="237"/>
        <v>May-25</v>
      </c>
      <c r="E534" s="272" t="s">
        <v>472</v>
      </c>
      <c r="F534" s="273">
        <v>45782</v>
      </c>
      <c r="G534" s="272" t="s">
        <v>329</v>
      </c>
      <c r="H534" s="272" t="s">
        <v>330</v>
      </c>
      <c r="J534" s="384" t="s">
        <v>335</v>
      </c>
      <c r="L534" s="272" t="s">
        <v>336</v>
      </c>
      <c r="R534" s="391">
        <v>1</v>
      </c>
      <c r="S534" s="305">
        <v>3500</v>
      </c>
      <c r="T534" s="294">
        <f t="shared" si="235"/>
        <v>3500</v>
      </c>
    </row>
    <row r="535" spans="2:20" x14ac:dyDescent="0.3">
      <c r="B535" s="272">
        <f t="shared" si="236"/>
        <v>9</v>
      </c>
      <c r="C535" s="288" t="s">
        <v>174</v>
      </c>
      <c r="D535" s="288" t="str">
        <f t="shared" si="237"/>
        <v>May-25</v>
      </c>
      <c r="E535" s="272" t="s">
        <v>472</v>
      </c>
      <c r="F535" s="273">
        <v>45782</v>
      </c>
      <c r="G535" s="272" t="s">
        <v>329</v>
      </c>
      <c r="H535" s="272" t="s">
        <v>330</v>
      </c>
      <c r="J535" s="384" t="s">
        <v>337</v>
      </c>
      <c r="L535" s="272" t="s">
        <v>338</v>
      </c>
      <c r="R535" s="391">
        <v>1</v>
      </c>
      <c r="S535" s="305">
        <v>6270</v>
      </c>
      <c r="T535" s="294">
        <f t="shared" si="235"/>
        <v>6270</v>
      </c>
    </row>
    <row r="536" spans="2:20" x14ac:dyDescent="0.3">
      <c r="B536" s="272">
        <f t="shared" si="236"/>
        <v>10</v>
      </c>
      <c r="C536" s="288" t="s">
        <v>174</v>
      </c>
      <c r="D536" s="288" t="str">
        <f t="shared" si="237"/>
        <v>May-25</v>
      </c>
      <c r="E536" s="272" t="s">
        <v>472</v>
      </c>
      <c r="F536" s="273">
        <v>45782</v>
      </c>
      <c r="G536" s="272" t="s">
        <v>329</v>
      </c>
      <c r="H536" s="272" t="s">
        <v>330</v>
      </c>
      <c r="J536" s="384" t="s">
        <v>337</v>
      </c>
      <c r="L536" s="272" t="s">
        <v>338</v>
      </c>
      <c r="R536" s="391">
        <v>1</v>
      </c>
      <c r="S536" s="305">
        <v>4896</v>
      </c>
      <c r="T536" s="294">
        <f t="shared" si="235"/>
        <v>4896</v>
      </c>
    </row>
    <row r="537" spans="2:20" x14ac:dyDescent="0.3">
      <c r="B537" s="272">
        <f t="shared" si="236"/>
        <v>11</v>
      </c>
      <c r="C537" s="288" t="s">
        <v>174</v>
      </c>
      <c r="D537" s="288" t="str">
        <f t="shared" si="237"/>
        <v>May-25</v>
      </c>
      <c r="E537" s="272" t="s">
        <v>472</v>
      </c>
      <c r="F537" s="273">
        <v>45782</v>
      </c>
      <c r="G537" s="272" t="s">
        <v>329</v>
      </c>
      <c r="H537" s="272" t="s">
        <v>330</v>
      </c>
      <c r="J537" s="384" t="s">
        <v>337</v>
      </c>
      <c r="L537" s="272" t="s">
        <v>338</v>
      </c>
      <c r="R537" s="391">
        <v>1</v>
      </c>
      <c r="S537" s="305">
        <v>5412</v>
      </c>
      <c r="T537" s="294">
        <f t="shared" si="235"/>
        <v>5412</v>
      </c>
    </row>
    <row r="538" spans="2:20" x14ac:dyDescent="0.3">
      <c r="B538" s="272">
        <f t="shared" si="236"/>
        <v>12</v>
      </c>
      <c r="C538" s="288" t="s">
        <v>174</v>
      </c>
      <c r="D538" s="288" t="str">
        <f t="shared" si="237"/>
        <v>May-25</v>
      </c>
      <c r="E538" s="272" t="s">
        <v>472</v>
      </c>
      <c r="F538" s="273">
        <v>45782</v>
      </c>
      <c r="G538" s="272" t="s">
        <v>329</v>
      </c>
      <c r="H538" s="272" t="s">
        <v>330</v>
      </c>
      <c r="J538" s="384" t="s">
        <v>339</v>
      </c>
      <c r="L538" s="272" t="s">
        <v>340</v>
      </c>
      <c r="R538" s="391">
        <v>1</v>
      </c>
      <c r="S538" s="305">
        <v>5628</v>
      </c>
      <c r="T538" s="294">
        <f t="shared" si="235"/>
        <v>5628</v>
      </c>
    </row>
    <row r="539" spans="2:20" x14ac:dyDescent="0.3">
      <c r="B539" s="272">
        <f t="shared" si="236"/>
        <v>13</v>
      </c>
      <c r="C539" s="288" t="s">
        <v>174</v>
      </c>
      <c r="D539" s="288" t="str">
        <f t="shared" si="237"/>
        <v>May-25</v>
      </c>
      <c r="E539" s="272" t="s">
        <v>472</v>
      </c>
      <c r="F539" s="273">
        <v>45782</v>
      </c>
      <c r="G539" s="272" t="s">
        <v>329</v>
      </c>
      <c r="H539" s="272" t="s">
        <v>330</v>
      </c>
      <c r="J539" s="384" t="s">
        <v>339</v>
      </c>
      <c r="L539" s="272" t="s">
        <v>340</v>
      </c>
      <c r="R539" s="391">
        <v>1</v>
      </c>
      <c r="S539" s="305">
        <v>5629</v>
      </c>
      <c r="T539" s="294">
        <f t="shared" si="235"/>
        <v>5629</v>
      </c>
    </row>
    <row r="540" spans="2:20" x14ac:dyDescent="0.3">
      <c r="B540" s="272">
        <f t="shared" si="236"/>
        <v>14</v>
      </c>
      <c r="C540" s="288" t="s">
        <v>174</v>
      </c>
      <c r="D540" s="288" t="str">
        <f t="shared" si="237"/>
        <v>May-25</v>
      </c>
      <c r="E540" s="272" t="s">
        <v>472</v>
      </c>
      <c r="F540" s="273">
        <v>45782</v>
      </c>
      <c r="G540" s="272" t="s">
        <v>329</v>
      </c>
      <c r="H540" s="272" t="s">
        <v>330</v>
      </c>
      <c r="J540" s="384" t="s">
        <v>339</v>
      </c>
      <c r="L540" s="272" t="s">
        <v>340</v>
      </c>
      <c r="R540" s="391">
        <v>1</v>
      </c>
      <c r="S540" s="305">
        <v>5698</v>
      </c>
      <c r="T540" s="294">
        <f t="shared" si="235"/>
        <v>5698</v>
      </c>
    </row>
    <row r="541" spans="2:20" x14ac:dyDescent="0.3">
      <c r="B541" s="272">
        <f t="shared" si="236"/>
        <v>15</v>
      </c>
      <c r="C541" s="288" t="s">
        <v>174</v>
      </c>
      <c r="D541" s="288" t="str">
        <f t="shared" si="237"/>
        <v>May-25</v>
      </c>
      <c r="E541" s="272" t="s">
        <v>472</v>
      </c>
      <c r="F541" s="273">
        <v>45782</v>
      </c>
      <c r="G541" s="272" t="s">
        <v>329</v>
      </c>
      <c r="H541" s="272" t="s">
        <v>330</v>
      </c>
      <c r="J541" s="384" t="s">
        <v>339</v>
      </c>
      <c r="L541" s="272" t="s">
        <v>340</v>
      </c>
      <c r="R541" s="391">
        <v>1</v>
      </c>
      <c r="S541" s="305">
        <v>6375</v>
      </c>
      <c r="T541" s="294">
        <f t="shared" si="235"/>
        <v>6375</v>
      </c>
    </row>
    <row r="542" spans="2:20" x14ac:dyDescent="0.3">
      <c r="B542" s="272">
        <f t="shared" si="236"/>
        <v>16</v>
      </c>
      <c r="C542" s="288" t="s">
        <v>174</v>
      </c>
      <c r="D542" s="288" t="str">
        <f t="shared" si="237"/>
        <v>May-25</v>
      </c>
      <c r="E542" s="272" t="s">
        <v>472</v>
      </c>
      <c r="F542" s="273">
        <v>45782</v>
      </c>
      <c r="G542" s="272" t="s">
        <v>329</v>
      </c>
      <c r="H542" s="272" t="s">
        <v>330</v>
      </c>
      <c r="J542" s="384" t="s">
        <v>341</v>
      </c>
      <c r="L542" s="272" t="s">
        <v>342</v>
      </c>
      <c r="R542" s="391">
        <v>1</v>
      </c>
      <c r="S542" s="305">
        <v>6478</v>
      </c>
      <c r="T542" s="294">
        <f t="shared" si="235"/>
        <v>6478</v>
      </c>
    </row>
    <row r="543" spans="2:20" x14ac:dyDescent="0.3">
      <c r="B543" s="272">
        <f t="shared" si="236"/>
        <v>17</v>
      </c>
      <c r="C543" s="288" t="s">
        <v>174</v>
      </c>
      <c r="D543" s="288" t="str">
        <f t="shared" si="237"/>
        <v>May-25</v>
      </c>
      <c r="E543" s="272" t="s">
        <v>472</v>
      </c>
      <c r="F543" s="273">
        <v>45782</v>
      </c>
      <c r="G543" s="272" t="s">
        <v>329</v>
      </c>
      <c r="H543" s="272" t="s">
        <v>330</v>
      </c>
      <c r="J543" s="384" t="s">
        <v>341</v>
      </c>
      <c r="L543" s="272" t="s">
        <v>342</v>
      </c>
      <c r="R543" s="391">
        <v>1</v>
      </c>
      <c r="S543" s="305">
        <v>6413</v>
      </c>
      <c r="T543" s="294">
        <f t="shared" si="235"/>
        <v>6413</v>
      </c>
    </row>
    <row r="544" spans="2:20" x14ac:dyDescent="0.3">
      <c r="B544" s="272">
        <f t="shared" si="236"/>
        <v>18</v>
      </c>
      <c r="C544" s="288" t="s">
        <v>174</v>
      </c>
      <c r="D544" s="288" t="str">
        <f t="shared" si="237"/>
        <v>May-25</v>
      </c>
      <c r="E544" s="272" t="s">
        <v>472</v>
      </c>
      <c r="F544" s="273">
        <v>45782</v>
      </c>
      <c r="G544" s="272" t="s">
        <v>329</v>
      </c>
      <c r="H544" s="272" t="s">
        <v>330</v>
      </c>
      <c r="J544" s="384" t="s">
        <v>341</v>
      </c>
      <c r="L544" s="272" t="s">
        <v>342</v>
      </c>
      <c r="R544" s="391">
        <v>1</v>
      </c>
      <c r="S544" s="305">
        <v>3000</v>
      </c>
      <c r="T544" s="294">
        <f t="shared" si="235"/>
        <v>3000</v>
      </c>
    </row>
    <row r="545" spans="2:20" x14ac:dyDescent="0.3">
      <c r="B545" s="272">
        <f t="shared" si="236"/>
        <v>19</v>
      </c>
      <c r="C545" s="288" t="s">
        <v>174</v>
      </c>
      <c r="D545" s="288" t="str">
        <f t="shared" si="237"/>
        <v>May-25</v>
      </c>
      <c r="E545" s="272" t="s">
        <v>472</v>
      </c>
      <c r="F545" s="273">
        <v>45782</v>
      </c>
      <c r="G545" s="272" t="s">
        <v>329</v>
      </c>
      <c r="H545" s="272" t="s">
        <v>330</v>
      </c>
      <c r="J545" s="384" t="s">
        <v>341</v>
      </c>
      <c r="L545" s="272" t="s">
        <v>342</v>
      </c>
      <c r="R545" s="391">
        <v>1</v>
      </c>
      <c r="S545" s="305">
        <v>3000</v>
      </c>
      <c r="T545" s="294">
        <f t="shared" si="235"/>
        <v>3000</v>
      </c>
    </row>
    <row r="546" spans="2:20" x14ac:dyDescent="0.3">
      <c r="B546" s="272">
        <f t="shared" si="236"/>
        <v>20</v>
      </c>
      <c r="C546" s="288" t="s">
        <v>174</v>
      </c>
      <c r="D546" s="288" t="str">
        <f t="shared" si="237"/>
        <v>May-25</v>
      </c>
      <c r="E546" s="272" t="s">
        <v>472</v>
      </c>
      <c r="F546" s="273">
        <v>45782</v>
      </c>
      <c r="G546" s="272" t="s">
        <v>329</v>
      </c>
      <c r="H546" s="272" t="s">
        <v>330</v>
      </c>
      <c r="J546" s="384" t="s">
        <v>341</v>
      </c>
      <c r="L546" s="272" t="s">
        <v>342</v>
      </c>
      <c r="R546" s="391">
        <v>1</v>
      </c>
      <c r="S546" s="305">
        <v>3000</v>
      </c>
      <c r="T546" s="294">
        <f t="shared" si="235"/>
        <v>3000</v>
      </c>
    </row>
    <row r="547" spans="2:20" x14ac:dyDescent="0.3">
      <c r="B547" s="272">
        <f t="shared" si="236"/>
        <v>21</v>
      </c>
      <c r="C547" s="288" t="s">
        <v>174</v>
      </c>
      <c r="D547" s="288" t="str">
        <f t="shared" si="237"/>
        <v>May-25</v>
      </c>
      <c r="E547" s="272" t="s">
        <v>472</v>
      </c>
      <c r="F547" s="273">
        <v>45782</v>
      </c>
      <c r="G547" s="272" t="s">
        <v>329</v>
      </c>
      <c r="H547" s="272" t="s">
        <v>330</v>
      </c>
      <c r="J547" s="384" t="s">
        <v>341</v>
      </c>
      <c r="L547" s="272" t="s">
        <v>342</v>
      </c>
      <c r="R547" s="391">
        <v>1</v>
      </c>
      <c r="S547" s="305">
        <v>3000</v>
      </c>
      <c r="T547" s="294">
        <f t="shared" si="235"/>
        <v>3000</v>
      </c>
    </row>
    <row r="548" spans="2:20" x14ac:dyDescent="0.3">
      <c r="B548" s="272">
        <f t="shared" si="236"/>
        <v>22</v>
      </c>
      <c r="C548" s="288" t="s">
        <v>174</v>
      </c>
      <c r="D548" s="288" t="str">
        <f t="shared" si="237"/>
        <v>May-25</v>
      </c>
      <c r="E548" s="272" t="s">
        <v>472</v>
      </c>
      <c r="F548" s="273">
        <v>45782</v>
      </c>
      <c r="G548" s="272" t="s">
        <v>329</v>
      </c>
      <c r="H548" s="272" t="s">
        <v>330</v>
      </c>
      <c r="J548" s="384" t="s">
        <v>341</v>
      </c>
      <c r="L548" s="272" t="s">
        <v>342</v>
      </c>
      <c r="R548" s="391">
        <v>1</v>
      </c>
      <c r="S548" s="305">
        <v>3000</v>
      </c>
      <c r="T548" s="294">
        <f t="shared" si="235"/>
        <v>3000</v>
      </c>
    </row>
    <row r="549" spans="2:20" x14ac:dyDescent="0.3">
      <c r="B549" s="272">
        <f t="shared" si="236"/>
        <v>23</v>
      </c>
      <c r="C549" s="288" t="s">
        <v>174</v>
      </c>
      <c r="D549" s="288" t="str">
        <f t="shared" si="237"/>
        <v>May-25</v>
      </c>
      <c r="E549" s="272" t="s">
        <v>472</v>
      </c>
      <c r="F549" s="273">
        <v>45782</v>
      </c>
      <c r="G549" s="272" t="s">
        <v>329</v>
      </c>
      <c r="H549" s="272" t="s">
        <v>330</v>
      </c>
      <c r="J549" s="384" t="s">
        <v>341</v>
      </c>
      <c r="L549" s="272" t="s">
        <v>342</v>
      </c>
      <c r="R549" s="391">
        <v>1</v>
      </c>
      <c r="S549" s="305">
        <v>3000</v>
      </c>
      <c r="T549" s="294">
        <f t="shared" si="235"/>
        <v>3000</v>
      </c>
    </row>
    <row r="550" spans="2:20" x14ac:dyDescent="0.3">
      <c r="B550" s="272">
        <f t="shared" si="236"/>
        <v>24</v>
      </c>
      <c r="C550" s="288" t="s">
        <v>174</v>
      </c>
      <c r="D550" s="288" t="str">
        <f t="shared" si="237"/>
        <v>May-25</v>
      </c>
      <c r="E550" s="272" t="s">
        <v>472</v>
      </c>
      <c r="F550" s="273">
        <v>45782</v>
      </c>
      <c r="G550" s="272" t="s">
        <v>329</v>
      </c>
      <c r="H550" s="272" t="s">
        <v>330</v>
      </c>
      <c r="J550" s="384" t="s">
        <v>341</v>
      </c>
      <c r="L550" s="272" t="s">
        <v>342</v>
      </c>
      <c r="R550" s="391">
        <v>1</v>
      </c>
      <c r="S550" s="305">
        <v>3000</v>
      </c>
      <c r="T550" s="294">
        <f t="shared" si="235"/>
        <v>3000</v>
      </c>
    </row>
    <row r="551" spans="2:20" x14ac:dyDescent="0.3">
      <c r="B551" s="272">
        <f t="shared" si="236"/>
        <v>25</v>
      </c>
      <c r="C551" s="288" t="s">
        <v>174</v>
      </c>
      <c r="D551" s="288" t="str">
        <f t="shared" si="237"/>
        <v>May-25</v>
      </c>
      <c r="E551" s="272" t="s">
        <v>472</v>
      </c>
      <c r="F551" s="273">
        <v>45782</v>
      </c>
      <c r="G551" s="272" t="s">
        <v>329</v>
      </c>
      <c r="H551" s="272" t="s">
        <v>330</v>
      </c>
      <c r="J551" s="384" t="s">
        <v>341</v>
      </c>
      <c r="L551" s="272" t="s">
        <v>342</v>
      </c>
      <c r="R551" s="391">
        <v>1</v>
      </c>
      <c r="S551" s="305">
        <v>3000</v>
      </c>
      <c r="T551" s="294">
        <f t="shared" si="235"/>
        <v>3000</v>
      </c>
    </row>
    <row r="552" spans="2:20" x14ac:dyDescent="0.3">
      <c r="B552" s="272">
        <f t="shared" si="236"/>
        <v>26</v>
      </c>
      <c r="C552" s="288" t="s">
        <v>174</v>
      </c>
      <c r="D552" s="288" t="str">
        <f t="shared" si="237"/>
        <v>May-25</v>
      </c>
      <c r="E552" s="272" t="s">
        <v>472</v>
      </c>
      <c r="F552" s="273">
        <v>45782</v>
      </c>
      <c r="G552" s="272" t="s">
        <v>329</v>
      </c>
      <c r="H552" s="272" t="s">
        <v>330</v>
      </c>
      <c r="J552" s="384" t="s">
        <v>341</v>
      </c>
      <c r="L552" s="272" t="s">
        <v>342</v>
      </c>
      <c r="R552" s="391">
        <v>1</v>
      </c>
      <c r="S552" s="305">
        <v>3000</v>
      </c>
      <c r="T552" s="294">
        <f t="shared" si="235"/>
        <v>3000</v>
      </c>
    </row>
    <row r="553" spans="2:20" x14ac:dyDescent="0.3">
      <c r="B553" s="272">
        <f t="shared" si="236"/>
        <v>27</v>
      </c>
      <c r="C553" s="288" t="s">
        <v>174</v>
      </c>
      <c r="D553" s="288" t="str">
        <f t="shared" si="237"/>
        <v>May-25</v>
      </c>
      <c r="E553" s="272" t="s">
        <v>472</v>
      </c>
      <c r="F553" s="273">
        <v>45782</v>
      </c>
      <c r="G553" s="272" t="s">
        <v>329</v>
      </c>
      <c r="H553" s="272" t="s">
        <v>330</v>
      </c>
      <c r="J553" s="384" t="s">
        <v>343</v>
      </c>
      <c r="L553" s="272" t="s">
        <v>344</v>
      </c>
      <c r="R553" s="391">
        <v>1</v>
      </c>
      <c r="S553" s="305">
        <v>5181</v>
      </c>
      <c r="T553" s="294">
        <f t="shared" si="235"/>
        <v>5181</v>
      </c>
    </row>
    <row r="554" spans="2:20" x14ac:dyDescent="0.3">
      <c r="B554" s="272">
        <f t="shared" si="236"/>
        <v>28</v>
      </c>
      <c r="C554" s="288" t="s">
        <v>174</v>
      </c>
      <c r="D554" s="288" t="str">
        <f t="shared" si="237"/>
        <v>May-25</v>
      </c>
      <c r="E554" s="272" t="s">
        <v>472</v>
      </c>
      <c r="F554" s="273">
        <v>45782</v>
      </c>
      <c r="G554" s="272" t="s">
        <v>329</v>
      </c>
      <c r="H554" s="272" t="s">
        <v>330</v>
      </c>
      <c r="J554" s="384" t="s">
        <v>345</v>
      </c>
      <c r="L554" s="272" t="s">
        <v>346</v>
      </c>
      <c r="R554" s="391">
        <v>1</v>
      </c>
      <c r="S554" s="305">
        <v>39050</v>
      </c>
      <c r="T554" s="294">
        <f t="shared" si="235"/>
        <v>39050</v>
      </c>
    </row>
    <row r="555" spans="2:20" x14ac:dyDescent="0.3">
      <c r="B555" s="272">
        <f t="shared" si="236"/>
        <v>29</v>
      </c>
      <c r="C555" s="288" t="s">
        <v>174</v>
      </c>
      <c r="D555" s="288" t="str">
        <f t="shared" si="237"/>
        <v>May-25</v>
      </c>
      <c r="E555" s="272" t="s">
        <v>472</v>
      </c>
      <c r="F555" s="273">
        <v>45782</v>
      </c>
      <c r="G555" s="272" t="s">
        <v>329</v>
      </c>
      <c r="H555" s="272" t="s">
        <v>330</v>
      </c>
      <c r="J555" s="384" t="s">
        <v>341</v>
      </c>
      <c r="L555" s="272" t="s">
        <v>342</v>
      </c>
      <c r="R555" s="391">
        <v>1</v>
      </c>
      <c r="S555" s="305">
        <v>3000</v>
      </c>
      <c r="T555" s="294">
        <f t="shared" si="235"/>
        <v>3000</v>
      </c>
    </row>
    <row r="556" spans="2:20" x14ac:dyDescent="0.3">
      <c r="B556" s="272">
        <f t="shared" si="236"/>
        <v>30</v>
      </c>
      <c r="C556" s="288" t="s">
        <v>174</v>
      </c>
      <c r="D556" s="288" t="str">
        <f t="shared" si="237"/>
        <v>May-25</v>
      </c>
      <c r="E556" s="272" t="s">
        <v>472</v>
      </c>
      <c r="F556" s="273">
        <v>45782</v>
      </c>
      <c r="G556" s="272" t="s">
        <v>329</v>
      </c>
      <c r="H556" s="272" t="s">
        <v>330</v>
      </c>
      <c r="J556" s="384" t="s">
        <v>343</v>
      </c>
      <c r="L556" s="272" t="s">
        <v>344</v>
      </c>
      <c r="R556" s="391">
        <v>1</v>
      </c>
      <c r="S556" s="305">
        <v>5511</v>
      </c>
      <c r="T556" s="294">
        <f t="shared" si="235"/>
        <v>5511</v>
      </c>
    </row>
    <row r="557" spans="2:20" x14ac:dyDescent="0.3">
      <c r="B557" s="272">
        <f t="shared" si="236"/>
        <v>31</v>
      </c>
      <c r="C557" s="288" t="s">
        <v>174</v>
      </c>
      <c r="D557" s="288" t="str">
        <f t="shared" si="237"/>
        <v>May-25</v>
      </c>
      <c r="E557" s="272" t="s">
        <v>472</v>
      </c>
      <c r="F557" s="273">
        <v>45782</v>
      </c>
      <c r="G557" s="272" t="s">
        <v>329</v>
      </c>
      <c r="H557" s="272" t="s">
        <v>330</v>
      </c>
      <c r="J557" s="384" t="s">
        <v>343</v>
      </c>
      <c r="L557" s="272" t="s">
        <v>344</v>
      </c>
      <c r="R557" s="391">
        <v>1</v>
      </c>
      <c r="S557" s="305">
        <v>6651</v>
      </c>
      <c r="T557" s="294">
        <f t="shared" si="235"/>
        <v>6651</v>
      </c>
    </row>
    <row r="558" spans="2:20" x14ac:dyDescent="0.3">
      <c r="B558" s="272">
        <f t="shared" si="236"/>
        <v>32</v>
      </c>
      <c r="C558" s="288" t="s">
        <v>174</v>
      </c>
      <c r="D558" s="288" t="str">
        <f t="shared" si="237"/>
        <v>May-25</v>
      </c>
      <c r="E558" s="272" t="s">
        <v>472</v>
      </c>
      <c r="F558" s="273">
        <v>45782</v>
      </c>
      <c r="G558" s="272" t="s">
        <v>329</v>
      </c>
      <c r="H558" s="272" t="s">
        <v>330</v>
      </c>
      <c r="J558" s="384" t="s">
        <v>343</v>
      </c>
      <c r="L558" s="272" t="s">
        <v>344</v>
      </c>
      <c r="R558" s="391">
        <v>1</v>
      </c>
      <c r="S558" s="305">
        <v>7299</v>
      </c>
      <c r="T558" s="294">
        <f t="shared" si="235"/>
        <v>7299</v>
      </c>
    </row>
    <row r="559" spans="2:20" x14ac:dyDescent="0.3">
      <c r="B559" s="272">
        <f t="shared" si="236"/>
        <v>33</v>
      </c>
      <c r="C559" s="288" t="s">
        <v>174</v>
      </c>
      <c r="D559" s="288" t="str">
        <f t="shared" si="237"/>
        <v>May-25</v>
      </c>
      <c r="E559" s="272" t="s">
        <v>472</v>
      </c>
      <c r="F559" s="273">
        <v>45782</v>
      </c>
      <c r="G559" s="272" t="s">
        <v>329</v>
      </c>
      <c r="H559" s="272" t="s">
        <v>250</v>
      </c>
      <c r="J559" s="384" t="s">
        <v>349</v>
      </c>
      <c r="L559" s="272" t="s">
        <v>350</v>
      </c>
      <c r="R559" s="391">
        <v>1</v>
      </c>
      <c r="S559" s="305">
        <v>110009</v>
      </c>
      <c r="T559" s="294">
        <f t="shared" si="235"/>
        <v>110009</v>
      </c>
    </row>
    <row r="560" spans="2:20" x14ac:dyDescent="0.3">
      <c r="B560" s="272">
        <f t="shared" si="236"/>
        <v>34</v>
      </c>
      <c r="C560" s="288" t="s">
        <v>174</v>
      </c>
      <c r="D560" s="288" t="str">
        <f t="shared" si="237"/>
        <v>May-25</v>
      </c>
      <c r="E560" s="272" t="s">
        <v>472</v>
      </c>
      <c r="F560" s="273">
        <v>45782</v>
      </c>
      <c r="G560" s="272" t="s">
        <v>329</v>
      </c>
      <c r="H560" s="272" t="s">
        <v>330</v>
      </c>
      <c r="J560" s="384" t="s">
        <v>347</v>
      </c>
      <c r="L560" s="272" t="s">
        <v>348</v>
      </c>
      <c r="R560" s="391">
        <v>1</v>
      </c>
      <c r="S560" s="305">
        <v>7000</v>
      </c>
      <c r="T560" s="294">
        <f t="shared" si="235"/>
        <v>7000</v>
      </c>
    </row>
    <row r="561" spans="2:20" x14ac:dyDescent="0.3">
      <c r="B561" s="272">
        <f t="shared" si="236"/>
        <v>35</v>
      </c>
      <c r="C561" s="288" t="s">
        <v>174</v>
      </c>
      <c r="D561" s="288" t="str">
        <f t="shared" si="237"/>
        <v>May-25</v>
      </c>
      <c r="E561" s="272" t="s">
        <v>472</v>
      </c>
      <c r="F561" s="273">
        <v>45805</v>
      </c>
      <c r="G561" s="272" t="s">
        <v>329</v>
      </c>
      <c r="H561" s="272" t="s">
        <v>330</v>
      </c>
      <c r="J561" s="384" t="s">
        <v>385</v>
      </c>
      <c r="L561" s="272" t="s">
        <v>390</v>
      </c>
      <c r="R561" s="391">
        <v>1</v>
      </c>
      <c r="S561" s="305">
        <v>7254</v>
      </c>
      <c r="T561" s="294">
        <f t="shared" si="235"/>
        <v>7254</v>
      </c>
    </row>
    <row r="562" spans="2:20" x14ac:dyDescent="0.3">
      <c r="B562" s="272">
        <f t="shared" si="236"/>
        <v>36</v>
      </c>
      <c r="C562" s="288" t="s">
        <v>174</v>
      </c>
      <c r="D562" s="288" t="str">
        <f t="shared" si="237"/>
        <v>May-25</v>
      </c>
      <c r="E562" s="272" t="s">
        <v>472</v>
      </c>
      <c r="F562" s="273">
        <v>45805</v>
      </c>
      <c r="G562" s="272" t="s">
        <v>329</v>
      </c>
      <c r="H562" s="272" t="s">
        <v>330</v>
      </c>
      <c r="J562" s="384" t="s">
        <v>385</v>
      </c>
      <c r="L562" s="272" t="s">
        <v>390</v>
      </c>
      <c r="R562" s="391">
        <v>1</v>
      </c>
      <c r="S562" s="305">
        <v>7545</v>
      </c>
      <c r="T562" s="294">
        <f t="shared" si="235"/>
        <v>7545</v>
      </c>
    </row>
    <row r="563" spans="2:20" x14ac:dyDescent="0.3">
      <c r="B563" s="272">
        <f t="shared" si="236"/>
        <v>37</v>
      </c>
      <c r="C563" s="288" t="s">
        <v>174</v>
      </c>
      <c r="D563" s="288" t="str">
        <f t="shared" si="237"/>
        <v>May-25</v>
      </c>
      <c r="E563" s="272" t="s">
        <v>472</v>
      </c>
      <c r="F563" s="273">
        <v>45805</v>
      </c>
      <c r="G563" s="272" t="s">
        <v>329</v>
      </c>
      <c r="H563" s="272" t="s">
        <v>330</v>
      </c>
      <c r="J563" s="384" t="s">
        <v>386</v>
      </c>
      <c r="L563" s="272" t="s">
        <v>391</v>
      </c>
      <c r="R563" s="391">
        <v>1</v>
      </c>
      <c r="S563" s="305">
        <v>88697</v>
      </c>
      <c r="T563" s="294">
        <f t="shared" si="235"/>
        <v>88697</v>
      </c>
    </row>
    <row r="564" spans="2:20" x14ac:dyDescent="0.3">
      <c r="B564" s="272">
        <f t="shared" si="236"/>
        <v>38</v>
      </c>
      <c r="C564" s="288" t="s">
        <v>174</v>
      </c>
      <c r="D564" s="288" t="str">
        <f t="shared" si="237"/>
        <v>May-25</v>
      </c>
      <c r="E564" s="272" t="s">
        <v>472</v>
      </c>
      <c r="F564" s="273">
        <v>45805</v>
      </c>
      <c r="G564" s="272" t="s">
        <v>329</v>
      </c>
      <c r="H564" s="272" t="s">
        <v>330</v>
      </c>
      <c r="J564" s="384" t="s">
        <v>387</v>
      </c>
      <c r="L564" s="272" t="s">
        <v>392</v>
      </c>
      <c r="R564" s="391">
        <v>1</v>
      </c>
      <c r="S564" s="305">
        <v>44145</v>
      </c>
      <c r="T564" s="294">
        <f t="shared" si="235"/>
        <v>44145</v>
      </c>
    </row>
    <row r="565" spans="2:20" x14ac:dyDescent="0.3">
      <c r="B565" s="272">
        <f t="shared" si="236"/>
        <v>39</v>
      </c>
      <c r="C565" s="288" t="s">
        <v>174</v>
      </c>
      <c r="D565" s="288" t="str">
        <f t="shared" si="237"/>
        <v>May-25</v>
      </c>
      <c r="E565" s="272" t="s">
        <v>472</v>
      </c>
      <c r="F565" s="273">
        <v>45805</v>
      </c>
      <c r="G565" s="272" t="s">
        <v>329</v>
      </c>
      <c r="H565" s="272" t="s">
        <v>330</v>
      </c>
      <c r="J565" s="384" t="s">
        <v>388</v>
      </c>
      <c r="L565" s="272" t="s">
        <v>393</v>
      </c>
      <c r="R565" s="391">
        <v>1</v>
      </c>
      <c r="S565" s="305">
        <v>67100</v>
      </c>
      <c r="T565" s="294">
        <f t="shared" si="235"/>
        <v>67100</v>
      </c>
    </row>
    <row r="566" spans="2:20" x14ac:dyDescent="0.3">
      <c r="B566" s="272">
        <f t="shared" si="236"/>
        <v>40</v>
      </c>
      <c r="C566" s="288" t="s">
        <v>174</v>
      </c>
      <c r="D566" s="288" t="str">
        <f t="shared" si="237"/>
        <v>May-25</v>
      </c>
      <c r="E566" s="272" t="s">
        <v>472</v>
      </c>
      <c r="F566" s="273">
        <v>45805</v>
      </c>
      <c r="G566" s="272" t="s">
        <v>329</v>
      </c>
      <c r="H566" s="272" t="s">
        <v>330</v>
      </c>
      <c r="J566" s="384" t="s">
        <v>389</v>
      </c>
      <c r="L566" s="272" t="s">
        <v>394</v>
      </c>
      <c r="R566" s="391">
        <v>1</v>
      </c>
      <c r="S566" s="305">
        <v>6520</v>
      </c>
      <c r="T566" s="294">
        <f t="shared" si="235"/>
        <v>6520</v>
      </c>
    </row>
    <row r="567" spans="2:20" x14ac:dyDescent="0.3">
      <c r="B567" s="272">
        <f t="shared" si="236"/>
        <v>41</v>
      </c>
      <c r="C567" s="288" t="s">
        <v>174</v>
      </c>
      <c r="D567" s="288" t="str">
        <f t="shared" si="237"/>
        <v>Jun-25</v>
      </c>
      <c r="E567" s="272" t="s">
        <v>472</v>
      </c>
      <c r="F567" s="273">
        <v>45826</v>
      </c>
      <c r="H567" s="272" t="s">
        <v>250</v>
      </c>
      <c r="J567" s="384" t="s">
        <v>477</v>
      </c>
      <c r="L567" s="272" t="s">
        <v>478</v>
      </c>
      <c r="R567" s="391">
        <v>1</v>
      </c>
      <c r="S567" s="305">
        <v>64500</v>
      </c>
      <c r="T567" s="294">
        <f t="shared" si="235"/>
        <v>64500</v>
      </c>
    </row>
    <row r="568" spans="2:20" x14ac:dyDescent="0.3">
      <c r="B568" s="272">
        <f t="shared" si="236"/>
        <v>42</v>
      </c>
      <c r="C568" s="288" t="s">
        <v>174</v>
      </c>
      <c r="D568" s="288" t="str">
        <f t="shared" si="237"/>
        <v>Jun-25</v>
      </c>
      <c r="E568" s="272" t="s">
        <v>472</v>
      </c>
      <c r="F568" s="273">
        <v>45828</v>
      </c>
      <c r="G568" s="272" t="s">
        <v>329</v>
      </c>
      <c r="H568" s="272" t="s">
        <v>330</v>
      </c>
      <c r="J568" s="384" t="s">
        <v>488</v>
      </c>
      <c r="L568" s="272" t="s">
        <v>489</v>
      </c>
      <c r="R568" s="391">
        <v>58.5</v>
      </c>
      <c r="S568" s="305">
        <v>1100</v>
      </c>
      <c r="T568" s="294">
        <f t="shared" si="235"/>
        <v>64350</v>
      </c>
    </row>
    <row r="569" spans="2:20" x14ac:dyDescent="0.3">
      <c r="B569" s="272">
        <f t="shared" si="236"/>
        <v>43</v>
      </c>
      <c r="C569" s="288" t="s">
        <v>174</v>
      </c>
      <c r="D569" s="288" t="str">
        <f t="shared" si="237"/>
        <v>Jun-25</v>
      </c>
      <c r="E569" s="272" t="s">
        <v>472</v>
      </c>
      <c r="F569" s="273">
        <v>45828</v>
      </c>
      <c r="G569" s="272" t="s">
        <v>329</v>
      </c>
      <c r="H569" s="272" t="s">
        <v>330</v>
      </c>
      <c r="J569" s="384" t="s">
        <v>498</v>
      </c>
      <c r="L569" s="272" t="s">
        <v>499</v>
      </c>
      <c r="R569" s="391">
        <v>1</v>
      </c>
      <c r="S569" s="305">
        <v>9000</v>
      </c>
      <c r="T569" s="294">
        <f t="shared" si="235"/>
        <v>9000</v>
      </c>
    </row>
    <row r="570" spans="2:20" x14ac:dyDescent="0.3">
      <c r="B570" s="272">
        <f t="shared" si="236"/>
        <v>44</v>
      </c>
      <c r="C570" s="288" t="s">
        <v>174</v>
      </c>
      <c r="D570" s="288" t="str">
        <f t="shared" si="237"/>
        <v>Jun-25</v>
      </c>
      <c r="E570" s="272" t="s">
        <v>472</v>
      </c>
      <c r="F570" s="273">
        <v>45828</v>
      </c>
      <c r="G570" s="272" t="s">
        <v>329</v>
      </c>
      <c r="H570" s="272" t="s">
        <v>330</v>
      </c>
      <c r="J570" s="384" t="s">
        <v>492</v>
      </c>
      <c r="L570" s="272" t="s">
        <v>493</v>
      </c>
      <c r="R570" s="391">
        <v>1</v>
      </c>
      <c r="S570" s="305">
        <v>8300</v>
      </c>
      <c r="T570" s="294">
        <f t="shared" si="235"/>
        <v>8300</v>
      </c>
    </row>
    <row r="571" spans="2:20" x14ac:dyDescent="0.3">
      <c r="B571" s="272">
        <f t="shared" si="236"/>
        <v>45</v>
      </c>
      <c r="C571" s="288" t="s">
        <v>174</v>
      </c>
      <c r="D571" s="288" t="str">
        <f t="shared" si="237"/>
        <v>Jun-25</v>
      </c>
      <c r="E571" s="272" t="s">
        <v>472</v>
      </c>
      <c r="F571" s="273">
        <v>45828</v>
      </c>
      <c r="G571" s="272" t="s">
        <v>329</v>
      </c>
      <c r="H571" s="272" t="s">
        <v>330</v>
      </c>
      <c r="J571" s="384" t="s">
        <v>490</v>
      </c>
      <c r="L571" s="272" t="s">
        <v>491</v>
      </c>
      <c r="R571" s="391">
        <v>16</v>
      </c>
      <c r="S571" s="305">
        <v>1100</v>
      </c>
      <c r="T571" s="294">
        <f t="shared" si="235"/>
        <v>17600</v>
      </c>
    </row>
    <row r="572" spans="2:20" x14ac:dyDescent="0.3">
      <c r="B572" s="272">
        <f t="shared" si="236"/>
        <v>46</v>
      </c>
      <c r="C572" s="288" t="s">
        <v>174</v>
      </c>
      <c r="D572" s="288" t="str">
        <f t="shared" si="237"/>
        <v>Jun-25</v>
      </c>
      <c r="E572" s="272" t="s">
        <v>472</v>
      </c>
      <c r="F572" s="273">
        <v>45828</v>
      </c>
      <c r="G572" s="272" t="s">
        <v>329</v>
      </c>
      <c r="H572" s="272" t="s">
        <v>330</v>
      </c>
      <c r="J572" s="384" t="s">
        <v>494</v>
      </c>
      <c r="L572" s="272" t="s">
        <v>495</v>
      </c>
      <c r="R572" s="391">
        <v>1</v>
      </c>
      <c r="S572" s="305">
        <v>104249</v>
      </c>
      <c r="T572" s="294">
        <f t="shared" si="235"/>
        <v>104249</v>
      </c>
    </row>
    <row r="573" spans="2:20" x14ac:dyDescent="0.3">
      <c r="B573" s="272">
        <f t="shared" si="236"/>
        <v>47</v>
      </c>
      <c r="C573" s="288" t="s">
        <v>174</v>
      </c>
      <c r="D573" s="288" t="str">
        <f t="shared" si="237"/>
        <v>Jun-25</v>
      </c>
      <c r="E573" s="272" t="s">
        <v>472</v>
      </c>
      <c r="F573" s="273">
        <v>45828</v>
      </c>
      <c r="G573" s="272" t="s">
        <v>329</v>
      </c>
      <c r="H573" s="272" t="s">
        <v>330</v>
      </c>
      <c r="J573" s="384" t="s">
        <v>496</v>
      </c>
      <c r="L573" s="272" t="s">
        <v>497</v>
      </c>
      <c r="R573" s="391">
        <v>1</v>
      </c>
      <c r="S573" s="305">
        <v>30072</v>
      </c>
      <c r="T573" s="294">
        <f t="shared" si="235"/>
        <v>30072</v>
      </c>
    </row>
    <row r="574" spans="2:20" x14ac:dyDescent="0.3">
      <c r="B574" s="272">
        <f t="shared" si="236"/>
        <v>48</v>
      </c>
      <c r="C574" s="288" t="s">
        <v>174</v>
      </c>
      <c r="D574" s="288" t="str">
        <f t="shared" si="237"/>
        <v>Jul-25</v>
      </c>
      <c r="E574" s="272" t="s">
        <v>472</v>
      </c>
      <c r="F574" s="273">
        <v>45840</v>
      </c>
      <c r="H574" s="272" t="s">
        <v>330</v>
      </c>
      <c r="J574" s="384" t="s">
        <v>1380</v>
      </c>
      <c r="L574" s="272" t="s">
        <v>1382</v>
      </c>
      <c r="R574" s="391">
        <v>26</v>
      </c>
      <c r="S574" s="305">
        <v>6000</v>
      </c>
      <c r="T574" s="294">
        <f t="shared" si="235"/>
        <v>156000</v>
      </c>
    </row>
    <row r="575" spans="2:20" x14ac:dyDescent="0.3">
      <c r="B575" s="272">
        <f t="shared" si="236"/>
        <v>49</v>
      </c>
      <c r="C575" s="288" t="s">
        <v>174</v>
      </c>
      <c r="D575" s="288" t="str">
        <f t="shared" si="237"/>
        <v>Jul-25</v>
      </c>
      <c r="E575" s="272" t="s">
        <v>472</v>
      </c>
      <c r="F575" s="273">
        <v>45840</v>
      </c>
      <c r="H575" s="272" t="s">
        <v>330</v>
      </c>
      <c r="J575" s="384" t="s">
        <v>1380</v>
      </c>
      <c r="L575" s="272" t="s">
        <v>1382</v>
      </c>
      <c r="R575" s="391">
        <v>7</v>
      </c>
      <c r="S575" s="305">
        <v>1000</v>
      </c>
      <c r="T575" s="294">
        <f t="shared" si="235"/>
        <v>7000</v>
      </c>
    </row>
    <row r="576" spans="2:20" x14ac:dyDescent="0.3">
      <c r="B576" s="272">
        <f t="shared" si="236"/>
        <v>50</v>
      </c>
      <c r="C576" s="288" t="s">
        <v>174</v>
      </c>
      <c r="D576" s="288" t="str">
        <f t="shared" si="237"/>
        <v>Jul-25</v>
      </c>
      <c r="E576" s="272" t="s">
        <v>472</v>
      </c>
      <c r="F576" s="273">
        <v>45840</v>
      </c>
      <c r="H576" s="272" t="s">
        <v>330</v>
      </c>
      <c r="J576" s="384" t="s">
        <v>1381</v>
      </c>
      <c r="L576" s="272" t="s">
        <v>1383</v>
      </c>
      <c r="R576" s="391">
        <v>19</v>
      </c>
      <c r="S576" s="305">
        <v>6000</v>
      </c>
      <c r="T576" s="294">
        <f t="shared" si="235"/>
        <v>114000</v>
      </c>
    </row>
    <row r="577" spans="2:20" x14ac:dyDescent="0.3">
      <c r="B577" s="272">
        <f t="shared" si="236"/>
        <v>51</v>
      </c>
      <c r="C577" s="288" t="s">
        <v>174</v>
      </c>
      <c r="D577" s="288" t="str">
        <f t="shared" si="237"/>
        <v>Jul-25</v>
      </c>
      <c r="E577" s="272" t="s">
        <v>472</v>
      </c>
      <c r="F577" s="273">
        <v>45840</v>
      </c>
      <c r="H577" s="272" t="s">
        <v>330</v>
      </c>
      <c r="J577" s="384" t="s">
        <v>1381</v>
      </c>
      <c r="L577" s="272" t="s">
        <v>1383</v>
      </c>
      <c r="R577" s="391">
        <v>6</v>
      </c>
      <c r="S577" s="305">
        <v>1000</v>
      </c>
      <c r="T577" s="294">
        <f t="shared" si="235"/>
        <v>6000</v>
      </c>
    </row>
    <row r="578" spans="2:20" x14ac:dyDescent="0.3">
      <c r="B578" s="272">
        <f t="shared" si="236"/>
        <v>52</v>
      </c>
      <c r="C578" s="288" t="s">
        <v>174</v>
      </c>
      <c r="D578" s="288" t="str">
        <f t="shared" si="237"/>
        <v>Jul-25</v>
      </c>
      <c r="E578" s="272" t="s">
        <v>472</v>
      </c>
      <c r="F578" s="273">
        <v>45841</v>
      </c>
      <c r="H578" s="272" t="s">
        <v>330</v>
      </c>
      <c r="J578" s="384" t="s">
        <v>1408</v>
      </c>
      <c r="L578" s="272" t="s">
        <v>1409</v>
      </c>
      <c r="R578" s="391">
        <v>32</v>
      </c>
      <c r="S578" s="305">
        <v>3000</v>
      </c>
      <c r="T578" s="294">
        <f t="shared" si="235"/>
        <v>96000</v>
      </c>
    </row>
    <row r="579" spans="2:20" x14ac:dyDescent="0.3">
      <c r="B579" s="272">
        <f t="shared" si="236"/>
        <v>53</v>
      </c>
      <c r="C579" s="288" t="s">
        <v>174</v>
      </c>
      <c r="D579" s="288" t="str">
        <f t="shared" si="237"/>
        <v>Jul-25</v>
      </c>
      <c r="E579" s="272" t="s">
        <v>472</v>
      </c>
      <c r="F579" s="273">
        <v>45847</v>
      </c>
      <c r="G579" s="272" t="s">
        <v>329</v>
      </c>
      <c r="H579" s="272" t="s">
        <v>1433</v>
      </c>
      <c r="J579" s="384" t="s">
        <v>1434</v>
      </c>
      <c r="L579" s="272" t="s">
        <v>1435</v>
      </c>
      <c r="R579" s="391">
        <v>1</v>
      </c>
      <c r="S579" s="305">
        <v>103568</v>
      </c>
      <c r="T579" s="294">
        <f t="shared" si="235"/>
        <v>103568</v>
      </c>
    </row>
    <row r="580" spans="2:20" x14ac:dyDescent="0.3">
      <c r="B580" s="272">
        <f t="shared" si="236"/>
        <v>54</v>
      </c>
      <c r="C580" s="288" t="s">
        <v>174</v>
      </c>
      <c r="D580" s="288" t="str">
        <f t="shared" si="237"/>
        <v>Jul-25</v>
      </c>
      <c r="E580" s="272" t="s">
        <v>472</v>
      </c>
      <c r="F580" s="273">
        <v>45862</v>
      </c>
      <c r="H580" s="272" t="s">
        <v>250</v>
      </c>
      <c r="J580" s="384" t="s">
        <v>1472</v>
      </c>
      <c r="L580" s="272" t="s">
        <v>1473</v>
      </c>
      <c r="R580" s="391">
        <v>1</v>
      </c>
      <c r="S580" s="305">
        <v>90500</v>
      </c>
      <c r="T580" s="294">
        <f t="shared" si="235"/>
        <v>90500</v>
      </c>
    </row>
    <row r="581" spans="2:20" x14ac:dyDescent="0.3">
      <c r="B581" s="272">
        <f t="shared" si="236"/>
        <v>55</v>
      </c>
      <c r="C581" s="288" t="s">
        <v>174</v>
      </c>
      <c r="D581" s="288" t="str">
        <f t="shared" si="237"/>
        <v>Jul-25</v>
      </c>
      <c r="E581" s="272" t="s">
        <v>472</v>
      </c>
      <c r="F581" s="273">
        <v>45868</v>
      </c>
      <c r="G581" s="272" t="s">
        <v>329</v>
      </c>
      <c r="H581" s="272" t="s">
        <v>330</v>
      </c>
      <c r="J581" s="384" t="s">
        <v>1505</v>
      </c>
      <c r="L581" s="272" t="s">
        <v>1508</v>
      </c>
      <c r="R581" s="391">
        <v>1</v>
      </c>
      <c r="S581" s="305">
        <v>6500</v>
      </c>
      <c r="T581" s="294">
        <f t="shared" si="235"/>
        <v>6500</v>
      </c>
    </row>
    <row r="582" spans="2:20" x14ac:dyDescent="0.3">
      <c r="B582" s="272">
        <f t="shared" si="236"/>
        <v>56</v>
      </c>
      <c r="C582" s="288" t="s">
        <v>174</v>
      </c>
      <c r="D582" s="288" t="str">
        <f t="shared" si="237"/>
        <v>Jul-25</v>
      </c>
      <c r="E582" s="272" t="s">
        <v>472</v>
      </c>
      <c r="F582" s="273">
        <v>45868</v>
      </c>
      <c r="G582" s="272" t="s">
        <v>329</v>
      </c>
      <c r="H582" s="272" t="s">
        <v>330</v>
      </c>
      <c r="J582" s="384" t="s">
        <v>1506</v>
      </c>
      <c r="L582" s="272" t="s">
        <v>1509</v>
      </c>
      <c r="R582" s="391">
        <v>1</v>
      </c>
      <c r="S582" s="305">
        <v>54336</v>
      </c>
      <c r="T582" s="294">
        <f t="shared" si="235"/>
        <v>54336</v>
      </c>
    </row>
    <row r="583" spans="2:20" x14ac:dyDescent="0.3">
      <c r="B583" s="272">
        <f t="shared" si="236"/>
        <v>57</v>
      </c>
      <c r="C583" s="288" t="s">
        <v>174</v>
      </c>
      <c r="D583" s="288" t="str">
        <f t="shared" si="237"/>
        <v>Jul-25</v>
      </c>
      <c r="E583" s="272" t="s">
        <v>472</v>
      </c>
      <c r="F583" s="273">
        <v>45868</v>
      </c>
      <c r="G583" s="272" t="s">
        <v>329</v>
      </c>
      <c r="H583" s="272" t="s">
        <v>330</v>
      </c>
      <c r="J583" s="384" t="s">
        <v>1507</v>
      </c>
      <c r="L583" s="272" t="s">
        <v>1510</v>
      </c>
      <c r="R583" s="391">
        <v>1</v>
      </c>
      <c r="S583" s="305">
        <v>72104</v>
      </c>
      <c r="T583" s="294">
        <f t="shared" si="235"/>
        <v>72104</v>
      </c>
    </row>
    <row r="584" spans="2:20" x14ac:dyDescent="0.3">
      <c r="B584" s="272">
        <f t="shared" si="236"/>
        <v>58</v>
      </c>
      <c r="C584" s="288" t="s">
        <v>174</v>
      </c>
      <c r="D584" s="288" t="str">
        <f t="shared" si="237"/>
        <v>Jul-25</v>
      </c>
      <c r="E584" s="272" t="s">
        <v>472</v>
      </c>
      <c r="F584" s="273">
        <v>45868</v>
      </c>
      <c r="G584" s="272" t="s">
        <v>329</v>
      </c>
      <c r="H584" s="272" t="s">
        <v>330</v>
      </c>
      <c r="J584" s="384" t="s">
        <v>1507</v>
      </c>
      <c r="L584" s="272" t="s">
        <v>1510</v>
      </c>
      <c r="R584" s="391">
        <v>1</v>
      </c>
      <c r="S584" s="305">
        <v>4500</v>
      </c>
      <c r="T584" s="294">
        <f t="shared" si="235"/>
        <v>4500</v>
      </c>
    </row>
    <row r="585" spans="2:20" x14ac:dyDescent="0.3">
      <c r="B585" s="272">
        <f t="shared" si="236"/>
        <v>59</v>
      </c>
      <c r="C585" s="288" t="s">
        <v>174</v>
      </c>
      <c r="D585" s="288" t="str">
        <f t="shared" si="237"/>
        <v>Jul-25</v>
      </c>
      <c r="E585" s="272" t="s">
        <v>472</v>
      </c>
      <c r="F585" s="273">
        <v>45868</v>
      </c>
      <c r="G585" s="272" t="s">
        <v>329</v>
      </c>
      <c r="H585" s="272" t="s">
        <v>330</v>
      </c>
      <c r="J585" s="384" t="s">
        <v>1507</v>
      </c>
      <c r="L585" s="272" t="s">
        <v>1510</v>
      </c>
      <c r="R585" s="391">
        <v>1</v>
      </c>
      <c r="S585" s="305">
        <v>4000</v>
      </c>
      <c r="T585" s="294">
        <f t="shared" si="235"/>
        <v>4000</v>
      </c>
    </row>
    <row r="586" spans="2:20" x14ac:dyDescent="0.3">
      <c r="B586" s="272">
        <f t="shared" si="236"/>
        <v>60</v>
      </c>
      <c r="C586" s="288" t="s">
        <v>174</v>
      </c>
      <c r="D586" s="288" t="str">
        <f t="shared" si="237"/>
        <v>Aug-25</v>
      </c>
      <c r="E586" s="272" t="s">
        <v>472</v>
      </c>
      <c r="F586" s="273">
        <v>45877</v>
      </c>
      <c r="H586" s="272" t="s">
        <v>1433</v>
      </c>
      <c r="J586" s="384" t="s">
        <v>1526</v>
      </c>
      <c r="L586" s="272" t="s">
        <v>1591</v>
      </c>
      <c r="R586" s="391">
        <v>1</v>
      </c>
      <c r="S586" s="305">
        <v>245393.5</v>
      </c>
      <c r="T586" s="294">
        <f t="shared" si="235"/>
        <v>245393.5</v>
      </c>
    </row>
    <row r="587" spans="2:20" x14ac:dyDescent="0.3">
      <c r="B587" s="272">
        <f t="shared" si="236"/>
        <v>61</v>
      </c>
      <c r="C587" s="288" t="s">
        <v>174</v>
      </c>
      <c r="D587" s="288" t="str">
        <f t="shared" si="237"/>
        <v>Aug-25</v>
      </c>
      <c r="E587" s="272" t="s">
        <v>472</v>
      </c>
      <c r="F587" s="273">
        <v>45877</v>
      </c>
      <c r="H587" s="272" t="s">
        <v>330</v>
      </c>
      <c r="J587" s="384" t="s">
        <v>1540</v>
      </c>
      <c r="L587" s="272" t="s">
        <v>1592</v>
      </c>
      <c r="R587" s="391">
        <v>1</v>
      </c>
      <c r="S587" s="305">
        <v>49532</v>
      </c>
      <c r="T587" s="294">
        <f t="shared" si="235"/>
        <v>49532</v>
      </c>
    </row>
    <row r="588" spans="2:20" x14ac:dyDescent="0.3">
      <c r="B588" s="272">
        <f t="shared" si="236"/>
        <v>62</v>
      </c>
      <c r="C588" s="288" t="s">
        <v>174</v>
      </c>
      <c r="D588" s="288" t="str">
        <f t="shared" si="237"/>
        <v>Aug-25</v>
      </c>
      <c r="E588" s="272" t="s">
        <v>472</v>
      </c>
      <c r="F588" s="273">
        <v>45877</v>
      </c>
      <c r="H588" s="272" t="s">
        <v>330</v>
      </c>
      <c r="J588" s="384" t="s">
        <v>1112</v>
      </c>
      <c r="L588" s="272" t="s">
        <v>1593</v>
      </c>
      <c r="R588" s="391">
        <v>1</v>
      </c>
      <c r="S588" s="305">
        <v>117000</v>
      </c>
      <c r="T588" s="294">
        <f t="shared" si="235"/>
        <v>117000</v>
      </c>
    </row>
    <row r="589" spans="2:20" x14ac:dyDescent="0.3">
      <c r="B589" s="272">
        <f t="shared" si="236"/>
        <v>63</v>
      </c>
      <c r="C589" s="288" t="s">
        <v>174</v>
      </c>
      <c r="D589" s="288" t="str">
        <f t="shared" si="237"/>
        <v>Aug-25</v>
      </c>
      <c r="E589" s="272" t="s">
        <v>472</v>
      </c>
      <c r="F589" s="273">
        <v>45877</v>
      </c>
      <c r="H589" s="272" t="s">
        <v>330</v>
      </c>
      <c r="J589" s="384" t="s">
        <v>1589</v>
      </c>
      <c r="L589" s="272" t="s">
        <v>1594</v>
      </c>
      <c r="R589" s="391">
        <v>1</v>
      </c>
      <c r="S589" s="305">
        <v>86042</v>
      </c>
      <c r="T589" s="294">
        <f t="shared" si="235"/>
        <v>86042</v>
      </c>
    </row>
    <row r="590" spans="2:20" x14ac:dyDescent="0.3">
      <c r="B590" s="272">
        <f t="shared" si="236"/>
        <v>64</v>
      </c>
      <c r="C590" s="288" t="s">
        <v>174</v>
      </c>
      <c r="D590" s="288" t="str">
        <f t="shared" si="237"/>
        <v>Aug-25</v>
      </c>
      <c r="E590" s="272" t="s">
        <v>472</v>
      </c>
      <c r="F590" s="273">
        <v>45878</v>
      </c>
      <c r="H590" s="272" t="s">
        <v>330</v>
      </c>
      <c r="J590" s="384" t="s">
        <v>1590</v>
      </c>
      <c r="L590" s="272" t="s">
        <v>1595</v>
      </c>
      <c r="R590" s="391">
        <v>1</v>
      </c>
      <c r="S590" s="305">
        <v>32000</v>
      </c>
      <c r="T590" s="294">
        <f t="shared" si="235"/>
        <v>32000</v>
      </c>
    </row>
    <row r="591" spans="2:20" x14ac:dyDescent="0.3">
      <c r="B591" s="272">
        <f t="shared" si="236"/>
        <v>65</v>
      </c>
      <c r="C591" s="288" t="s">
        <v>174</v>
      </c>
      <c r="D591" s="288" t="str">
        <f t="shared" si="237"/>
        <v>Aug-25</v>
      </c>
      <c r="E591" s="272" t="s">
        <v>472</v>
      </c>
      <c r="F591" s="273">
        <v>45882</v>
      </c>
      <c r="H591" s="272" t="s">
        <v>1610</v>
      </c>
      <c r="J591" s="384" t="s">
        <v>1611</v>
      </c>
      <c r="L591" s="272" t="s">
        <v>1614</v>
      </c>
      <c r="R591" s="391">
        <v>1</v>
      </c>
      <c r="S591" s="305">
        <v>29316.41</v>
      </c>
      <c r="T591" s="294">
        <f t="shared" ref="T591:T654" si="238">R591*S591</f>
        <v>29316.41</v>
      </c>
    </row>
    <row r="592" spans="2:20" x14ac:dyDescent="0.3">
      <c r="B592" s="272">
        <f t="shared" si="236"/>
        <v>66</v>
      </c>
      <c r="C592" s="288" t="s">
        <v>174</v>
      </c>
      <c r="D592" s="288" t="str">
        <f t="shared" si="237"/>
        <v>Aug-25</v>
      </c>
      <c r="E592" s="272" t="s">
        <v>472</v>
      </c>
      <c r="F592" s="273">
        <v>45882</v>
      </c>
      <c r="H592" s="272" t="s">
        <v>1610</v>
      </c>
      <c r="J592" s="384" t="s">
        <v>1612</v>
      </c>
      <c r="L592" s="272" t="s">
        <v>1615</v>
      </c>
      <c r="R592" s="391">
        <v>1</v>
      </c>
      <c r="S592" s="305">
        <v>22634.75</v>
      </c>
      <c r="T592" s="294">
        <f t="shared" si="238"/>
        <v>22634.75</v>
      </c>
    </row>
    <row r="593" spans="2:20" x14ac:dyDescent="0.3">
      <c r="B593" s="272">
        <f t="shared" ref="B593:B656" si="239">B592+1</f>
        <v>67</v>
      </c>
      <c r="C593" s="288" t="s">
        <v>174</v>
      </c>
      <c r="D593" s="288" t="str">
        <f t="shared" ref="D593:D656" si="240">TEXT(F593,"mmm-yy")</f>
        <v>Aug-25</v>
      </c>
      <c r="E593" s="272" t="s">
        <v>472</v>
      </c>
      <c r="F593" s="273">
        <v>45882</v>
      </c>
      <c r="H593" s="272" t="s">
        <v>1610</v>
      </c>
      <c r="J593" s="384" t="s">
        <v>1613</v>
      </c>
      <c r="L593" s="272" t="s">
        <v>1616</v>
      </c>
      <c r="R593" s="391">
        <v>1</v>
      </c>
      <c r="S593" s="305">
        <v>37834.19</v>
      </c>
      <c r="T593" s="294">
        <f t="shared" si="238"/>
        <v>37834.19</v>
      </c>
    </row>
    <row r="594" spans="2:20" x14ac:dyDescent="0.3">
      <c r="B594" s="272">
        <f t="shared" si="239"/>
        <v>68</v>
      </c>
      <c r="C594" s="288" t="s">
        <v>174</v>
      </c>
      <c r="D594" s="288" t="str">
        <f t="shared" si="240"/>
        <v>Aug-25</v>
      </c>
      <c r="E594" s="272" t="s">
        <v>472</v>
      </c>
      <c r="F594" s="273">
        <v>45874</v>
      </c>
      <c r="G594" s="272" t="s">
        <v>329</v>
      </c>
      <c r="H594" s="272" t="s">
        <v>1610</v>
      </c>
      <c r="J594" s="384" t="s">
        <v>1617</v>
      </c>
      <c r="L594" s="272" t="s">
        <v>1618</v>
      </c>
      <c r="R594" s="391">
        <v>1</v>
      </c>
      <c r="S594" s="305">
        <v>30154.02</v>
      </c>
      <c r="T594" s="294">
        <f t="shared" si="238"/>
        <v>30154.02</v>
      </c>
    </row>
    <row r="595" spans="2:20" x14ac:dyDescent="0.3">
      <c r="B595" s="272">
        <f t="shared" si="239"/>
        <v>69</v>
      </c>
      <c r="C595" s="288" t="s">
        <v>174</v>
      </c>
      <c r="D595" s="288" t="str">
        <f t="shared" si="240"/>
        <v>Aug-25</v>
      </c>
      <c r="E595" s="272" t="s">
        <v>472</v>
      </c>
      <c r="F595" s="273">
        <v>45875</v>
      </c>
      <c r="G595" s="272" t="s">
        <v>329</v>
      </c>
      <c r="H595" s="272" t="s">
        <v>250</v>
      </c>
      <c r="J595" s="384" t="s">
        <v>1571</v>
      </c>
      <c r="L595" s="272" t="s">
        <v>1572</v>
      </c>
      <c r="R595" s="391">
        <v>1</v>
      </c>
      <c r="S595" s="305">
        <v>21991</v>
      </c>
      <c r="T595" s="294">
        <f t="shared" si="238"/>
        <v>21991</v>
      </c>
    </row>
    <row r="596" spans="2:20" x14ac:dyDescent="0.3">
      <c r="B596" s="272">
        <f t="shared" si="239"/>
        <v>70</v>
      </c>
      <c r="C596" s="288" t="s">
        <v>174</v>
      </c>
      <c r="D596" s="288" t="str">
        <f t="shared" si="240"/>
        <v>Sep-25</v>
      </c>
      <c r="E596" s="272" t="s">
        <v>472</v>
      </c>
      <c r="F596" s="273">
        <v>45901</v>
      </c>
      <c r="H596" s="272" t="s">
        <v>330</v>
      </c>
      <c r="J596" s="384" t="s">
        <v>1660</v>
      </c>
      <c r="L596" s="272" t="s">
        <v>1662</v>
      </c>
      <c r="R596" s="391">
        <v>1</v>
      </c>
      <c r="S596" s="305">
        <v>131232</v>
      </c>
      <c r="T596" s="294">
        <f t="shared" si="238"/>
        <v>131232</v>
      </c>
    </row>
    <row r="597" spans="2:20" x14ac:dyDescent="0.3">
      <c r="B597" s="272">
        <f t="shared" si="239"/>
        <v>71</v>
      </c>
      <c r="C597" s="288" t="s">
        <v>174</v>
      </c>
      <c r="D597" s="288" t="str">
        <f t="shared" si="240"/>
        <v>Sep-25</v>
      </c>
      <c r="E597" s="272" t="s">
        <v>472</v>
      </c>
      <c r="F597" s="273">
        <v>45901</v>
      </c>
      <c r="H597" s="272" t="s">
        <v>330</v>
      </c>
      <c r="J597" s="384" t="s">
        <v>1113</v>
      </c>
      <c r="L597" s="272" t="s">
        <v>1663</v>
      </c>
      <c r="R597" s="391">
        <v>1</v>
      </c>
      <c r="S597" s="305">
        <v>96096</v>
      </c>
      <c r="T597" s="294">
        <f t="shared" si="238"/>
        <v>96096</v>
      </c>
    </row>
    <row r="598" spans="2:20" x14ac:dyDescent="0.3">
      <c r="B598" s="272">
        <f t="shared" si="239"/>
        <v>72</v>
      </c>
      <c r="C598" s="288" t="s">
        <v>174</v>
      </c>
      <c r="D598" s="288" t="str">
        <f t="shared" si="240"/>
        <v>Sep-25</v>
      </c>
      <c r="E598" s="272" t="s">
        <v>472</v>
      </c>
      <c r="F598" s="273">
        <v>45901</v>
      </c>
      <c r="H598" s="272" t="s">
        <v>250</v>
      </c>
      <c r="J598" s="384" t="s">
        <v>1661</v>
      </c>
      <c r="L598" s="272" t="s">
        <v>1664</v>
      </c>
      <c r="R598" s="391">
        <v>1</v>
      </c>
      <c r="S598" s="305">
        <v>54751</v>
      </c>
      <c r="T598" s="294">
        <f t="shared" si="238"/>
        <v>54751</v>
      </c>
    </row>
    <row r="599" spans="2:20" x14ac:dyDescent="0.3">
      <c r="B599" s="272">
        <f t="shared" si="239"/>
        <v>73</v>
      </c>
      <c r="C599" s="288" t="s">
        <v>174</v>
      </c>
      <c r="D599" s="288" t="str">
        <f t="shared" si="240"/>
        <v>Sep-25</v>
      </c>
      <c r="E599" s="272" t="s">
        <v>472</v>
      </c>
      <c r="F599" s="273">
        <v>45911</v>
      </c>
      <c r="H599" s="272" t="s">
        <v>1433</v>
      </c>
      <c r="J599" s="384" t="s">
        <v>1702</v>
      </c>
      <c r="L599" s="272" t="s">
        <v>1703</v>
      </c>
      <c r="R599" s="391">
        <v>1</v>
      </c>
      <c r="S599" s="305">
        <v>261758.5</v>
      </c>
      <c r="T599" s="294">
        <f t="shared" si="238"/>
        <v>261758.5</v>
      </c>
    </row>
    <row r="600" spans="2:20" x14ac:dyDescent="0.3">
      <c r="B600" s="272">
        <f t="shared" si="239"/>
        <v>74</v>
      </c>
      <c r="C600" s="288" t="s">
        <v>174</v>
      </c>
      <c r="D600" s="288" t="str">
        <f t="shared" si="240"/>
        <v>Sep-25</v>
      </c>
      <c r="E600" s="272" t="s">
        <v>472</v>
      </c>
      <c r="F600" s="273">
        <v>45916</v>
      </c>
      <c r="H600" s="272" t="s">
        <v>330</v>
      </c>
      <c r="J600" s="384" t="s">
        <v>1114</v>
      </c>
      <c r="L600" s="272" t="s">
        <v>1838</v>
      </c>
      <c r="R600" s="391">
        <v>1</v>
      </c>
      <c r="S600" s="305">
        <v>55000</v>
      </c>
      <c r="T600" s="294">
        <f t="shared" si="238"/>
        <v>55000</v>
      </c>
    </row>
    <row r="601" spans="2:20" x14ac:dyDescent="0.3">
      <c r="B601" s="272">
        <f t="shared" si="239"/>
        <v>75</v>
      </c>
      <c r="C601" s="288" t="s">
        <v>174</v>
      </c>
      <c r="D601" s="288" t="str">
        <f t="shared" si="240"/>
        <v>Sep-25</v>
      </c>
      <c r="E601" s="272" t="s">
        <v>472</v>
      </c>
      <c r="F601" s="273">
        <v>45916</v>
      </c>
      <c r="H601" s="272" t="s">
        <v>330</v>
      </c>
      <c r="J601" s="384" t="s">
        <v>1836</v>
      </c>
      <c r="L601" s="272" t="s">
        <v>1839</v>
      </c>
      <c r="R601" s="391">
        <v>1</v>
      </c>
      <c r="S601" s="305">
        <v>75439</v>
      </c>
      <c r="T601" s="294">
        <f t="shared" si="238"/>
        <v>75439</v>
      </c>
    </row>
    <row r="602" spans="2:20" x14ac:dyDescent="0.3">
      <c r="B602" s="272">
        <f t="shared" si="239"/>
        <v>76</v>
      </c>
      <c r="C602" s="288" t="s">
        <v>174</v>
      </c>
      <c r="D602" s="288" t="str">
        <f t="shared" si="240"/>
        <v>Sep-25</v>
      </c>
      <c r="E602" s="272" t="s">
        <v>472</v>
      </c>
      <c r="F602" s="273">
        <v>45916</v>
      </c>
      <c r="H602" s="272" t="s">
        <v>330</v>
      </c>
      <c r="J602" s="384" t="s">
        <v>1837</v>
      </c>
      <c r="L602" s="272" t="s">
        <v>1840</v>
      </c>
      <c r="R602" s="391">
        <v>1</v>
      </c>
      <c r="S602" s="305">
        <v>40000</v>
      </c>
      <c r="T602" s="294">
        <f t="shared" si="238"/>
        <v>40000</v>
      </c>
    </row>
    <row r="603" spans="2:20" x14ac:dyDescent="0.3">
      <c r="B603" s="272">
        <f t="shared" si="239"/>
        <v>77</v>
      </c>
      <c r="C603" s="288" t="s">
        <v>174</v>
      </c>
      <c r="D603" s="288" t="str">
        <f t="shared" si="240"/>
        <v>Sep-25</v>
      </c>
      <c r="E603" s="272" t="s">
        <v>472</v>
      </c>
      <c r="F603" s="273">
        <v>45916</v>
      </c>
      <c r="H603" s="272" t="s">
        <v>330</v>
      </c>
      <c r="J603" s="384" t="s">
        <v>1837</v>
      </c>
      <c r="L603" s="272" t="s">
        <v>1840</v>
      </c>
      <c r="R603" s="391">
        <v>1</v>
      </c>
      <c r="S603" s="305">
        <v>52800</v>
      </c>
      <c r="T603" s="294">
        <f t="shared" si="238"/>
        <v>52800</v>
      </c>
    </row>
    <row r="604" spans="2:20" x14ac:dyDescent="0.3">
      <c r="B604" s="272">
        <f t="shared" si="239"/>
        <v>78</v>
      </c>
      <c r="C604" s="288" t="s">
        <v>174</v>
      </c>
      <c r="D604" s="288" t="str">
        <f t="shared" si="240"/>
        <v>Sep-25</v>
      </c>
      <c r="E604" s="272" t="s">
        <v>472</v>
      </c>
      <c r="F604" s="273">
        <v>45926</v>
      </c>
      <c r="H604" s="272" t="s">
        <v>330</v>
      </c>
      <c r="J604" s="384" t="s">
        <v>1117</v>
      </c>
      <c r="L604" s="272" t="s">
        <v>1918</v>
      </c>
      <c r="R604" s="391">
        <v>1</v>
      </c>
      <c r="S604" s="305">
        <v>17000</v>
      </c>
      <c r="T604" s="294">
        <f t="shared" si="238"/>
        <v>17000</v>
      </c>
    </row>
    <row r="605" spans="2:20" x14ac:dyDescent="0.3">
      <c r="B605" s="272">
        <f t="shared" si="239"/>
        <v>79</v>
      </c>
      <c r="C605" s="288" t="s">
        <v>174</v>
      </c>
      <c r="D605" s="288" t="str">
        <f t="shared" si="240"/>
        <v>Sep-25</v>
      </c>
      <c r="E605" s="272" t="s">
        <v>472</v>
      </c>
      <c r="F605" s="273">
        <v>45926</v>
      </c>
      <c r="H605" s="272" t="s">
        <v>330</v>
      </c>
      <c r="J605" s="384" t="s">
        <v>1917</v>
      </c>
      <c r="L605" s="272" t="s">
        <v>1919</v>
      </c>
      <c r="R605" s="391">
        <v>1</v>
      </c>
      <c r="S605" s="305">
        <v>58210</v>
      </c>
      <c r="T605" s="294">
        <f t="shared" si="238"/>
        <v>58210</v>
      </c>
    </row>
    <row r="606" spans="2:20" x14ac:dyDescent="0.3">
      <c r="B606" s="272">
        <f t="shared" si="239"/>
        <v>80</v>
      </c>
      <c r="C606" s="288" t="s">
        <v>174</v>
      </c>
      <c r="D606" s="288" t="str">
        <f t="shared" si="240"/>
        <v>Oct-25</v>
      </c>
      <c r="E606" s="272" t="s">
        <v>472</v>
      </c>
      <c r="F606" s="273">
        <v>45931</v>
      </c>
      <c r="G606" s="272" t="s">
        <v>329</v>
      </c>
      <c r="H606" s="272" t="s">
        <v>1433</v>
      </c>
      <c r="J606" s="384" t="s">
        <v>1972</v>
      </c>
      <c r="L606" s="272" t="s">
        <v>1973</v>
      </c>
      <c r="R606" s="391">
        <v>1</v>
      </c>
      <c r="S606" s="305">
        <v>392128.75</v>
      </c>
      <c r="T606" s="294">
        <f t="shared" si="238"/>
        <v>392128.75</v>
      </c>
    </row>
    <row r="607" spans="2:20" x14ac:dyDescent="0.3">
      <c r="B607" s="272">
        <f t="shared" si="239"/>
        <v>81</v>
      </c>
      <c r="C607" s="288" t="s">
        <v>174</v>
      </c>
      <c r="D607" s="288" t="str">
        <f t="shared" si="240"/>
        <v>Oct-25</v>
      </c>
      <c r="E607" s="272" t="s">
        <v>472</v>
      </c>
      <c r="F607" s="273">
        <v>45931</v>
      </c>
      <c r="G607" s="272" t="s">
        <v>329</v>
      </c>
      <c r="H607" s="272" t="s">
        <v>1433</v>
      </c>
      <c r="J607" s="384" t="s">
        <v>1974</v>
      </c>
      <c r="L607" s="272" t="s">
        <v>1975</v>
      </c>
      <c r="R607" s="391">
        <v>1</v>
      </c>
      <c r="S607" s="305">
        <v>296282.75</v>
      </c>
      <c r="T607" s="294">
        <f t="shared" si="238"/>
        <v>296282.75</v>
      </c>
    </row>
    <row r="608" spans="2:20" x14ac:dyDescent="0.3">
      <c r="B608" s="272">
        <f t="shared" si="239"/>
        <v>82</v>
      </c>
      <c r="C608" s="288" t="s">
        <v>174</v>
      </c>
      <c r="D608" s="288" t="str">
        <f t="shared" si="240"/>
        <v>Oct-25</v>
      </c>
      <c r="E608" s="272" t="s">
        <v>472</v>
      </c>
      <c r="F608" s="273">
        <v>45943</v>
      </c>
      <c r="H608" s="272" t="s">
        <v>250</v>
      </c>
      <c r="J608" s="384" t="s">
        <v>2130</v>
      </c>
      <c r="L608" s="272" t="s">
        <v>2134</v>
      </c>
      <c r="R608" s="391">
        <v>1</v>
      </c>
      <c r="S608" s="305">
        <v>286838</v>
      </c>
      <c r="T608" s="294">
        <f t="shared" si="238"/>
        <v>286838</v>
      </c>
    </row>
    <row r="609" spans="2:20" x14ac:dyDescent="0.3">
      <c r="B609" s="272">
        <f t="shared" si="239"/>
        <v>83</v>
      </c>
      <c r="C609" s="288" t="s">
        <v>174</v>
      </c>
      <c r="D609" s="288" t="str">
        <f t="shared" si="240"/>
        <v>Oct-25</v>
      </c>
      <c r="E609" s="272" t="s">
        <v>472</v>
      </c>
      <c r="F609" s="273">
        <v>45943</v>
      </c>
      <c r="H609" s="272" t="s">
        <v>330</v>
      </c>
      <c r="J609" s="384" t="s">
        <v>2131</v>
      </c>
      <c r="L609" s="272" t="s">
        <v>2135</v>
      </c>
      <c r="R609" s="391">
        <v>1</v>
      </c>
      <c r="S609" s="305">
        <v>38570</v>
      </c>
      <c r="T609" s="294">
        <f t="shared" si="238"/>
        <v>38570</v>
      </c>
    </row>
    <row r="610" spans="2:20" x14ac:dyDescent="0.3">
      <c r="B610" s="272">
        <f t="shared" si="239"/>
        <v>84</v>
      </c>
      <c r="C610" s="288" t="s">
        <v>174</v>
      </c>
      <c r="D610" s="288" t="str">
        <f t="shared" si="240"/>
        <v>Oct-25</v>
      </c>
      <c r="E610" s="272" t="s">
        <v>472</v>
      </c>
      <c r="F610" s="273">
        <v>45943</v>
      </c>
      <c r="H610" s="272" t="s">
        <v>330</v>
      </c>
      <c r="J610" s="384" t="s">
        <v>2132</v>
      </c>
      <c r="L610" s="272" t="s">
        <v>2136</v>
      </c>
      <c r="R610" s="391">
        <v>1</v>
      </c>
      <c r="S610" s="305">
        <v>101125</v>
      </c>
      <c r="T610" s="294">
        <f t="shared" si="238"/>
        <v>101125</v>
      </c>
    </row>
    <row r="611" spans="2:20" x14ac:dyDescent="0.3">
      <c r="B611" s="272">
        <f t="shared" si="239"/>
        <v>85</v>
      </c>
      <c r="C611" s="288" t="s">
        <v>174</v>
      </c>
      <c r="D611" s="288" t="str">
        <f t="shared" si="240"/>
        <v>Oct-25</v>
      </c>
      <c r="E611" s="272" t="s">
        <v>472</v>
      </c>
      <c r="F611" s="273">
        <v>45943</v>
      </c>
      <c r="H611" s="272" t="s">
        <v>330</v>
      </c>
      <c r="J611" s="384" t="s">
        <v>1748</v>
      </c>
      <c r="L611" s="272" t="s">
        <v>2137</v>
      </c>
      <c r="R611" s="391">
        <v>1</v>
      </c>
      <c r="S611" s="305">
        <v>20000</v>
      </c>
      <c r="T611" s="294">
        <f t="shared" si="238"/>
        <v>20000</v>
      </c>
    </row>
    <row r="612" spans="2:20" x14ac:dyDescent="0.3">
      <c r="B612" s="272">
        <f t="shared" si="239"/>
        <v>86</v>
      </c>
      <c r="C612" s="288" t="s">
        <v>174</v>
      </c>
      <c r="D612" s="288" t="str">
        <f t="shared" si="240"/>
        <v>Oct-25</v>
      </c>
      <c r="E612" s="272" t="s">
        <v>472</v>
      </c>
      <c r="F612" s="273">
        <v>45943</v>
      </c>
      <c r="H612" s="272" t="s">
        <v>330</v>
      </c>
      <c r="J612" s="384" t="s">
        <v>1434</v>
      </c>
      <c r="L612" s="272" t="s">
        <v>2138</v>
      </c>
      <c r="R612" s="391">
        <v>1</v>
      </c>
      <c r="S612" s="305">
        <v>109000</v>
      </c>
      <c r="T612" s="294">
        <f t="shared" si="238"/>
        <v>109000</v>
      </c>
    </row>
    <row r="613" spans="2:20" x14ac:dyDescent="0.3">
      <c r="B613" s="272">
        <f t="shared" si="239"/>
        <v>87</v>
      </c>
      <c r="C613" s="288" t="s">
        <v>174</v>
      </c>
      <c r="D613" s="288" t="str">
        <f t="shared" si="240"/>
        <v>Oct-25</v>
      </c>
      <c r="E613" s="272" t="s">
        <v>472</v>
      </c>
      <c r="F613" s="273">
        <v>45943</v>
      </c>
      <c r="H613" s="272" t="s">
        <v>330</v>
      </c>
      <c r="J613" s="384" t="s">
        <v>2133</v>
      </c>
      <c r="L613" s="272" t="s">
        <v>2139</v>
      </c>
      <c r="R613" s="391">
        <v>1</v>
      </c>
      <c r="S613" s="305">
        <v>54394</v>
      </c>
      <c r="T613" s="294">
        <f t="shared" si="238"/>
        <v>54394</v>
      </c>
    </row>
    <row r="614" spans="2:20" x14ac:dyDescent="0.3">
      <c r="B614" s="272">
        <f t="shared" si="239"/>
        <v>88</v>
      </c>
      <c r="C614" s="288" t="s">
        <v>174</v>
      </c>
      <c r="D614" s="288" t="str">
        <f t="shared" si="240"/>
        <v>Nov-25</v>
      </c>
      <c r="E614" s="272" t="s">
        <v>472</v>
      </c>
      <c r="F614" s="273">
        <v>45963</v>
      </c>
      <c r="H614" s="272" t="s">
        <v>1433</v>
      </c>
      <c r="J614" s="384" t="s">
        <v>2279</v>
      </c>
      <c r="L614" s="272" t="s">
        <v>2281</v>
      </c>
      <c r="R614" s="391">
        <v>1</v>
      </c>
      <c r="S614" s="305">
        <v>318829</v>
      </c>
      <c r="T614" s="294">
        <f t="shared" si="238"/>
        <v>318829</v>
      </c>
    </row>
    <row r="615" spans="2:20" x14ac:dyDescent="0.3">
      <c r="B615" s="272">
        <f t="shared" si="239"/>
        <v>89</v>
      </c>
      <c r="C615" s="288" t="s">
        <v>174</v>
      </c>
      <c r="D615" s="288" t="str">
        <f t="shared" si="240"/>
        <v>Nov-25</v>
      </c>
      <c r="E615" s="272" t="s">
        <v>472</v>
      </c>
      <c r="F615" s="273">
        <v>45963</v>
      </c>
      <c r="H615" s="272" t="s">
        <v>1433</v>
      </c>
      <c r="J615" s="384" t="s">
        <v>2280</v>
      </c>
      <c r="L615" s="272" t="s">
        <v>2282</v>
      </c>
      <c r="R615" s="391">
        <v>1</v>
      </c>
      <c r="S615" s="305">
        <v>71222.5</v>
      </c>
      <c r="T615" s="294">
        <f t="shared" si="238"/>
        <v>71222.5</v>
      </c>
    </row>
    <row r="616" spans="2:20" x14ac:dyDescent="0.3">
      <c r="B616" s="272">
        <f t="shared" si="239"/>
        <v>90</v>
      </c>
      <c r="C616" s="288" t="s">
        <v>174</v>
      </c>
      <c r="D616" s="288" t="str">
        <f t="shared" si="240"/>
        <v>Nov-25</v>
      </c>
      <c r="E616" s="272" t="s">
        <v>472</v>
      </c>
      <c r="F616" s="273">
        <v>45979</v>
      </c>
      <c r="G616" s="272" t="s">
        <v>329</v>
      </c>
      <c r="H616" s="272" t="s">
        <v>330</v>
      </c>
      <c r="J616" s="384" t="s">
        <v>1082</v>
      </c>
      <c r="L616" s="272" t="s">
        <v>2314</v>
      </c>
      <c r="R616" s="391">
        <v>1</v>
      </c>
      <c r="S616" s="305">
        <v>63688</v>
      </c>
      <c r="T616" s="294">
        <f t="shared" si="238"/>
        <v>63688</v>
      </c>
    </row>
    <row r="617" spans="2:20" x14ac:dyDescent="0.3">
      <c r="B617" s="272">
        <f t="shared" si="239"/>
        <v>91</v>
      </c>
      <c r="C617" s="288" t="s">
        <v>174</v>
      </c>
      <c r="D617" s="288" t="str">
        <f t="shared" si="240"/>
        <v>Nov-25</v>
      </c>
      <c r="E617" s="272" t="s">
        <v>472</v>
      </c>
      <c r="F617" s="273">
        <v>45979</v>
      </c>
      <c r="G617" s="272" t="s">
        <v>329</v>
      </c>
      <c r="H617" s="272" t="s">
        <v>330</v>
      </c>
      <c r="J617" s="384" t="s">
        <v>2309</v>
      </c>
      <c r="L617" s="272" t="s">
        <v>2315</v>
      </c>
      <c r="R617" s="391">
        <v>1</v>
      </c>
      <c r="S617" s="305">
        <v>30205</v>
      </c>
      <c r="T617" s="294">
        <f t="shared" si="238"/>
        <v>30205</v>
      </c>
    </row>
    <row r="618" spans="2:20" x14ac:dyDescent="0.3">
      <c r="B618" s="272">
        <f t="shared" si="239"/>
        <v>92</v>
      </c>
      <c r="C618" s="288" t="s">
        <v>174</v>
      </c>
      <c r="D618" s="288" t="str">
        <f t="shared" si="240"/>
        <v>Nov-25</v>
      </c>
      <c r="E618" s="272" t="s">
        <v>472</v>
      </c>
      <c r="F618" s="273">
        <v>45979</v>
      </c>
      <c r="G618" s="272" t="s">
        <v>329</v>
      </c>
      <c r="H618" s="272" t="s">
        <v>330</v>
      </c>
      <c r="J618" s="384" t="s">
        <v>2310</v>
      </c>
      <c r="L618" s="272" t="s">
        <v>2316</v>
      </c>
      <c r="R618" s="391">
        <v>1</v>
      </c>
      <c r="S618" s="305">
        <v>5000</v>
      </c>
      <c r="T618" s="294">
        <f t="shared" si="238"/>
        <v>5000</v>
      </c>
    </row>
    <row r="619" spans="2:20" x14ac:dyDescent="0.3">
      <c r="B619" s="272">
        <f t="shared" si="239"/>
        <v>93</v>
      </c>
      <c r="C619" s="288" t="s">
        <v>174</v>
      </c>
      <c r="D619" s="288" t="str">
        <f t="shared" si="240"/>
        <v>Nov-25</v>
      </c>
      <c r="E619" s="272" t="s">
        <v>472</v>
      </c>
      <c r="F619" s="273">
        <v>45979</v>
      </c>
      <c r="G619" s="272" t="s">
        <v>329</v>
      </c>
      <c r="H619" s="272" t="s">
        <v>330</v>
      </c>
      <c r="J619" s="384" t="s">
        <v>2311</v>
      </c>
      <c r="L619" s="272" t="s">
        <v>2317</v>
      </c>
      <c r="R619" s="391">
        <v>1</v>
      </c>
      <c r="S619" s="305">
        <v>86331</v>
      </c>
      <c r="T619" s="294">
        <f t="shared" si="238"/>
        <v>86331</v>
      </c>
    </row>
    <row r="620" spans="2:20" x14ac:dyDescent="0.3">
      <c r="B620" s="272">
        <f t="shared" si="239"/>
        <v>94</v>
      </c>
      <c r="C620" s="288" t="s">
        <v>174</v>
      </c>
      <c r="D620" s="288" t="str">
        <f t="shared" si="240"/>
        <v>Nov-25</v>
      </c>
      <c r="E620" s="272" t="s">
        <v>472</v>
      </c>
      <c r="F620" s="273">
        <v>45979</v>
      </c>
      <c r="G620" s="272" t="s">
        <v>329</v>
      </c>
      <c r="H620" s="272" t="s">
        <v>330</v>
      </c>
      <c r="J620" s="384" t="s">
        <v>2312</v>
      </c>
      <c r="L620" s="272" t="s">
        <v>2318</v>
      </c>
      <c r="R620" s="391">
        <v>1</v>
      </c>
      <c r="S620" s="305">
        <v>118500</v>
      </c>
      <c r="T620" s="294">
        <f t="shared" si="238"/>
        <v>118500</v>
      </c>
    </row>
    <row r="621" spans="2:20" x14ac:dyDescent="0.3">
      <c r="B621" s="272">
        <f t="shared" si="239"/>
        <v>95</v>
      </c>
      <c r="C621" s="288" t="s">
        <v>174</v>
      </c>
      <c r="D621" s="288" t="str">
        <f t="shared" si="240"/>
        <v>Nov-25</v>
      </c>
      <c r="E621" s="272" t="s">
        <v>472</v>
      </c>
      <c r="F621" s="273">
        <v>45979</v>
      </c>
      <c r="G621" s="272" t="s">
        <v>329</v>
      </c>
      <c r="H621" s="272" t="s">
        <v>330</v>
      </c>
      <c r="J621" s="384" t="s">
        <v>2313</v>
      </c>
      <c r="L621" s="272" t="s">
        <v>2319</v>
      </c>
      <c r="R621" s="391">
        <v>1</v>
      </c>
      <c r="S621" s="305">
        <v>28555</v>
      </c>
      <c r="T621" s="294">
        <f t="shared" si="238"/>
        <v>28555</v>
      </c>
    </row>
    <row r="622" spans="2:20" x14ac:dyDescent="0.3">
      <c r="B622" s="272">
        <f t="shared" si="239"/>
        <v>96</v>
      </c>
      <c r="C622" s="288" t="s">
        <v>174</v>
      </c>
      <c r="D622" s="288" t="str">
        <f t="shared" si="240"/>
        <v>Nov-25</v>
      </c>
      <c r="E622" s="272" t="s">
        <v>472</v>
      </c>
      <c r="F622" s="273">
        <v>45979</v>
      </c>
      <c r="G622" s="272" t="s">
        <v>329</v>
      </c>
      <c r="H622" s="272" t="s">
        <v>330</v>
      </c>
      <c r="J622" s="384" t="s">
        <v>1749</v>
      </c>
      <c r="L622" s="272" t="s">
        <v>2320</v>
      </c>
      <c r="R622" s="391">
        <v>1</v>
      </c>
      <c r="S622" s="305">
        <v>73770</v>
      </c>
      <c r="T622" s="294">
        <f t="shared" si="238"/>
        <v>73770</v>
      </c>
    </row>
    <row r="623" spans="2:20" x14ac:dyDescent="0.3">
      <c r="B623" s="272">
        <f t="shared" si="239"/>
        <v>97</v>
      </c>
      <c r="C623" s="288" t="s">
        <v>174</v>
      </c>
      <c r="D623" s="288" t="str">
        <f t="shared" si="240"/>
        <v>Nov-25</v>
      </c>
      <c r="E623" s="272" t="s">
        <v>472</v>
      </c>
      <c r="F623" s="273">
        <v>45976</v>
      </c>
      <c r="H623" s="272" t="s">
        <v>2325</v>
      </c>
      <c r="J623" s="384" t="s">
        <v>2323</v>
      </c>
      <c r="L623" s="272" t="s">
        <v>2321</v>
      </c>
      <c r="R623" s="391">
        <v>25140</v>
      </c>
      <c r="S623" s="305">
        <v>0.2</v>
      </c>
      <c r="T623" s="294">
        <f t="shared" si="238"/>
        <v>5028</v>
      </c>
    </row>
    <row r="624" spans="2:20" x14ac:dyDescent="0.3">
      <c r="B624" s="272">
        <f t="shared" si="239"/>
        <v>98</v>
      </c>
      <c r="C624" s="288" t="s">
        <v>174</v>
      </c>
      <c r="D624" s="288" t="str">
        <f t="shared" si="240"/>
        <v>Nov-25</v>
      </c>
      <c r="E624" s="272" t="s">
        <v>472</v>
      </c>
      <c r="F624" s="273">
        <v>45978</v>
      </c>
      <c r="H624" s="272" t="s">
        <v>250</v>
      </c>
      <c r="J624" s="384" t="s">
        <v>2324</v>
      </c>
      <c r="L624" s="272" t="s">
        <v>2322</v>
      </c>
      <c r="R624" s="391">
        <v>1</v>
      </c>
      <c r="S624" s="305">
        <v>251683</v>
      </c>
      <c r="T624" s="294">
        <f t="shared" si="238"/>
        <v>251683</v>
      </c>
    </row>
    <row r="625" spans="2:20" x14ac:dyDescent="0.3">
      <c r="B625" s="272">
        <f t="shared" si="239"/>
        <v>99</v>
      </c>
      <c r="C625" s="288" t="s">
        <v>174</v>
      </c>
      <c r="D625" s="288" t="str">
        <f t="shared" si="240"/>
        <v>Dec-25</v>
      </c>
      <c r="E625" s="272" t="s">
        <v>472</v>
      </c>
      <c r="F625" s="273">
        <v>46006</v>
      </c>
      <c r="H625" s="272" t="s">
        <v>1433</v>
      </c>
      <c r="L625" s="272" t="s">
        <v>2359</v>
      </c>
      <c r="R625" s="391">
        <v>1</v>
      </c>
      <c r="S625" s="305">
        <v>435832</v>
      </c>
      <c r="T625" s="294">
        <f t="shared" si="238"/>
        <v>435832</v>
      </c>
    </row>
    <row r="626" spans="2:20" x14ac:dyDescent="0.3">
      <c r="B626" s="272">
        <f t="shared" si="239"/>
        <v>100</v>
      </c>
      <c r="C626" s="288" t="s">
        <v>174</v>
      </c>
      <c r="D626" s="288" t="str">
        <f t="shared" si="240"/>
        <v>Dec-25</v>
      </c>
      <c r="E626" s="272" t="s">
        <v>472</v>
      </c>
      <c r="F626" s="273">
        <v>46010</v>
      </c>
      <c r="H626" s="272" t="s">
        <v>2358</v>
      </c>
      <c r="L626" s="272" t="s">
        <v>2360</v>
      </c>
      <c r="R626" s="391">
        <v>1</v>
      </c>
      <c r="S626" s="305">
        <v>6314</v>
      </c>
      <c r="T626" s="294">
        <f t="shared" si="238"/>
        <v>6314</v>
      </c>
    </row>
    <row r="627" spans="2:20" x14ac:dyDescent="0.3">
      <c r="B627" s="272">
        <f t="shared" si="239"/>
        <v>101</v>
      </c>
      <c r="C627" s="288" t="s">
        <v>174</v>
      </c>
      <c r="D627" s="288" t="str">
        <f t="shared" si="240"/>
        <v>Dec-25</v>
      </c>
      <c r="E627" s="272" t="s">
        <v>472</v>
      </c>
      <c r="F627" s="273">
        <v>46018</v>
      </c>
      <c r="G627" s="272" t="s">
        <v>2349</v>
      </c>
      <c r="H627" s="272" t="s">
        <v>2390</v>
      </c>
      <c r="J627" s="384" t="s">
        <v>2392</v>
      </c>
      <c r="L627" s="272" t="s">
        <v>2393</v>
      </c>
      <c r="R627" s="391">
        <v>1</v>
      </c>
      <c r="S627" s="305">
        <v>27500</v>
      </c>
      <c r="T627" s="294">
        <f t="shared" si="238"/>
        <v>27500</v>
      </c>
    </row>
    <row r="628" spans="2:20" x14ac:dyDescent="0.3">
      <c r="B628" s="272">
        <f t="shared" si="239"/>
        <v>102</v>
      </c>
      <c r="C628" s="288" t="s">
        <v>174</v>
      </c>
      <c r="D628" s="288" t="str">
        <f t="shared" si="240"/>
        <v>Dec-25</v>
      </c>
      <c r="E628" s="272" t="s">
        <v>472</v>
      </c>
      <c r="F628" s="273">
        <v>46017</v>
      </c>
      <c r="G628" s="272" t="s">
        <v>329</v>
      </c>
      <c r="H628" s="272" t="s">
        <v>2391</v>
      </c>
      <c r="J628" s="384" t="s">
        <v>1067</v>
      </c>
      <c r="L628" s="272" t="s">
        <v>2394</v>
      </c>
      <c r="R628" s="391">
        <v>1</v>
      </c>
      <c r="S628" s="305">
        <v>11600</v>
      </c>
      <c r="T628" s="294">
        <f t="shared" si="238"/>
        <v>11600</v>
      </c>
    </row>
    <row r="629" spans="2:20" x14ac:dyDescent="0.3">
      <c r="B629" s="272">
        <f t="shared" si="239"/>
        <v>103</v>
      </c>
      <c r="C629" s="288" t="s">
        <v>174</v>
      </c>
      <c r="D629" s="288" t="str">
        <f t="shared" si="240"/>
        <v>Dec-25</v>
      </c>
      <c r="E629" s="272" t="s">
        <v>472</v>
      </c>
      <c r="F629" s="273">
        <v>46020</v>
      </c>
      <c r="G629" s="272" t="s">
        <v>2368</v>
      </c>
      <c r="H629" s="272" t="s">
        <v>2415</v>
      </c>
      <c r="J629" s="384" t="s">
        <v>2416</v>
      </c>
      <c r="L629" s="272" t="s">
        <v>2418</v>
      </c>
      <c r="R629" s="391">
        <v>1</v>
      </c>
      <c r="S629" s="305">
        <v>30000</v>
      </c>
      <c r="T629" s="294">
        <f t="shared" si="238"/>
        <v>30000</v>
      </c>
    </row>
    <row r="630" spans="2:20" x14ac:dyDescent="0.3">
      <c r="B630" s="272">
        <f t="shared" si="239"/>
        <v>104</v>
      </c>
      <c r="C630" s="288" t="s">
        <v>174</v>
      </c>
      <c r="D630" s="288" t="str">
        <f t="shared" si="240"/>
        <v>Dec-25</v>
      </c>
      <c r="E630" s="272" t="s">
        <v>472</v>
      </c>
      <c r="F630" s="273">
        <v>46022</v>
      </c>
      <c r="G630" s="272" t="s">
        <v>329</v>
      </c>
      <c r="H630" s="272" t="s">
        <v>2391</v>
      </c>
      <c r="J630" s="384" t="s">
        <v>1073</v>
      </c>
      <c r="L630" s="272" t="s">
        <v>2419</v>
      </c>
      <c r="R630" s="391">
        <v>1</v>
      </c>
      <c r="S630" s="305">
        <v>21600</v>
      </c>
      <c r="T630" s="294">
        <f t="shared" si="238"/>
        <v>21600</v>
      </c>
    </row>
    <row r="631" spans="2:20" x14ac:dyDescent="0.3">
      <c r="B631" s="272">
        <f t="shared" si="239"/>
        <v>105</v>
      </c>
      <c r="C631" s="288" t="s">
        <v>174</v>
      </c>
      <c r="D631" s="288" t="str">
        <f t="shared" si="240"/>
        <v>Dec-25</v>
      </c>
      <c r="E631" s="272" t="s">
        <v>472</v>
      </c>
      <c r="F631" s="273">
        <v>46022</v>
      </c>
      <c r="G631" s="272" t="s">
        <v>2414</v>
      </c>
      <c r="H631" s="272" t="s">
        <v>196</v>
      </c>
      <c r="J631" s="384" t="s">
        <v>2417</v>
      </c>
      <c r="L631" s="272" t="s">
        <v>2420</v>
      </c>
      <c r="R631" s="391">
        <v>35215</v>
      </c>
      <c r="S631" s="305">
        <v>3.2730000000000001</v>
      </c>
      <c r="T631" s="294">
        <f t="shared" si="238"/>
        <v>115258.69500000001</v>
      </c>
    </row>
    <row r="632" spans="2:20" x14ac:dyDescent="0.3">
      <c r="B632" s="272">
        <f t="shared" si="239"/>
        <v>106</v>
      </c>
      <c r="C632" s="288" t="s">
        <v>174</v>
      </c>
      <c r="D632" s="288" t="str">
        <f t="shared" si="240"/>
        <v>Jan-26</v>
      </c>
      <c r="E632" s="272" t="s">
        <v>472</v>
      </c>
      <c r="F632" s="273">
        <v>46029</v>
      </c>
      <c r="G632" s="272" t="s">
        <v>329</v>
      </c>
      <c r="H632" s="272" t="s">
        <v>2391</v>
      </c>
      <c r="J632" s="384" t="s">
        <v>922</v>
      </c>
      <c r="L632" s="272" t="s">
        <v>2563</v>
      </c>
      <c r="R632" s="391">
        <v>1</v>
      </c>
      <c r="S632" s="305">
        <v>17600</v>
      </c>
      <c r="T632" s="294">
        <f t="shared" si="238"/>
        <v>17600</v>
      </c>
    </row>
    <row r="633" spans="2:20" x14ac:dyDescent="0.3">
      <c r="B633" s="272">
        <f t="shared" si="239"/>
        <v>107</v>
      </c>
      <c r="C633" s="288" t="s">
        <v>174</v>
      </c>
      <c r="D633" s="288" t="str">
        <f t="shared" si="240"/>
        <v>Jan-26</v>
      </c>
      <c r="E633" s="272" t="s">
        <v>472</v>
      </c>
      <c r="F633" s="273">
        <v>46035</v>
      </c>
      <c r="G633" s="272" t="s">
        <v>329</v>
      </c>
      <c r="H633" s="272" t="s">
        <v>2391</v>
      </c>
      <c r="J633" s="384" t="s">
        <v>1531</v>
      </c>
      <c r="L633" s="272" t="s">
        <v>2588</v>
      </c>
      <c r="R633" s="391">
        <v>1</v>
      </c>
      <c r="S633" s="305">
        <v>13200</v>
      </c>
      <c r="T633" s="294">
        <f t="shared" si="238"/>
        <v>13200</v>
      </c>
    </row>
    <row r="634" spans="2:20" x14ac:dyDescent="0.3">
      <c r="B634" s="272">
        <f t="shared" si="239"/>
        <v>108</v>
      </c>
      <c r="C634" s="288" t="s">
        <v>174</v>
      </c>
      <c r="D634" s="288" t="str">
        <f t="shared" si="240"/>
        <v>Dec-25</v>
      </c>
      <c r="E634" s="272" t="s">
        <v>472</v>
      </c>
      <c r="F634" s="273">
        <v>46010</v>
      </c>
      <c r="G634" s="272" t="s">
        <v>2352</v>
      </c>
      <c r="H634" s="272" t="s">
        <v>2415</v>
      </c>
      <c r="J634" s="384" t="s">
        <v>2430</v>
      </c>
      <c r="L634" s="272" t="s">
        <v>2431</v>
      </c>
      <c r="R634" s="391">
        <v>1</v>
      </c>
      <c r="S634" s="305">
        <v>30000</v>
      </c>
      <c r="T634" s="294">
        <f t="shared" si="238"/>
        <v>30000</v>
      </c>
    </row>
    <row r="635" spans="2:20" x14ac:dyDescent="0.3">
      <c r="B635" s="272">
        <f t="shared" si="239"/>
        <v>109</v>
      </c>
      <c r="C635" s="288" t="s">
        <v>174</v>
      </c>
      <c r="D635" s="288" t="str">
        <f t="shared" si="240"/>
        <v>Jan-26</v>
      </c>
      <c r="E635" s="272" t="s">
        <v>472</v>
      </c>
      <c r="F635" s="273">
        <v>46035</v>
      </c>
      <c r="G635" s="272" t="s">
        <v>2581</v>
      </c>
      <c r="H635" s="272" t="s">
        <v>196</v>
      </c>
      <c r="J635" s="384" t="s">
        <v>2583</v>
      </c>
      <c r="L635" s="272" t="s">
        <v>2587</v>
      </c>
      <c r="R635" s="391">
        <v>10510</v>
      </c>
      <c r="S635" s="305">
        <v>2.39</v>
      </c>
      <c r="T635" s="294">
        <f t="shared" si="238"/>
        <v>25118.9</v>
      </c>
    </row>
    <row r="636" spans="2:20" x14ac:dyDescent="0.3">
      <c r="B636" s="272">
        <f t="shared" si="239"/>
        <v>110</v>
      </c>
      <c r="C636" s="288" t="s">
        <v>174</v>
      </c>
      <c r="D636" s="288" t="str">
        <f t="shared" si="240"/>
        <v>Jan-26</v>
      </c>
      <c r="E636" s="272" t="s">
        <v>472</v>
      </c>
      <c r="F636" s="273">
        <v>46027</v>
      </c>
      <c r="G636" s="272" t="s">
        <v>329</v>
      </c>
      <c r="H636" s="272" t="s">
        <v>2358</v>
      </c>
      <c r="J636" s="384" t="s">
        <v>2553</v>
      </c>
      <c r="L636" s="272" t="s">
        <v>2559</v>
      </c>
      <c r="R636" s="391">
        <v>1</v>
      </c>
      <c r="S636" s="305">
        <v>402</v>
      </c>
      <c r="T636" s="294">
        <f t="shared" si="238"/>
        <v>402</v>
      </c>
    </row>
    <row r="637" spans="2:20" x14ac:dyDescent="0.3">
      <c r="B637" s="272">
        <f t="shared" si="239"/>
        <v>111</v>
      </c>
      <c r="C637" s="288" t="s">
        <v>174</v>
      </c>
      <c r="D637" s="288" t="str">
        <f t="shared" si="240"/>
        <v>Jan-26</v>
      </c>
      <c r="E637" s="272" t="s">
        <v>472</v>
      </c>
      <c r="F637" s="273">
        <v>46027</v>
      </c>
      <c r="G637" s="272" t="s">
        <v>329</v>
      </c>
      <c r="H637" s="272" t="s">
        <v>2358</v>
      </c>
      <c r="J637" s="384" t="s">
        <v>2554</v>
      </c>
      <c r="L637" s="272" t="s">
        <v>2560</v>
      </c>
      <c r="R637" s="391">
        <v>1</v>
      </c>
      <c r="S637" s="305">
        <v>1050</v>
      </c>
      <c r="T637" s="294">
        <f t="shared" si="238"/>
        <v>1050</v>
      </c>
    </row>
    <row r="638" spans="2:20" x14ac:dyDescent="0.3">
      <c r="B638" s="272">
        <f t="shared" si="239"/>
        <v>112</v>
      </c>
      <c r="C638" s="288" t="s">
        <v>174</v>
      </c>
      <c r="D638" s="288" t="str">
        <f t="shared" si="240"/>
        <v>Jan-26</v>
      </c>
      <c r="E638" s="272" t="s">
        <v>472</v>
      </c>
      <c r="F638" s="273">
        <v>46024</v>
      </c>
      <c r="G638" s="272" t="s">
        <v>2366</v>
      </c>
      <c r="H638" s="272" t="s">
        <v>2415</v>
      </c>
      <c r="J638" s="384" t="s">
        <v>2426</v>
      </c>
      <c r="L638" s="272" t="s">
        <v>2428</v>
      </c>
      <c r="R638" s="391">
        <v>1</v>
      </c>
      <c r="S638" s="305">
        <v>30000</v>
      </c>
      <c r="T638" s="294">
        <f t="shared" si="238"/>
        <v>30000</v>
      </c>
    </row>
    <row r="639" spans="2:20" x14ac:dyDescent="0.3">
      <c r="B639" s="272">
        <f t="shared" si="239"/>
        <v>113</v>
      </c>
      <c r="C639" s="288" t="s">
        <v>174</v>
      </c>
      <c r="D639" s="288" t="str">
        <f t="shared" si="240"/>
        <v>Jan-26</v>
      </c>
      <c r="E639" s="272" t="s">
        <v>472</v>
      </c>
      <c r="F639" s="273">
        <v>46024</v>
      </c>
      <c r="G639" s="272" t="s">
        <v>2367</v>
      </c>
      <c r="H639" s="272" t="s">
        <v>2415</v>
      </c>
      <c r="J639" s="384" t="s">
        <v>2427</v>
      </c>
      <c r="L639" s="272" t="s">
        <v>2429</v>
      </c>
      <c r="R639" s="391">
        <v>1</v>
      </c>
      <c r="S639" s="305">
        <v>30000</v>
      </c>
      <c r="T639" s="294">
        <f t="shared" si="238"/>
        <v>30000</v>
      </c>
    </row>
    <row r="640" spans="2:20" x14ac:dyDescent="0.3">
      <c r="B640" s="272">
        <f t="shared" si="239"/>
        <v>114</v>
      </c>
      <c r="C640" s="288" t="s">
        <v>174</v>
      </c>
      <c r="D640" s="288" t="str">
        <f t="shared" si="240"/>
        <v>Jan-26</v>
      </c>
      <c r="E640" s="272" t="s">
        <v>472</v>
      </c>
      <c r="F640" s="273">
        <v>46029</v>
      </c>
      <c r="G640" s="272" t="s">
        <v>2395</v>
      </c>
      <c r="H640" s="272" t="s">
        <v>2415</v>
      </c>
      <c r="J640" s="384" t="s">
        <v>2555</v>
      </c>
      <c r="L640" s="272" t="s">
        <v>2562</v>
      </c>
      <c r="R640" s="391">
        <v>1</v>
      </c>
      <c r="S640" s="305">
        <v>30000</v>
      </c>
      <c r="T640" s="294">
        <f t="shared" si="238"/>
        <v>30000</v>
      </c>
    </row>
    <row r="641" spans="2:20" x14ac:dyDescent="0.3">
      <c r="B641" s="272">
        <f t="shared" si="239"/>
        <v>115</v>
      </c>
      <c r="C641" s="288" t="s">
        <v>174</v>
      </c>
      <c r="D641" s="288" t="str">
        <f t="shared" si="240"/>
        <v>Jan-26</v>
      </c>
      <c r="E641" s="272" t="s">
        <v>472</v>
      </c>
      <c r="F641" s="273">
        <v>46029</v>
      </c>
      <c r="G641" s="272" t="s">
        <v>2383</v>
      </c>
      <c r="H641" s="272" t="s">
        <v>2415</v>
      </c>
      <c r="J641" s="384" t="s">
        <v>2556</v>
      </c>
      <c r="L641" s="272" t="s">
        <v>2564</v>
      </c>
      <c r="R641" s="391">
        <v>1</v>
      </c>
      <c r="S641" s="305">
        <v>30000</v>
      </c>
      <c r="T641" s="294">
        <f t="shared" si="238"/>
        <v>30000</v>
      </c>
    </row>
    <row r="642" spans="2:20" x14ac:dyDescent="0.3">
      <c r="B642" s="272">
        <f t="shared" si="239"/>
        <v>116</v>
      </c>
      <c r="C642" s="288" t="s">
        <v>174</v>
      </c>
      <c r="D642" s="288" t="str">
        <f t="shared" si="240"/>
        <v>Jan-26</v>
      </c>
      <c r="E642" s="272" t="s">
        <v>472</v>
      </c>
      <c r="F642" s="273">
        <v>46030</v>
      </c>
      <c r="G642" s="272" t="s">
        <v>2396</v>
      </c>
      <c r="H642" s="272" t="s">
        <v>2415</v>
      </c>
      <c r="J642" s="384" t="s">
        <v>2557</v>
      </c>
      <c r="L642" s="272" t="s">
        <v>2566</v>
      </c>
      <c r="R642" s="391">
        <v>1</v>
      </c>
      <c r="S642" s="305">
        <v>30000</v>
      </c>
      <c r="T642" s="294">
        <f t="shared" si="238"/>
        <v>30000</v>
      </c>
    </row>
    <row r="643" spans="2:20" x14ac:dyDescent="0.3">
      <c r="B643" s="272">
        <f t="shared" si="239"/>
        <v>117</v>
      </c>
      <c r="C643" s="288" t="s">
        <v>174</v>
      </c>
      <c r="D643" s="288" t="str">
        <f t="shared" si="240"/>
        <v>Jan-26</v>
      </c>
      <c r="E643" s="272" t="s">
        <v>472</v>
      </c>
      <c r="F643" s="273">
        <v>46030</v>
      </c>
      <c r="G643" s="272" t="s">
        <v>2397</v>
      </c>
      <c r="H643" s="272" t="s">
        <v>2415</v>
      </c>
      <c r="J643" s="384" t="s">
        <v>2558</v>
      </c>
      <c r="L643" s="272" t="s">
        <v>2567</v>
      </c>
      <c r="R643" s="391">
        <v>1</v>
      </c>
      <c r="S643" s="305">
        <v>30000</v>
      </c>
      <c r="T643" s="294">
        <f t="shared" si="238"/>
        <v>30000</v>
      </c>
    </row>
    <row r="644" spans="2:20" x14ac:dyDescent="0.3">
      <c r="B644" s="272">
        <f t="shared" si="239"/>
        <v>118</v>
      </c>
      <c r="C644" s="288" t="s">
        <v>174</v>
      </c>
      <c r="D644" s="288" t="str">
        <f t="shared" si="240"/>
        <v>Jan-26</v>
      </c>
      <c r="E644" s="272" t="s">
        <v>472</v>
      </c>
      <c r="F644" s="273">
        <v>46035</v>
      </c>
      <c r="G644" s="272" t="s">
        <v>2382</v>
      </c>
      <c r="H644" s="272" t="s">
        <v>2415</v>
      </c>
      <c r="J644" s="384" t="s">
        <v>2582</v>
      </c>
      <c r="L644" s="272" t="s">
        <v>2586</v>
      </c>
      <c r="R644" s="391">
        <v>1</v>
      </c>
      <c r="S644" s="305">
        <v>30000</v>
      </c>
      <c r="T644" s="294">
        <f t="shared" si="238"/>
        <v>30000</v>
      </c>
    </row>
    <row r="645" spans="2:20" x14ac:dyDescent="0.3">
      <c r="B645" s="272">
        <f t="shared" si="239"/>
        <v>119</v>
      </c>
      <c r="C645" s="288" t="s">
        <v>174</v>
      </c>
      <c r="D645" s="288" t="str">
        <f t="shared" si="240"/>
        <v>Jan-26</v>
      </c>
      <c r="E645" s="272" t="s">
        <v>472</v>
      </c>
      <c r="F645" s="273">
        <v>46036</v>
      </c>
      <c r="G645" s="272" t="s">
        <v>2398</v>
      </c>
      <c r="H645" s="272" t="s">
        <v>2415</v>
      </c>
      <c r="J645" s="384" t="s">
        <v>2584</v>
      </c>
      <c r="L645" s="272" t="s">
        <v>2589</v>
      </c>
      <c r="R645" s="391">
        <v>1</v>
      </c>
      <c r="S645" s="305">
        <v>30000</v>
      </c>
      <c r="T645" s="294">
        <f t="shared" si="238"/>
        <v>30000</v>
      </c>
    </row>
    <row r="646" spans="2:20" x14ac:dyDescent="0.3">
      <c r="B646" s="272">
        <f t="shared" si="239"/>
        <v>120</v>
      </c>
      <c r="C646" s="288" t="s">
        <v>174</v>
      </c>
      <c r="D646" s="288" t="str">
        <f t="shared" si="240"/>
        <v>Jan-26</v>
      </c>
      <c r="E646" s="272" t="s">
        <v>472</v>
      </c>
      <c r="F646" s="273">
        <v>46036</v>
      </c>
      <c r="G646" s="272" t="s">
        <v>2384</v>
      </c>
      <c r="H646" s="272" t="s">
        <v>2415</v>
      </c>
      <c r="J646" s="384" t="s">
        <v>2585</v>
      </c>
      <c r="L646" s="272" t="s">
        <v>2590</v>
      </c>
      <c r="R646" s="391">
        <v>1</v>
      </c>
      <c r="S646" s="305">
        <v>30000</v>
      </c>
      <c r="T646" s="294">
        <f t="shared" si="238"/>
        <v>30000</v>
      </c>
    </row>
    <row r="647" spans="2:20" x14ac:dyDescent="0.3">
      <c r="B647" s="272">
        <f t="shared" si="239"/>
        <v>121</v>
      </c>
      <c r="C647" s="288" t="s">
        <v>174</v>
      </c>
      <c r="D647" s="288" t="str">
        <f t="shared" si="240"/>
        <v>Jan-26</v>
      </c>
      <c r="E647" s="272" t="s">
        <v>472</v>
      </c>
      <c r="F647" s="273">
        <v>46029</v>
      </c>
      <c r="G647" s="272" t="s">
        <v>2424</v>
      </c>
      <c r="H647" s="272" t="s">
        <v>2552</v>
      </c>
      <c r="J647" s="384" t="s">
        <v>2132</v>
      </c>
      <c r="L647" s="272" t="s">
        <v>2561</v>
      </c>
      <c r="R647" s="391">
        <v>1</v>
      </c>
      <c r="S647" s="305">
        <v>45954</v>
      </c>
      <c r="T647" s="294">
        <f t="shared" si="238"/>
        <v>45954</v>
      </c>
    </row>
    <row r="648" spans="2:20" x14ac:dyDescent="0.3">
      <c r="B648" s="272">
        <f t="shared" si="239"/>
        <v>122</v>
      </c>
      <c r="C648" s="288" t="s">
        <v>174</v>
      </c>
      <c r="D648" s="288" t="str">
        <f t="shared" si="240"/>
        <v>Jan-26</v>
      </c>
      <c r="E648" s="272" t="s">
        <v>472</v>
      </c>
      <c r="F648" s="273">
        <v>46030</v>
      </c>
      <c r="G648" s="272" t="s">
        <v>2412</v>
      </c>
      <c r="H648" s="272" t="s">
        <v>2552</v>
      </c>
      <c r="J648" s="384" t="s">
        <v>2131</v>
      </c>
      <c r="L648" s="272" t="s">
        <v>2565</v>
      </c>
      <c r="R648" s="391">
        <v>1</v>
      </c>
      <c r="S648" s="305">
        <v>44351</v>
      </c>
      <c r="T648" s="294">
        <f t="shared" si="238"/>
        <v>44351</v>
      </c>
    </row>
    <row r="649" spans="2:20" x14ac:dyDescent="0.3">
      <c r="B649" s="272">
        <f t="shared" si="239"/>
        <v>123</v>
      </c>
      <c r="C649" s="288" t="s">
        <v>174</v>
      </c>
      <c r="D649" s="288" t="str">
        <f>TEXT(F649,"mmm-yy")</f>
        <v>Jan-00</v>
      </c>
      <c r="E649" s="272" t="s">
        <v>472</v>
      </c>
      <c r="G649" s="272" t="s">
        <v>2350</v>
      </c>
      <c r="H649" s="272" t="s">
        <v>2415</v>
      </c>
      <c r="R649" s="391">
        <v>1</v>
      </c>
      <c r="S649" s="305">
        <v>-5200</v>
      </c>
      <c r="T649" s="294">
        <f t="shared" si="238"/>
        <v>-5200</v>
      </c>
    </row>
    <row r="650" spans="2:20" x14ac:dyDescent="0.3">
      <c r="B650" s="272">
        <f t="shared" si="239"/>
        <v>124</v>
      </c>
      <c r="C650" s="288" t="s">
        <v>174</v>
      </c>
      <c r="D650" s="288" t="str">
        <f t="shared" si="240"/>
        <v>Jan-00</v>
      </c>
      <c r="E650" s="272" t="s">
        <v>472</v>
      </c>
      <c r="G650" s="272" t="s">
        <v>2351</v>
      </c>
      <c r="H650" s="272" t="s">
        <v>2415</v>
      </c>
      <c r="R650" s="391">
        <v>1</v>
      </c>
      <c r="S650" s="305">
        <v>-3412.5</v>
      </c>
      <c r="T650" s="294">
        <f t="shared" si="238"/>
        <v>-3412.5</v>
      </c>
    </row>
    <row r="651" spans="2:20" x14ac:dyDescent="0.3">
      <c r="B651" s="272">
        <f t="shared" si="239"/>
        <v>125</v>
      </c>
      <c r="C651" s="288" t="s">
        <v>174</v>
      </c>
      <c r="D651" s="288" t="str">
        <f t="shared" si="240"/>
        <v>Jan-00</v>
      </c>
      <c r="E651" s="272" t="s">
        <v>472</v>
      </c>
      <c r="G651" s="272" t="s">
        <v>2385</v>
      </c>
      <c r="H651" s="272" t="s">
        <v>2415</v>
      </c>
      <c r="R651" s="391">
        <v>1</v>
      </c>
      <c r="S651" s="305">
        <v>-1209.3800000000001</v>
      </c>
      <c r="T651" s="294">
        <f t="shared" si="238"/>
        <v>-1209.3800000000001</v>
      </c>
    </row>
    <row r="652" spans="2:20" x14ac:dyDescent="0.3">
      <c r="B652" s="272">
        <f t="shared" si="239"/>
        <v>126</v>
      </c>
      <c r="C652" s="288" t="s">
        <v>174</v>
      </c>
      <c r="D652" s="288" t="str">
        <f t="shared" si="240"/>
        <v>Jan-00</v>
      </c>
      <c r="E652" s="272" t="s">
        <v>472</v>
      </c>
      <c r="G652" s="272" t="s">
        <v>2368</v>
      </c>
      <c r="H652" s="272" t="s">
        <v>2415</v>
      </c>
      <c r="R652" s="391">
        <v>1</v>
      </c>
      <c r="S652" s="305">
        <v>-3575</v>
      </c>
      <c r="T652" s="294">
        <f t="shared" si="238"/>
        <v>-3575</v>
      </c>
    </row>
    <row r="653" spans="2:20" x14ac:dyDescent="0.3">
      <c r="B653" s="272">
        <f t="shared" si="239"/>
        <v>127</v>
      </c>
      <c r="C653" s="288" t="s">
        <v>174</v>
      </c>
      <c r="D653" s="288" t="str">
        <f t="shared" si="240"/>
        <v>Jan-26</v>
      </c>
      <c r="E653" s="272" t="s">
        <v>472</v>
      </c>
      <c r="F653" s="273">
        <v>46041</v>
      </c>
      <c r="G653" s="272" t="s">
        <v>2385</v>
      </c>
      <c r="H653" s="272" t="s">
        <v>2415</v>
      </c>
      <c r="J653" s="384" t="s">
        <v>2661</v>
      </c>
      <c r="L653" s="272" t="s">
        <v>2665</v>
      </c>
      <c r="R653" s="391">
        <v>1</v>
      </c>
      <c r="S653" s="305">
        <v>30000</v>
      </c>
      <c r="T653" s="294">
        <f t="shared" si="238"/>
        <v>30000</v>
      </c>
    </row>
    <row r="654" spans="2:20" x14ac:dyDescent="0.3">
      <c r="B654" s="272">
        <f t="shared" si="239"/>
        <v>128</v>
      </c>
      <c r="C654" s="288" t="s">
        <v>174</v>
      </c>
      <c r="D654" s="288" t="str">
        <f t="shared" si="240"/>
        <v>Jan-26</v>
      </c>
      <c r="E654" s="272" t="s">
        <v>472</v>
      </c>
      <c r="F654" s="273">
        <v>46042</v>
      </c>
      <c r="G654" s="272" t="s">
        <v>2660</v>
      </c>
      <c r="H654" s="272" t="s">
        <v>196</v>
      </c>
      <c r="J654" s="384" t="s">
        <v>2662</v>
      </c>
      <c r="L654" s="272" t="s">
        <v>2666</v>
      </c>
      <c r="R654" s="391">
        <v>14340</v>
      </c>
      <c r="S654" s="305">
        <v>2.7919999999999998</v>
      </c>
      <c r="T654" s="294">
        <f t="shared" si="238"/>
        <v>40037.279999999999</v>
      </c>
    </row>
    <row r="655" spans="2:20" x14ac:dyDescent="0.3">
      <c r="B655" s="272">
        <f t="shared" si="239"/>
        <v>129</v>
      </c>
      <c r="C655" s="288" t="s">
        <v>174</v>
      </c>
      <c r="D655" s="288" t="str">
        <f t="shared" si="240"/>
        <v>Jan-26</v>
      </c>
      <c r="E655" s="272" t="s">
        <v>472</v>
      </c>
      <c r="F655" s="273">
        <v>46044</v>
      </c>
      <c r="G655" s="272" t="s">
        <v>329</v>
      </c>
      <c r="H655" s="272" t="s">
        <v>2325</v>
      </c>
      <c r="J655" s="384" t="s">
        <v>2663</v>
      </c>
      <c r="L655" s="272" t="s">
        <v>2667</v>
      </c>
      <c r="R655" s="391">
        <v>31360</v>
      </c>
      <c r="S655" s="305">
        <v>0.2</v>
      </c>
      <c r="T655" s="294">
        <f t="shared" ref="T655:T718" si="241">R655*S655</f>
        <v>6272</v>
      </c>
    </row>
    <row r="656" spans="2:20" x14ac:dyDescent="0.3">
      <c r="B656" s="272">
        <f t="shared" si="239"/>
        <v>130</v>
      </c>
      <c r="C656" s="288" t="s">
        <v>174</v>
      </c>
      <c r="D656" s="288" t="str">
        <f t="shared" si="240"/>
        <v>Jan-26</v>
      </c>
      <c r="E656" s="272" t="s">
        <v>472</v>
      </c>
      <c r="F656" s="273">
        <v>46045</v>
      </c>
      <c r="G656" s="272" t="s">
        <v>2365</v>
      </c>
      <c r="H656" s="272" t="s">
        <v>2415</v>
      </c>
      <c r="J656" s="384" t="s">
        <v>2664</v>
      </c>
      <c r="L656" s="272" t="s">
        <v>2668</v>
      </c>
      <c r="R656" s="391">
        <v>1</v>
      </c>
      <c r="S656" s="305">
        <v>30000</v>
      </c>
      <c r="T656" s="294">
        <f t="shared" si="241"/>
        <v>30000</v>
      </c>
    </row>
    <row r="657" spans="2:20" x14ac:dyDescent="0.3">
      <c r="B657" s="272">
        <f t="shared" ref="B657:B720" si="242">B656+1</f>
        <v>131</v>
      </c>
      <c r="C657" s="288" t="s">
        <v>174</v>
      </c>
      <c r="D657" s="288" t="str">
        <f t="shared" ref="D657:D720" si="243">TEXT(F657,"mmm-yy")</f>
        <v>Jan-26</v>
      </c>
      <c r="E657" s="272" t="s">
        <v>472</v>
      </c>
      <c r="F657" s="273">
        <v>46045</v>
      </c>
      <c r="G657" s="272" t="s">
        <v>329</v>
      </c>
      <c r="H657" s="272" t="s">
        <v>2391</v>
      </c>
      <c r="J657" s="384" t="s">
        <v>1744</v>
      </c>
      <c r="L657" s="272" t="s">
        <v>2669</v>
      </c>
      <c r="R657" s="391">
        <v>1</v>
      </c>
      <c r="S657" s="305">
        <v>10400</v>
      </c>
      <c r="T657" s="294">
        <f t="shared" si="241"/>
        <v>10400</v>
      </c>
    </row>
    <row r="658" spans="2:20" x14ac:dyDescent="0.3">
      <c r="B658" s="272">
        <f t="shared" si="242"/>
        <v>132</v>
      </c>
      <c r="C658" s="288" t="s">
        <v>174</v>
      </c>
      <c r="D658" s="288" t="str">
        <f t="shared" si="243"/>
        <v>Feb-26</v>
      </c>
      <c r="E658" s="272" t="s">
        <v>472</v>
      </c>
      <c r="F658" s="273">
        <v>46056</v>
      </c>
      <c r="G658" s="272" t="s">
        <v>2437</v>
      </c>
      <c r="H658" s="272" t="s">
        <v>2790</v>
      </c>
      <c r="J658" s="384" t="s">
        <v>2793</v>
      </c>
      <c r="L658" s="272" t="s">
        <v>2799</v>
      </c>
      <c r="R658" s="391">
        <v>1</v>
      </c>
      <c r="S658" s="305">
        <v>69000</v>
      </c>
      <c r="T658" s="294">
        <f t="shared" si="241"/>
        <v>69000</v>
      </c>
    </row>
    <row r="659" spans="2:20" x14ac:dyDescent="0.3">
      <c r="B659" s="272">
        <f t="shared" si="242"/>
        <v>133</v>
      </c>
      <c r="C659" s="288" t="s">
        <v>174</v>
      </c>
      <c r="D659" s="288" t="str">
        <f t="shared" si="243"/>
        <v>Feb-26</v>
      </c>
      <c r="E659" s="272" t="s">
        <v>472</v>
      </c>
      <c r="F659" s="273">
        <v>46058</v>
      </c>
      <c r="G659" s="272" t="s">
        <v>2752</v>
      </c>
      <c r="H659" s="272" t="s">
        <v>2791</v>
      </c>
      <c r="J659" s="384" t="s">
        <v>2794</v>
      </c>
      <c r="L659" s="272" t="s">
        <v>2800</v>
      </c>
      <c r="R659" s="391">
        <v>1</v>
      </c>
      <c r="S659" s="305">
        <v>30000</v>
      </c>
      <c r="T659" s="294">
        <f t="shared" si="241"/>
        <v>30000</v>
      </c>
    </row>
    <row r="660" spans="2:20" x14ac:dyDescent="0.3">
      <c r="B660" s="272">
        <f t="shared" si="242"/>
        <v>134</v>
      </c>
      <c r="C660" s="288" t="s">
        <v>174</v>
      </c>
      <c r="D660" s="288" t="str">
        <f t="shared" si="243"/>
        <v>Feb-26</v>
      </c>
      <c r="E660" s="272" t="s">
        <v>472</v>
      </c>
      <c r="F660" s="273">
        <v>46058</v>
      </c>
      <c r="G660" s="272" t="s">
        <v>329</v>
      </c>
      <c r="H660" s="272" t="s">
        <v>2792</v>
      </c>
      <c r="J660" s="384" t="s">
        <v>2795</v>
      </c>
      <c r="L660" s="272" t="s">
        <v>2801</v>
      </c>
      <c r="R660" s="391">
        <v>1</v>
      </c>
      <c r="S660" s="305">
        <v>45850</v>
      </c>
      <c r="T660" s="294">
        <f t="shared" si="241"/>
        <v>45850</v>
      </c>
    </row>
    <row r="661" spans="2:20" x14ac:dyDescent="0.3">
      <c r="B661" s="272">
        <f t="shared" si="242"/>
        <v>135</v>
      </c>
      <c r="C661" s="288" t="s">
        <v>174</v>
      </c>
      <c r="D661" s="288" t="str">
        <f t="shared" si="243"/>
        <v>Feb-26</v>
      </c>
      <c r="E661" s="272" t="s">
        <v>472</v>
      </c>
      <c r="F661" s="273">
        <v>46059</v>
      </c>
      <c r="G661" s="272" t="s">
        <v>329</v>
      </c>
      <c r="H661" s="272" t="s">
        <v>1738</v>
      </c>
      <c r="J661" s="384" t="s">
        <v>2796</v>
      </c>
      <c r="L661" s="272" t="s">
        <v>2802</v>
      </c>
      <c r="R661" s="391">
        <v>1</v>
      </c>
      <c r="S661" s="305">
        <v>14006</v>
      </c>
      <c r="T661" s="294">
        <f t="shared" si="241"/>
        <v>14006</v>
      </c>
    </row>
    <row r="662" spans="2:20" x14ac:dyDescent="0.3">
      <c r="B662" s="272">
        <f t="shared" si="242"/>
        <v>136</v>
      </c>
      <c r="C662" s="288" t="s">
        <v>174</v>
      </c>
      <c r="D662" s="288" t="str">
        <f t="shared" si="243"/>
        <v>Feb-26</v>
      </c>
      <c r="E662" s="272" t="s">
        <v>472</v>
      </c>
      <c r="F662" s="273">
        <v>46059</v>
      </c>
      <c r="G662" s="272" t="s">
        <v>329</v>
      </c>
      <c r="H662" s="272" t="s">
        <v>1738</v>
      </c>
      <c r="J662" s="384" t="s">
        <v>2797</v>
      </c>
      <c r="L662" s="272" t="s">
        <v>2803</v>
      </c>
      <c r="R662" s="391">
        <v>1</v>
      </c>
      <c r="S662" s="305">
        <v>7049</v>
      </c>
      <c r="T662" s="294">
        <f t="shared" si="241"/>
        <v>7049</v>
      </c>
    </row>
    <row r="663" spans="2:20" x14ac:dyDescent="0.3">
      <c r="B663" s="272">
        <f t="shared" si="242"/>
        <v>137</v>
      </c>
      <c r="C663" s="288" t="s">
        <v>174</v>
      </c>
      <c r="D663" s="288" t="str">
        <f t="shared" si="243"/>
        <v>Feb-26</v>
      </c>
      <c r="E663" s="272" t="s">
        <v>472</v>
      </c>
      <c r="F663" s="273">
        <v>46059</v>
      </c>
      <c r="G663" s="272" t="s">
        <v>2436</v>
      </c>
      <c r="H663" s="272" t="s">
        <v>1433</v>
      </c>
      <c r="J663" s="384" t="s">
        <v>2798</v>
      </c>
      <c r="L663" s="272" t="s">
        <v>2804</v>
      </c>
      <c r="R663" s="391">
        <v>31.364999999999998</v>
      </c>
      <c r="S663" s="305">
        <v>1200</v>
      </c>
      <c r="T663" s="294">
        <f t="shared" si="241"/>
        <v>37638</v>
      </c>
    </row>
    <row r="664" spans="2:20" x14ac:dyDescent="0.3">
      <c r="B664" s="272">
        <f t="shared" si="242"/>
        <v>138</v>
      </c>
      <c r="C664" s="288" t="s">
        <v>174</v>
      </c>
      <c r="D664" s="288" t="str">
        <f t="shared" si="243"/>
        <v>Feb-26</v>
      </c>
      <c r="E664" s="272" t="s">
        <v>472</v>
      </c>
      <c r="F664" s="273">
        <v>46065</v>
      </c>
      <c r="H664" s="272" t="s">
        <v>196</v>
      </c>
      <c r="J664" s="384" t="s">
        <v>2807</v>
      </c>
      <c r="L664" s="272" t="s">
        <v>2808</v>
      </c>
      <c r="R664" s="391">
        <v>1</v>
      </c>
      <c r="S664" s="305">
        <v>66000</v>
      </c>
      <c r="T664" s="294">
        <f t="shared" si="241"/>
        <v>66000</v>
      </c>
    </row>
    <row r="665" spans="2:20" x14ac:dyDescent="0.3">
      <c r="B665" s="272">
        <f t="shared" si="242"/>
        <v>139</v>
      </c>
      <c r="C665" s="288" t="s">
        <v>174</v>
      </c>
      <c r="D665" s="288" t="str">
        <f t="shared" si="243"/>
        <v>Feb-26</v>
      </c>
      <c r="E665" s="272" t="s">
        <v>472</v>
      </c>
      <c r="F665" s="273">
        <v>46073</v>
      </c>
      <c r="G665" s="272" t="s">
        <v>2424</v>
      </c>
      <c r="H665" s="272" t="s">
        <v>2552</v>
      </c>
      <c r="J665" s="384" t="s">
        <v>2829</v>
      </c>
      <c r="L665" s="272" t="s">
        <v>2828</v>
      </c>
      <c r="R665" s="391">
        <v>1</v>
      </c>
      <c r="S665" s="305">
        <v>3400</v>
      </c>
      <c r="T665" s="294">
        <f t="shared" si="241"/>
        <v>3400</v>
      </c>
    </row>
    <row r="666" spans="2:20" x14ac:dyDescent="0.3">
      <c r="B666" s="272">
        <f t="shared" si="242"/>
        <v>140</v>
      </c>
      <c r="C666" s="288" t="s">
        <v>174</v>
      </c>
      <c r="D666" s="288" t="str">
        <f t="shared" si="243"/>
        <v>Feb-26</v>
      </c>
      <c r="E666" s="272" t="s">
        <v>472</v>
      </c>
      <c r="F666" s="273">
        <v>46078</v>
      </c>
      <c r="G666" s="272" t="s">
        <v>329</v>
      </c>
      <c r="H666" s="272" t="s">
        <v>1738</v>
      </c>
      <c r="J666" s="384" t="s">
        <v>2849</v>
      </c>
      <c r="L666" s="272" t="s">
        <v>2854</v>
      </c>
      <c r="R666" s="391">
        <v>1</v>
      </c>
      <c r="S666" s="305">
        <v>31970</v>
      </c>
      <c r="T666" s="294">
        <f t="shared" si="241"/>
        <v>31970</v>
      </c>
    </row>
    <row r="667" spans="2:20" x14ac:dyDescent="0.3">
      <c r="B667" s="272">
        <f t="shared" si="242"/>
        <v>141</v>
      </c>
      <c r="C667" s="288" t="s">
        <v>174</v>
      </c>
      <c r="D667" s="288" t="str">
        <f t="shared" si="243"/>
        <v>Feb-26</v>
      </c>
      <c r="E667" s="272" t="s">
        <v>472</v>
      </c>
      <c r="F667" s="273">
        <v>46080</v>
      </c>
      <c r="G667" s="272" t="s">
        <v>2351</v>
      </c>
      <c r="H667" s="272" t="s">
        <v>1433</v>
      </c>
      <c r="J667" s="384" t="s">
        <v>2850</v>
      </c>
      <c r="L667" s="272" t="s">
        <v>2855</v>
      </c>
      <c r="R667" s="391">
        <v>1</v>
      </c>
      <c r="S667" s="305">
        <v>30750</v>
      </c>
      <c r="T667" s="294">
        <f t="shared" si="241"/>
        <v>30750</v>
      </c>
    </row>
    <row r="668" spans="2:20" x14ac:dyDescent="0.3">
      <c r="B668" s="272">
        <f t="shared" si="242"/>
        <v>142</v>
      </c>
      <c r="C668" s="288" t="s">
        <v>174</v>
      </c>
      <c r="D668" s="288" t="str">
        <f t="shared" si="243"/>
        <v>Feb-26</v>
      </c>
      <c r="E668" s="272" t="s">
        <v>472</v>
      </c>
      <c r="F668" s="273">
        <v>46080</v>
      </c>
      <c r="G668" s="272" t="s">
        <v>2350</v>
      </c>
      <c r="H668" s="272" t="s">
        <v>1433</v>
      </c>
      <c r="J668" s="384" t="s">
        <v>2851</v>
      </c>
      <c r="L668" s="272" t="s">
        <v>2856</v>
      </c>
      <c r="R668" s="391">
        <v>1</v>
      </c>
      <c r="S668" s="305">
        <v>30750</v>
      </c>
      <c r="T668" s="294">
        <f t="shared" si="241"/>
        <v>30750</v>
      </c>
    </row>
    <row r="669" spans="2:20" x14ac:dyDescent="0.3">
      <c r="B669" s="272">
        <f t="shared" si="242"/>
        <v>143</v>
      </c>
      <c r="C669" s="288" t="s">
        <v>174</v>
      </c>
      <c r="D669" s="288" t="str">
        <f t="shared" si="243"/>
        <v>Feb-26</v>
      </c>
      <c r="E669" s="272" t="s">
        <v>472</v>
      </c>
      <c r="F669" s="273">
        <v>46080</v>
      </c>
      <c r="G669" s="272" t="s">
        <v>329</v>
      </c>
      <c r="H669" s="272" t="s">
        <v>2415</v>
      </c>
      <c r="J669" s="384" t="s">
        <v>2852</v>
      </c>
      <c r="L669" s="272" t="s">
        <v>2857</v>
      </c>
      <c r="R669" s="391">
        <v>160</v>
      </c>
      <c r="S669" s="305">
        <v>32.5</v>
      </c>
      <c r="T669" s="294">
        <f t="shared" si="241"/>
        <v>5200</v>
      </c>
    </row>
    <row r="670" spans="2:20" x14ac:dyDescent="0.3">
      <c r="B670" s="272">
        <f t="shared" si="242"/>
        <v>144</v>
      </c>
      <c r="C670" s="288" t="s">
        <v>174</v>
      </c>
      <c r="D670" s="288" t="str">
        <f t="shared" si="243"/>
        <v>Feb-26</v>
      </c>
      <c r="E670" s="272" t="s">
        <v>472</v>
      </c>
      <c r="F670" s="273">
        <v>46080</v>
      </c>
      <c r="G670" s="272" t="s">
        <v>2351</v>
      </c>
      <c r="H670" s="272" t="s">
        <v>2415</v>
      </c>
      <c r="J670" s="384" t="s">
        <v>2853</v>
      </c>
      <c r="L670" s="272" t="s">
        <v>2858</v>
      </c>
      <c r="R670" s="391">
        <v>105</v>
      </c>
      <c r="S670" s="305">
        <v>32.5</v>
      </c>
      <c r="T670" s="294">
        <f t="shared" si="241"/>
        <v>3412.5</v>
      </c>
    </row>
    <row r="671" spans="2:20" x14ac:dyDescent="0.3">
      <c r="B671" s="272">
        <f t="shared" si="242"/>
        <v>145</v>
      </c>
      <c r="C671" s="288" t="s">
        <v>174</v>
      </c>
      <c r="D671" s="288" t="str">
        <f t="shared" si="243"/>
        <v>Mar-26</v>
      </c>
      <c r="E671" s="272" t="s">
        <v>472</v>
      </c>
      <c r="F671" s="273">
        <v>46083</v>
      </c>
      <c r="G671" s="272" t="s">
        <v>2338</v>
      </c>
      <c r="H671" s="272" t="s">
        <v>1433</v>
      </c>
      <c r="J671" s="384" t="s">
        <v>2867</v>
      </c>
      <c r="L671" s="272" t="s">
        <v>2877</v>
      </c>
      <c r="R671" s="391">
        <v>1</v>
      </c>
      <c r="S671" s="305">
        <v>29850</v>
      </c>
      <c r="T671" s="294">
        <f t="shared" si="241"/>
        <v>29850</v>
      </c>
    </row>
    <row r="672" spans="2:20" x14ac:dyDescent="0.3">
      <c r="B672" s="272">
        <f t="shared" si="242"/>
        <v>146</v>
      </c>
      <c r="C672" s="288" t="s">
        <v>174</v>
      </c>
      <c r="D672" s="288" t="str">
        <f t="shared" si="243"/>
        <v>Mar-26</v>
      </c>
      <c r="E672" s="272" t="s">
        <v>472</v>
      </c>
      <c r="F672" s="273">
        <v>46083</v>
      </c>
      <c r="G672" s="272" t="s">
        <v>329</v>
      </c>
      <c r="H672" s="272" t="s">
        <v>1738</v>
      </c>
      <c r="J672" s="384" t="s">
        <v>2868</v>
      </c>
      <c r="L672" s="272" t="s">
        <v>2878</v>
      </c>
      <c r="R672" s="391">
        <v>1</v>
      </c>
      <c r="S672" s="305">
        <v>33186</v>
      </c>
      <c r="T672" s="294">
        <f t="shared" si="241"/>
        <v>33186</v>
      </c>
    </row>
    <row r="673" spans="2:20" x14ac:dyDescent="0.3">
      <c r="B673" s="272">
        <f t="shared" si="242"/>
        <v>147</v>
      </c>
      <c r="C673" s="288" t="s">
        <v>174</v>
      </c>
      <c r="D673" s="288" t="str">
        <f t="shared" si="243"/>
        <v>Mar-26</v>
      </c>
      <c r="E673" s="272" t="s">
        <v>472</v>
      </c>
      <c r="F673" s="273">
        <v>46083</v>
      </c>
      <c r="G673" s="272" t="s">
        <v>2820</v>
      </c>
      <c r="H673" s="272" t="s">
        <v>2415</v>
      </c>
      <c r="J673" s="384" t="s">
        <v>2869</v>
      </c>
      <c r="L673" s="272" t="s">
        <v>2879</v>
      </c>
      <c r="R673" s="391">
        <v>1</v>
      </c>
      <c r="S673" s="305">
        <v>30000</v>
      </c>
      <c r="T673" s="294">
        <f t="shared" si="241"/>
        <v>30000</v>
      </c>
    </row>
    <row r="674" spans="2:20" x14ac:dyDescent="0.3">
      <c r="B674" s="272">
        <f t="shared" si="242"/>
        <v>148</v>
      </c>
      <c r="C674" s="288" t="s">
        <v>174</v>
      </c>
      <c r="D674" s="288" t="str">
        <f t="shared" si="243"/>
        <v>Mar-26</v>
      </c>
      <c r="E674" s="272" t="s">
        <v>472</v>
      </c>
      <c r="F674" s="273">
        <v>46083</v>
      </c>
      <c r="G674" s="272" t="s">
        <v>2579</v>
      </c>
      <c r="H674" s="272" t="s">
        <v>2415</v>
      </c>
      <c r="J674" s="384" t="s">
        <v>2870</v>
      </c>
      <c r="L674" s="272" t="s">
        <v>2880</v>
      </c>
      <c r="R674" s="391">
        <v>1</v>
      </c>
      <c r="S674" s="305">
        <v>30000</v>
      </c>
      <c r="T674" s="294">
        <f t="shared" si="241"/>
        <v>30000</v>
      </c>
    </row>
    <row r="675" spans="2:20" x14ac:dyDescent="0.3">
      <c r="B675" s="272">
        <f t="shared" si="242"/>
        <v>149</v>
      </c>
      <c r="C675" s="288" t="s">
        <v>174</v>
      </c>
      <c r="D675" s="288" t="str">
        <f t="shared" si="243"/>
        <v>Mar-26</v>
      </c>
      <c r="E675" s="272" t="s">
        <v>472</v>
      </c>
      <c r="F675" s="273">
        <v>46083</v>
      </c>
      <c r="G675" s="272" t="s">
        <v>2821</v>
      </c>
      <c r="H675" s="272" t="s">
        <v>2415</v>
      </c>
      <c r="J675" s="384" t="s">
        <v>2871</v>
      </c>
      <c r="L675" s="272" t="s">
        <v>2881</v>
      </c>
      <c r="R675" s="391">
        <v>1</v>
      </c>
      <c r="S675" s="305">
        <v>30000</v>
      </c>
      <c r="T675" s="294">
        <f t="shared" si="241"/>
        <v>30000</v>
      </c>
    </row>
    <row r="676" spans="2:20" x14ac:dyDescent="0.3">
      <c r="B676" s="272">
        <f t="shared" si="242"/>
        <v>150</v>
      </c>
      <c r="C676" s="288" t="s">
        <v>174</v>
      </c>
      <c r="D676" s="288" t="str">
        <f t="shared" si="243"/>
        <v>Mar-26</v>
      </c>
      <c r="E676" s="272" t="s">
        <v>472</v>
      </c>
      <c r="F676" s="273">
        <v>46083</v>
      </c>
      <c r="G676" s="272" t="s">
        <v>2805</v>
      </c>
      <c r="H676" s="272" t="s">
        <v>2415</v>
      </c>
      <c r="J676" s="384" t="s">
        <v>2872</v>
      </c>
      <c r="L676" s="272" t="s">
        <v>2882</v>
      </c>
      <c r="R676" s="391">
        <v>1</v>
      </c>
      <c r="S676" s="305">
        <v>30000</v>
      </c>
      <c r="T676" s="294">
        <f t="shared" si="241"/>
        <v>30000</v>
      </c>
    </row>
    <row r="677" spans="2:20" x14ac:dyDescent="0.3">
      <c r="B677" s="272">
        <f t="shared" si="242"/>
        <v>151</v>
      </c>
      <c r="C677" s="288" t="s">
        <v>174</v>
      </c>
      <c r="D677" s="288" t="str">
        <f t="shared" si="243"/>
        <v>Mar-26</v>
      </c>
      <c r="E677" s="272" t="s">
        <v>472</v>
      </c>
      <c r="F677" s="273">
        <v>46083</v>
      </c>
      <c r="G677" s="272" t="s">
        <v>2744</v>
      </c>
      <c r="H677" s="272" t="s">
        <v>2415</v>
      </c>
      <c r="J677" s="384" t="s">
        <v>2873</v>
      </c>
      <c r="L677" s="272" t="s">
        <v>2883</v>
      </c>
      <c r="R677" s="391">
        <v>1</v>
      </c>
      <c r="S677" s="305">
        <v>30000</v>
      </c>
      <c r="T677" s="294">
        <f t="shared" si="241"/>
        <v>30000</v>
      </c>
    </row>
    <row r="678" spans="2:20" x14ac:dyDescent="0.3">
      <c r="B678" s="272">
        <f t="shared" si="242"/>
        <v>152</v>
      </c>
      <c r="C678" s="288" t="s">
        <v>174</v>
      </c>
      <c r="D678" s="288" t="str">
        <f t="shared" si="243"/>
        <v>Mar-26</v>
      </c>
      <c r="E678" s="272" t="s">
        <v>472</v>
      </c>
      <c r="F678" s="273">
        <v>46083</v>
      </c>
      <c r="G678" s="272" t="s">
        <v>2580</v>
      </c>
      <c r="H678" s="272" t="s">
        <v>2415</v>
      </c>
      <c r="J678" s="384" t="s">
        <v>2874</v>
      </c>
      <c r="L678" s="272" t="s">
        <v>2884</v>
      </c>
      <c r="R678" s="391">
        <v>1</v>
      </c>
      <c r="S678" s="305">
        <v>30000</v>
      </c>
      <c r="T678" s="294">
        <f t="shared" si="241"/>
        <v>30000</v>
      </c>
    </row>
    <row r="679" spans="2:20" x14ac:dyDescent="0.3">
      <c r="B679" s="272">
        <f t="shared" si="242"/>
        <v>153</v>
      </c>
      <c r="C679" s="288" t="s">
        <v>174</v>
      </c>
      <c r="D679" s="288" t="str">
        <f t="shared" si="243"/>
        <v>Mar-26</v>
      </c>
      <c r="E679" s="272" t="s">
        <v>472</v>
      </c>
      <c r="F679" s="273">
        <v>46084</v>
      </c>
      <c r="G679" s="272" t="s">
        <v>2577</v>
      </c>
      <c r="H679" s="272" t="s">
        <v>2415</v>
      </c>
      <c r="J679" s="384" t="s">
        <v>2875</v>
      </c>
      <c r="L679" s="272" t="s">
        <v>2885</v>
      </c>
      <c r="R679" s="391">
        <v>1</v>
      </c>
      <c r="S679" s="305">
        <v>24000</v>
      </c>
      <c r="T679" s="294">
        <f t="shared" si="241"/>
        <v>24000</v>
      </c>
    </row>
    <row r="680" spans="2:20" x14ac:dyDescent="0.3">
      <c r="B680" s="272">
        <f t="shared" si="242"/>
        <v>154</v>
      </c>
      <c r="C680" s="288" t="s">
        <v>174</v>
      </c>
      <c r="D680" s="288" t="str">
        <f t="shared" si="243"/>
        <v>Mar-26</v>
      </c>
      <c r="E680" s="272" t="s">
        <v>472</v>
      </c>
      <c r="F680" s="273">
        <v>46087</v>
      </c>
      <c r="G680" s="272" t="s">
        <v>329</v>
      </c>
      <c r="H680" s="272" t="s">
        <v>2792</v>
      </c>
      <c r="J680" s="384" t="s">
        <v>2876</v>
      </c>
      <c r="L680" s="272" t="s">
        <v>2886</v>
      </c>
      <c r="R680" s="391">
        <v>1</v>
      </c>
      <c r="S680" s="305">
        <v>126350</v>
      </c>
      <c r="T680" s="294">
        <f t="shared" si="241"/>
        <v>126350</v>
      </c>
    </row>
    <row r="681" spans="2:20" x14ac:dyDescent="0.3">
      <c r="B681" s="272">
        <f t="shared" si="242"/>
        <v>155</v>
      </c>
      <c r="C681" s="288" t="s">
        <v>174</v>
      </c>
      <c r="D681" s="288" t="str">
        <f t="shared" si="243"/>
        <v>Mar-26</v>
      </c>
      <c r="E681" s="272" t="s">
        <v>472</v>
      </c>
      <c r="F681" s="273">
        <v>46090</v>
      </c>
      <c r="G681" s="272" t="s">
        <v>2738</v>
      </c>
      <c r="H681" s="272" t="s">
        <v>2415</v>
      </c>
      <c r="J681" s="384" t="s">
        <v>2924</v>
      </c>
      <c r="L681" s="272" t="s">
        <v>2930</v>
      </c>
      <c r="R681" s="391">
        <v>1</v>
      </c>
      <c r="S681" s="305">
        <v>30000</v>
      </c>
      <c r="T681" s="294">
        <f t="shared" si="241"/>
        <v>30000</v>
      </c>
    </row>
    <row r="682" spans="2:20" x14ac:dyDescent="0.3">
      <c r="B682" s="272">
        <f t="shared" si="242"/>
        <v>156</v>
      </c>
      <c r="C682" s="288" t="s">
        <v>174</v>
      </c>
      <c r="D682" s="288" t="str">
        <f t="shared" si="243"/>
        <v>Mar-26</v>
      </c>
      <c r="E682" s="272" t="s">
        <v>472</v>
      </c>
      <c r="F682" s="273">
        <v>46090</v>
      </c>
      <c r="G682" s="272" t="s">
        <v>2439</v>
      </c>
      <c r="H682" s="272" t="s">
        <v>2415</v>
      </c>
      <c r="J682" s="384" t="s">
        <v>2925</v>
      </c>
      <c r="L682" s="272" t="s">
        <v>2931</v>
      </c>
      <c r="R682" s="391">
        <v>1</v>
      </c>
      <c r="S682" s="305">
        <v>30000</v>
      </c>
      <c r="T682" s="294">
        <f t="shared" si="241"/>
        <v>30000</v>
      </c>
    </row>
    <row r="683" spans="2:20" x14ac:dyDescent="0.3">
      <c r="B683" s="272">
        <f t="shared" si="242"/>
        <v>157</v>
      </c>
      <c r="C683" s="288" t="s">
        <v>174</v>
      </c>
      <c r="D683" s="288" t="str">
        <f t="shared" si="243"/>
        <v>Mar-26</v>
      </c>
      <c r="E683" s="272" t="s">
        <v>472</v>
      </c>
      <c r="F683" s="273">
        <v>46092</v>
      </c>
      <c r="G683" s="272" t="s">
        <v>2440</v>
      </c>
      <c r="H683" s="272" t="s">
        <v>1433</v>
      </c>
      <c r="J683" s="384" t="s">
        <v>2926</v>
      </c>
      <c r="L683" s="272" t="s">
        <v>2932</v>
      </c>
      <c r="R683" s="391">
        <v>1</v>
      </c>
      <c r="S683" s="305">
        <v>42000</v>
      </c>
      <c r="T683" s="294">
        <f t="shared" si="241"/>
        <v>42000</v>
      </c>
    </row>
    <row r="684" spans="2:20" x14ac:dyDescent="0.3">
      <c r="B684" s="272">
        <f t="shared" si="242"/>
        <v>158</v>
      </c>
      <c r="C684" s="288" t="s">
        <v>174</v>
      </c>
      <c r="D684" s="288" t="str">
        <f t="shared" si="243"/>
        <v>Mar-26</v>
      </c>
      <c r="E684" s="272" t="s">
        <v>472</v>
      </c>
      <c r="F684" s="273">
        <v>46092</v>
      </c>
      <c r="G684" s="272" t="s">
        <v>2440</v>
      </c>
      <c r="H684" s="272" t="s">
        <v>1433</v>
      </c>
      <c r="J684" s="384" t="s">
        <v>2926</v>
      </c>
      <c r="L684" s="272" t="s">
        <v>2932</v>
      </c>
      <c r="R684" s="391">
        <v>1</v>
      </c>
      <c r="S684" s="305">
        <v>500</v>
      </c>
      <c r="T684" s="294">
        <f t="shared" si="241"/>
        <v>500</v>
      </c>
    </row>
    <row r="685" spans="2:20" x14ac:dyDescent="0.3">
      <c r="B685" s="272">
        <f t="shared" si="242"/>
        <v>159</v>
      </c>
      <c r="C685" s="288" t="s">
        <v>174</v>
      </c>
      <c r="D685" s="288" t="str">
        <f t="shared" si="243"/>
        <v>Mar-26</v>
      </c>
      <c r="E685" s="272" t="s">
        <v>472</v>
      </c>
      <c r="F685" s="273">
        <v>46092</v>
      </c>
      <c r="G685" s="272" t="s">
        <v>2578</v>
      </c>
      <c r="H685" s="272" t="s">
        <v>1433</v>
      </c>
      <c r="J685" s="384" t="s">
        <v>2927</v>
      </c>
      <c r="L685" s="272" t="s">
        <v>2933</v>
      </c>
      <c r="R685" s="391">
        <v>1</v>
      </c>
      <c r="S685" s="305">
        <v>37038</v>
      </c>
      <c r="T685" s="294">
        <f t="shared" si="241"/>
        <v>37038</v>
      </c>
    </row>
    <row r="686" spans="2:20" x14ac:dyDescent="0.3">
      <c r="B686" s="272">
        <f t="shared" si="242"/>
        <v>160</v>
      </c>
      <c r="C686" s="288" t="s">
        <v>174</v>
      </c>
      <c r="D686" s="288" t="str">
        <f t="shared" si="243"/>
        <v>Mar-26</v>
      </c>
      <c r="E686" s="272" t="s">
        <v>472</v>
      </c>
      <c r="F686" s="273">
        <v>46092</v>
      </c>
      <c r="G686" s="272" t="s">
        <v>2578</v>
      </c>
      <c r="H686" s="272" t="s">
        <v>1433</v>
      </c>
      <c r="J686" s="384" t="s">
        <v>2927</v>
      </c>
      <c r="L686" s="272" t="s">
        <v>2933</v>
      </c>
      <c r="R686" s="391">
        <v>1</v>
      </c>
      <c r="S686" s="305">
        <v>2500</v>
      </c>
      <c r="T686" s="294">
        <f t="shared" si="241"/>
        <v>2500</v>
      </c>
    </row>
    <row r="687" spans="2:20" x14ac:dyDescent="0.3">
      <c r="B687" s="272">
        <f t="shared" si="242"/>
        <v>161</v>
      </c>
      <c r="C687" s="288" t="s">
        <v>174</v>
      </c>
      <c r="D687" s="288" t="str">
        <f t="shared" si="243"/>
        <v>Mar-26</v>
      </c>
      <c r="E687" s="272" t="s">
        <v>472</v>
      </c>
      <c r="F687" s="273">
        <v>46092</v>
      </c>
      <c r="G687" s="272" t="s">
        <v>329</v>
      </c>
      <c r="H687" s="272" t="s">
        <v>1738</v>
      </c>
      <c r="J687" s="384" t="s">
        <v>2928</v>
      </c>
      <c r="L687" s="272" t="s">
        <v>2934</v>
      </c>
      <c r="R687" s="391">
        <v>1</v>
      </c>
      <c r="S687" s="305">
        <v>7825</v>
      </c>
      <c r="T687" s="294">
        <f t="shared" si="241"/>
        <v>7825</v>
      </c>
    </row>
    <row r="688" spans="2:20" x14ac:dyDescent="0.3">
      <c r="B688" s="272">
        <f t="shared" si="242"/>
        <v>162</v>
      </c>
      <c r="C688" s="288" t="s">
        <v>174</v>
      </c>
      <c r="D688" s="288" t="str">
        <f t="shared" si="243"/>
        <v>Mar-26</v>
      </c>
      <c r="E688" s="272" t="s">
        <v>472</v>
      </c>
      <c r="F688" s="273">
        <v>46093</v>
      </c>
      <c r="G688" s="272" t="s">
        <v>2659</v>
      </c>
      <c r="H688" s="272" t="s">
        <v>1433</v>
      </c>
      <c r="J688" s="384" t="s">
        <v>2888</v>
      </c>
      <c r="L688" s="272" t="s">
        <v>2935</v>
      </c>
      <c r="R688" s="391">
        <v>1</v>
      </c>
      <c r="S688" s="305">
        <v>36000</v>
      </c>
      <c r="T688" s="294">
        <f t="shared" si="241"/>
        <v>36000</v>
      </c>
    </row>
    <row r="689" spans="2:20" x14ac:dyDescent="0.3">
      <c r="B689" s="272">
        <f t="shared" si="242"/>
        <v>163</v>
      </c>
      <c r="C689" s="288" t="s">
        <v>174</v>
      </c>
      <c r="D689" s="288" t="str">
        <f t="shared" si="243"/>
        <v>Mar-26</v>
      </c>
      <c r="E689" s="272" t="s">
        <v>472</v>
      </c>
      <c r="F689" s="273">
        <v>46093</v>
      </c>
      <c r="G689" s="272" t="s">
        <v>2659</v>
      </c>
      <c r="H689" s="272" t="s">
        <v>1433</v>
      </c>
      <c r="J689" s="384" t="s">
        <v>2888</v>
      </c>
      <c r="L689" s="272" t="s">
        <v>2935</v>
      </c>
      <c r="R689" s="391">
        <v>1</v>
      </c>
      <c r="S689" s="305">
        <v>500</v>
      </c>
      <c r="T689" s="294">
        <f t="shared" si="241"/>
        <v>500</v>
      </c>
    </row>
    <row r="690" spans="2:20" x14ac:dyDescent="0.3">
      <c r="B690" s="272">
        <f t="shared" si="242"/>
        <v>164</v>
      </c>
      <c r="C690" s="288" t="s">
        <v>174</v>
      </c>
      <c r="D690" s="288" t="str">
        <f t="shared" si="243"/>
        <v>Mar-26</v>
      </c>
      <c r="E690" s="272" t="s">
        <v>472</v>
      </c>
      <c r="F690" s="273">
        <v>46093</v>
      </c>
      <c r="G690" s="272" t="s">
        <v>2658</v>
      </c>
      <c r="H690" s="272" t="s">
        <v>1433</v>
      </c>
      <c r="J690" s="384" t="s">
        <v>2929</v>
      </c>
      <c r="L690" s="272" t="s">
        <v>2936</v>
      </c>
      <c r="R690" s="391">
        <v>1</v>
      </c>
      <c r="S690" s="305">
        <v>42000</v>
      </c>
      <c r="T690" s="294">
        <f t="shared" si="241"/>
        <v>42000</v>
      </c>
    </row>
    <row r="691" spans="2:20" x14ac:dyDescent="0.3">
      <c r="B691" s="272">
        <f t="shared" si="242"/>
        <v>165</v>
      </c>
      <c r="C691" s="288" t="s">
        <v>174</v>
      </c>
      <c r="D691" s="288" t="str">
        <f t="shared" si="243"/>
        <v>Mar-26</v>
      </c>
      <c r="E691" s="272" t="s">
        <v>472</v>
      </c>
      <c r="F691" s="273">
        <v>46093</v>
      </c>
      <c r="G691" s="272" t="s">
        <v>2658</v>
      </c>
      <c r="H691" s="272" t="s">
        <v>1433</v>
      </c>
      <c r="J691" s="384" t="s">
        <v>2929</v>
      </c>
      <c r="L691" s="272" t="s">
        <v>2936</v>
      </c>
      <c r="R691" s="391">
        <v>1</v>
      </c>
      <c r="S691" s="305">
        <v>2500</v>
      </c>
      <c r="T691" s="294">
        <f t="shared" si="241"/>
        <v>2500</v>
      </c>
    </row>
    <row r="692" spans="2:20" x14ac:dyDescent="0.3">
      <c r="B692" s="272">
        <f t="shared" si="242"/>
        <v>166</v>
      </c>
      <c r="C692" s="288" t="s">
        <v>174</v>
      </c>
      <c r="D692" s="288" t="str">
        <f t="shared" si="243"/>
        <v>Mar-26</v>
      </c>
      <c r="E692" s="272" t="s">
        <v>472</v>
      </c>
      <c r="F692" s="273">
        <v>46082</v>
      </c>
      <c r="H692" s="272" t="s">
        <v>2791</v>
      </c>
      <c r="L692" s="272" t="s">
        <v>2937</v>
      </c>
      <c r="R692" s="391">
        <v>1</v>
      </c>
      <c r="S692" s="305">
        <v>-180</v>
      </c>
      <c r="T692" s="294">
        <f t="shared" si="241"/>
        <v>-180</v>
      </c>
    </row>
    <row r="693" spans="2:20" x14ac:dyDescent="0.3">
      <c r="B693" s="272">
        <f t="shared" si="242"/>
        <v>167</v>
      </c>
      <c r="C693" s="288" t="s">
        <v>174</v>
      </c>
      <c r="D693" s="288" t="str">
        <f t="shared" si="243"/>
        <v>Mar-26</v>
      </c>
      <c r="E693" s="272" t="s">
        <v>472</v>
      </c>
      <c r="F693" s="273">
        <v>46083</v>
      </c>
      <c r="H693" s="272" t="s">
        <v>2791</v>
      </c>
      <c r="L693" s="272" t="s">
        <v>2938</v>
      </c>
      <c r="R693" s="391">
        <v>1</v>
      </c>
      <c r="S693" s="305">
        <v>-175</v>
      </c>
      <c r="T693" s="294">
        <f t="shared" si="241"/>
        <v>-175</v>
      </c>
    </row>
    <row r="694" spans="2:20" x14ac:dyDescent="0.3">
      <c r="B694" s="272">
        <f t="shared" si="242"/>
        <v>168</v>
      </c>
      <c r="C694" s="288" t="s">
        <v>174</v>
      </c>
      <c r="D694" s="288" t="str">
        <f t="shared" si="243"/>
        <v>Mar-26</v>
      </c>
      <c r="E694" s="272" t="s">
        <v>472</v>
      </c>
      <c r="F694" s="273">
        <v>46100</v>
      </c>
      <c r="H694" s="272" t="s">
        <v>1433</v>
      </c>
      <c r="J694" s="384" t="s">
        <v>2985</v>
      </c>
      <c r="L694" s="272" t="s">
        <v>2994</v>
      </c>
      <c r="R694" s="391">
        <v>1</v>
      </c>
      <c r="S694" s="305">
        <v>16705.45</v>
      </c>
      <c r="T694" s="294">
        <f t="shared" si="241"/>
        <v>16705.45</v>
      </c>
    </row>
    <row r="695" spans="2:20" x14ac:dyDescent="0.3">
      <c r="B695" s="272">
        <f t="shared" si="242"/>
        <v>169</v>
      </c>
      <c r="C695" s="288" t="s">
        <v>174</v>
      </c>
      <c r="D695" s="288" t="str">
        <f t="shared" si="243"/>
        <v>Mar-26</v>
      </c>
      <c r="E695" s="272" t="s">
        <v>472</v>
      </c>
      <c r="F695" s="273">
        <v>46100</v>
      </c>
      <c r="H695" s="272" t="s">
        <v>1433</v>
      </c>
      <c r="J695" s="384" t="s">
        <v>2986</v>
      </c>
      <c r="L695" s="272" t="s">
        <v>2995</v>
      </c>
      <c r="R695" s="391">
        <v>1</v>
      </c>
      <c r="S695" s="305">
        <v>17100</v>
      </c>
      <c r="T695" s="294">
        <f t="shared" si="241"/>
        <v>17100</v>
      </c>
    </row>
    <row r="696" spans="2:20" x14ac:dyDescent="0.3">
      <c r="B696" s="272">
        <f t="shared" si="242"/>
        <v>170</v>
      </c>
      <c r="C696" s="288" t="s">
        <v>174</v>
      </c>
      <c r="D696" s="288" t="str">
        <f t="shared" si="243"/>
        <v>Mar-26</v>
      </c>
      <c r="E696" s="272" t="s">
        <v>472</v>
      </c>
      <c r="F696" s="273">
        <v>46100</v>
      </c>
      <c r="H696" s="272" t="s">
        <v>1433</v>
      </c>
      <c r="J696" s="384" t="s">
        <v>2986</v>
      </c>
      <c r="L696" s="272" t="s">
        <v>2995</v>
      </c>
      <c r="R696" s="391">
        <v>1</v>
      </c>
      <c r="S696" s="305">
        <v>2500</v>
      </c>
      <c r="T696" s="294">
        <f t="shared" si="241"/>
        <v>2500</v>
      </c>
    </row>
    <row r="697" spans="2:20" x14ac:dyDescent="0.3">
      <c r="B697" s="272">
        <f t="shared" si="242"/>
        <v>171</v>
      </c>
      <c r="C697" s="288" t="s">
        <v>174</v>
      </c>
      <c r="D697" s="288" t="str">
        <f t="shared" si="243"/>
        <v>Mar-26</v>
      </c>
      <c r="E697" s="272" t="s">
        <v>472</v>
      </c>
      <c r="F697" s="273">
        <v>46100</v>
      </c>
      <c r="H697" s="272" t="s">
        <v>1433</v>
      </c>
      <c r="J697" s="384" t="s">
        <v>2987</v>
      </c>
      <c r="L697" s="272" t="s">
        <v>2996</v>
      </c>
      <c r="R697" s="391">
        <v>1</v>
      </c>
      <c r="S697" s="305">
        <v>16096.8</v>
      </c>
      <c r="T697" s="294">
        <f t="shared" si="241"/>
        <v>16096.8</v>
      </c>
    </row>
    <row r="698" spans="2:20" x14ac:dyDescent="0.3">
      <c r="B698" s="272">
        <f t="shared" si="242"/>
        <v>172</v>
      </c>
      <c r="C698" s="288" t="s">
        <v>174</v>
      </c>
      <c r="D698" s="288" t="str">
        <f t="shared" si="243"/>
        <v>Mar-26</v>
      </c>
      <c r="E698" s="272" t="s">
        <v>472</v>
      </c>
      <c r="F698" s="273">
        <v>46100</v>
      </c>
      <c r="H698" s="272" t="s">
        <v>1433</v>
      </c>
      <c r="J698" s="384" t="s">
        <v>2987</v>
      </c>
      <c r="L698" s="272" t="s">
        <v>2996</v>
      </c>
      <c r="R698" s="391">
        <v>1</v>
      </c>
      <c r="S698" s="305">
        <v>2350</v>
      </c>
      <c r="T698" s="294">
        <f t="shared" si="241"/>
        <v>2350</v>
      </c>
    </row>
    <row r="699" spans="2:20" x14ac:dyDescent="0.3">
      <c r="B699" s="272">
        <f t="shared" si="242"/>
        <v>173</v>
      </c>
      <c r="C699" s="288" t="s">
        <v>174</v>
      </c>
      <c r="D699" s="288" t="str">
        <f t="shared" si="243"/>
        <v>Mar-26</v>
      </c>
      <c r="E699" s="272" t="s">
        <v>472</v>
      </c>
      <c r="F699" s="273">
        <v>46100</v>
      </c>
      <c r="H699" s="272" t="s">
        <v>1433</v>
      </c>
      <c r="J699" s="384" t="s">
        <v>2988</v>
      </c>
      <c r="L699" s="272" t="s">
        <v>2997</v>
      </c>
      <c r="R699" s="391">
        <v>210</v>
      </c>
      <c r="S699" s="305">
        <v>34.1</v>
      </c>
      <c r="T699" s="294">
        <f t="shared" si="241"/>
        <v>7161</v>
      </c>
    </row>
    <row r="700" spans="2:20" x14ac:dyDescent="0.3">
      <c r="B700" s="272">
        <f t="shared" si="242"/>
        <v>174</v>
      </c>
      <c r="C700" s="288" t="s">
        <v>174</v>
      </c>
      <c r="D700" s="288" t="str">
        <f t="shared" si="243"/>
        <v>Mar-26</v>
      </c>
      <c r="E700" s="272" t="s">
        <v>472</v>
      </c>
      <c r="F700" s="273">
        <v>46100</v>
      </c>
      <c r="H700" s="272" t="s">
        <v>1433</v>
      </c>
      <c r="J700" s="384" t="s">
        <v>2989</v>
      </c>
      <c r="L700" s="272" t="s">
        <v>2998</v>
      </c>
      <c r="R700" s="391">
        <v>140</v>
      </c>
      <c r="S700" s="305">
        <v>34.1</v>
      </c>
      <c r="T700" s="294">
        <f t="shared" si="241"/>
        <v>4774</v>
      </c>
    </row>
    <row r="701" spans="2:20" x14ac:dyDescent="0.3">
      <c r="B701" s="272">
        <f t="shared" si="242"/>
        <v>175</v>
      </c>
      <c r="C701" s="288" t="s">
        <v>174</v>
      </c>
      <c r="D701" s="288" t="str">
        <f t="shared" si="243"/>
        <v>Mar-26</v>
      </c>
      <c r="E701" s="272" t="s">
        <v>472</v>
      </c>
      <c r="F701" s="273">
        <v>46100</v>
      </c>
      <c r="H701" s="272" t="s">
        <v>1433</v>
      </c>
      <c r="J701" s="384" t="s">
        <v>2951</v>
      </c>
      <c r="L701" s="272" t="s">
        <v>2999</v>
      </c>
      <c r="R701" s="391">
        <v>1</v>
      </c>
      <c r="S701" s="305">
        <v>17600</v>
      </c>
      <c r="T701" s="294">
        <f t="shared" si="241"/>
        <v>17600</v>
      </c>
    </row>
    <row r="702" spans="2:20" x14ac:dyDescent="0.3">
      <c r="B702" s="272">
        <f t="shared" si="242"/>
        <v>176</v>
      </c>
      <c r="C702" s="288" t="s">
        <v>174</v>
      </c>
      <c r="D702" s="288" t="str">
        <f t="shared" si="243"/>
        <v>Mar-26</v>
      </c>
      <c r="E702" s="272" t="s">
        <v>472</v>
      </c>
      <c r="F702" s="273">
        <v>46100</v>
      </c>
      <c r="H702" s="272" t="s">
        <v>1433</v>
      </c>
      <c r="J702" s="384" t="s">
        <v>2990</v>
      </c>
      <c r="L702" s="272" t="s">
        <v>3000</v>
      </c>
      <c r="R702" s="391">
        <v>1</v>
      </c>
      <c r="S702" s="305">
        <v>15931.5</v>
      </c>
      <c r="T702" s="294">
        <f t="shared" si="241"/>
        <v>15931.5</v>
      </c>
    </row>
    <row r="703" spans="2:20" x14ac:dyDescent="0.3">
      <c r="B703" s="272">
        <f t="shared" si="242"/>
        <v>177</v>
      </c>
      <c r="C703" s="288" t="s">
        <v>174</v>
      </c>
      <c r="D703" s="288" t="str">
        <f t="shared" si="243"/>
        <v>Mar-26</v>
      </c>
      <c r="E703" s="272" t="s">
        <v>472</v>
      </c>
      <c r="F703" s="273">
        <v>46100</v>
      </c>
      <c r="H703" s="272" t="s">
        <v>1433</v>
      </c>
      <c r="J703" s="384" t="s">
        <v>2991</v>
      </c>
      <c r="L703" s="272" t="s">
        <v>3001</v>
      </c>
      <c r="R703" s="391">
        <v>1</v>
      </c>
      <c r="S703" s="305">
        <v>14905.5</v>
      </c>
      <c r="T703" s="294">
        <f t="shared" si="241"/>
        <v>14905.5</v>
      </c>
    </row>
    <row r="704" spans="2:20" x14ac:dyDescent="0.3">
      <c r="B704" s="272">
        <f t="shared" si="242"/>
        <v>178</v>
      </c>
      <c r="C704" s="288" t="s">
        <v>174</v>
      </c>
      <c r="D704" s="288" t="str">
        <f t="shared" si="243"/>
        <v>Mar-26</v>
      </c>
      <c r="E704" s="272" t="s">
        <v>472</v>
      </c>
      <c r="F704" s="273">
        <v>46100</v>
      </c>
      <c r="H704" s="272" t="s">
        <v>1433</v>
      </c>
      <c r="J704" s="384" t="s">
        <v>2991</v>
      </c>
      <c r="L704" s="272" t="s">
        <v>3001</v>
      </c>
      <c r="R704" s="391">
        <v>1</v>
      </c>
      <c r="S704" s="305">
        <v>350</v>
      </c>
      <c r="T704" s="294">
        <f t="shared" si="241"/>
        <v>350</v>
      </c>
    </row>
    <row r="705" spans="2:20" x14ac:dyDescent="0.3">
      <c r="B705" s="272">
        <f t="shared" si="242"/>
        <v>179</v>
      </c>
      <c r="C705" s="288" t="s">
        <v>174</v>
      </c>
      <c r="D705" s="288" t="str">
        <f t="shared" si="243"/>
        <v>Mar-26</v>
      </c>
      <c r="E705" s="272" t="s">
        <v>472</v>
      </c>
      <c r="F705" s="273">
        <v>46102</v>
      </c>
      <c r="H705" s="272" t="s">
        <v>2984</v>
      </c>
      <c r="J705" s="384" t="s">
        <v>2992</v>
      </c>
      <c r="L705" s="272" t="s">
        <v>3002</v>
      </c>
      <c r="R705" s="391">
        <v>37</v>
      </c>
      <c r="S705" s="305">
        <v>853.43</v>
      </c>
      <c r="T705" s="294">
        <f t="shared" si="241"/>
        <v>31576.91</v>
      </c>
    </row>
    <row r="706" spans="2:20" x14ac:dyDescent="0.3">
      <c r="B706" s="272">
        <f t="shared" si="242"/>
        <v>180</v>
      </c>
      <c r="C706" s="288" t="s">
        <v>174</v>
      </c>
      <c r="D706" s="288" t="str">
        <f t="shared" si="243"/>
        <v>Mar-26</v>
      </c>
      <c r="E706" s="272" t="s">
        <v>472</v>
      </c>
      <c r="F706" s="273">
        <v>46102</v>
      </c>
      <c r="H706" s="272" t="s">
        <v>2984</v>
      </c>
      <c r="J706" s="384" t="s">
        <v>2993</v>
      </c>
      <c r="L706" s="272" t="s">
        <v>3003</v>
      </c>
      <c r="R706" s="391">
        <v>37</v>
      </c>
      <c r="S706" s="305">
        <v>886.54</v>
      </c>
      <c r="T706" s="294">
        <f t="shared" si="241"/>
        <v>32801.979999999996</v>
      </c>
    </row>
    <row r="707" spans="2:20" x14ac:dyDescent="0.3">
      <c r="B707" s="272">
        <f t="shared" si="242"/>
        <v>181</v>
      </c>
      <c r="C707" s="288" t="s">
        <v>174</v>
      </c>
      <c r="D707" s="288" t="str">
        <f t="shared" si="243"/>
        <v>Mar-26</v>
      </c>
      <c r="E707" s="272" t="s">
        <v>472</v>
      </c>
      <c r="F707" s="273">
        <v>46106</v>
      </c>
      <c r="H707" s="272" t="s">
        <v>1433</v>
      </c>
      <c r="J707" s="384" t="s">
        <v>3025</v>
      </c>
      <c r="L707" s="272" t="s">
        <v>3033</v>
      </c>
      <c r="R707" s="391">
        <v>1</v>
      </c>
      <c r="S707" s="305">
        <v>14250</v>
      </c>
      <c r="T707" s="294">
        <f t="shared" si="241"/>
        <v>14250</v>
      </c>
    </row>
    <row r="708" spans="2:20" x14ac:dyDescent="0.3">
      <c r="B708" s="272">
        <f t="shared" si="242"/>
        <v>182</v>
      </c>
      <c r="C708" s="288" t="s">
        <v>174</v>
      </c>
      <c r="D708" s="288" t="str">
        <f t="shared" si="243"/>
        <v>Mar-26</v>
      </c>
      <c r="E708" s="272" t="s">
        <v>472</v>
      </c>
      <c r="F708" s="273">
        <v>46106</v>
      </c>
      <c r="H708" s="272" t="s">
        <v>2415</v>
      </c>
      <c r="J708" s="384" t="s">
        <v>3026</v>
      </c>
      <c r="L708" s="272" t="s">
        <v>3034</v>
      </c>
      <c r="R708" s="391">
        <v>1</v>
      </c>
      <c r="S708" s="305">
        <v>30000</v>
      </c>
      <c r="T708" s="294">
        <f t="shared" si="241"/>
        <v>30000</v>
      </c>
    </row>
    <row r="709" spans="2:20" x14ac:dyDescent="0.3">
      <c r="B709" s="272">
        <f t="shared" si="242"/>
        <v>183</v>
      </c>
      <c r="C709" s="288" t="s">
        <v>174</v>
      </c>
      <c r="D709" s="288" t="str">
        <f t="shared" si="243"/>
        <v>Mar-26</v>
      </c>
      <c r="E709" s="272" t="s">
        <v>472</v>
      </c>
      <c r="F709" s="273">
        <v>46106</v>
      </c>
      <c r="H709" s="272" t="s">
        <v>2415</v>
      </c>
      <c r="J709" s="384" t="s">
        <v>3027</v>
      </c>
      <c r="L709" s="272" t="s">
        <v>3035</v>
      </c>
      <c r="R709" s="391">
        <v>1</v>
      </c>
      <c r="S709" s="305">
        <v>30000</v>
      </c>
      <c r="T709" s="294">
        <f t="shared" si="241"/>
        <v>30000</v>
      </c>
    </row>
    <row r="710" spans="2:20" x14ac:dyDescent="0.3">
      <c r="B710" s="272">
        <f t="shared" si="242"/>
        <v>184</v>
      </c>
      <c r="C710" s="288" t="s">
        <v>174</v>
      </c>
      <c r="D710" s="288" t="str">
        <f t="shared" si="243"/>
        <v>Mar-26</v>
      </c>
      <c r="E710" s="272" t="s">
        <v>472</v>
      </c>
      <c r="F710" s="273">
        <v>46107</v>
      </c>
      <c r="H710" s="272" t="s">
        <v>1433</v>
      </c>
      <c r="J710" s="384" t="s">
        <v>3028</v>
      </c>
      <c r="L710" s="272" t="s">
        <v>3036</v>
      </c>
      <c r="R710" s="391">
        <v>1</v>
      </c>
      <c r="S710" s="305">
        <v>15618</v>
      </c>
      <c r="T710" s="294">
        <f t="shared" si="241"/>
        <v>15618</v>
      </c>
    </row>
    <row r="711" spans="2:20" x14ac:dyDescent="0.3">
      <c r="B711" s="272">
        <f t="shared" si="242"/>
        <v>185</v>
      </c>
      <c r="C711" s="288" t="s">
        <v>174</v>
      </c>
      <c r="D711" s="288" t="str">
        <f t="shared" si="243"/>
        <v>Mar-26</v>
      </c>
      <c r="E711" s="272" t="s">
        <v>472</v>
      </c>
      <c r="F711" s="273">
        <v>46107</v>
      </c>
      <c r="H711" s="272" t="s">
        <v>1433</v>
      </c>
      <c r="J711" s="384" t="s">
        <v>3028</v>
      </c>
      <c r="L711" s="272" t="s">
        <v>3036</v>
      </c>
      <c r="R711" s="391">
        <v>1</v>
      </c>
      <c r="S711" s="305">
        <v>350</v>
      </c>
      <c r="T711" s="294">
        <f t="shared" si="241"/>
        <v>350</v>
      </c>
    </row>
    <row r="712" spans="2:20" x14ac:dyDescent="0.3">
      <c r="B712" s="272">
        <f t="shared" si="242"/>
        <v>186</v>
      </c>
      <c r="C712" s="288" t="s">
        <v>174</v>
      </c>
      <c r="D712" s="288" t="str">
        <f t="shared" si="243"/>
        <v>Mar-26</v>
      </c>
      <c r="E712" s="272" t="s">
        <v>472</v>
      </c>
      <c r="F712" s="273">
        <v>46107</v>
      </c>
      <c r="H712" s="272" t="s">
        <v>1433</v>
      </c>
      <c r="J712" s="384" t="s">
        <v>3029</v>
      </c>
      <c r="L712" s="272" t="s">
        <v>3037</v>
      </c>
      <c r="R712" s="391">
        <v>1</v>
      </c>
      <c r="S712" s="305">
        <v>15407.1</v>
      </c>
      <c r="T712" s="294">
        <f t="shared" si="241"/>
        <v>15407.1</v>
      </c>
    </row>
    <row r="713" spans="2:20" x14ac:dyDescent="0.3">
      <c r="B713" s="272">
        <f t="shared" si="242"/>
        <v>187</v>
      </c>
      <c r="C713" s="288" t="s">
        <v>174</v>
      </c>
      <c r="D713" s="288" t="str">
        <f t="shared" si="243"/>
        <v>Mar-26</v>
      </c>
      <c r="E713" s="272" t="s">
        <v>472</v>
      </c>
      <c r="F713" s="273">
        <v>46107</v>
      </c>
      <c r="H713" s="272" t="s">
        <v>1433</v>
      </c>
      <c r="J713" s="384" t="s">
        <v>3029</v>
      </c>
      <c r="L713" s="272" t="s">
        <v>3037</v>
      </c>
      <c r="R713" s="391">
        <v>1</v>
      </c>
      <c r="S713" s="305">
        <v>350</v>
      </c>
      <c r="T713" s="294">
        <f t="shared" si="241"/>
        <v>350</v>
      </c>
    </row>
    <row r="714" spans="2:20" x14ac:dyDescent="0.3">
      <c r="B714" s="272">
        <f t="shared" si="242"/>
        <v>188</v>
      </c>
      <c r="C714" s="288" t="s">
        <v>174</v>
      </c>
      <c r="D714" s="288" t="str">
        <f t="shared" si="243"/>
        <v>Mar-26</v>
      </c>
      <c r="E714" s="272" t="s">
        <v>472</v>
      </c>
      <c r="F714" s="273">
        <v>46107</v>
      </c>
      <c r="H714" s="272" t="s">
        <v>1433</v>
      </c>
      <c r="J714" s="384" t="s">
        <v>3030</v>
      </c>
      <c r="L714" s="272" t="s">
        <v>3038</v>
      </c>
      <c r="R714" s="391">
        <v>1</v>
      </c>
      <c r="S714" s="305">
        <v>14250</v>
      </c>
      <c r="T714" s="294">
        <f t="shared" si="241"/>
        <v>14250</v>
      </c>
    </row>
    <row r="715" spans="2:20" x14ac:dyDescent="0.3">
      <c r="B715" s="272">
        <f t="shared" si="242"/>
        <v>189</v>
      </c>
      <c r="C715" s="288" t="s">
        <v>174</v>
      </c>
      <c r="D715" s="288" t="str">
        <f t="shared" si="243"/>
        <v>Mar-26</v>
      </c>
      <c r="E715" s="272" t="s">
        <v>472</v>
      </c>
      <c r="F715" s="273">
        <v>46107</v>
      </c>
      <c r="H715" s="272" t="s">
        <v>1433</v>
      </c>
      <c r="J715" s="384" t="s">
        <v>3030</v>
      </c>
      <c r="L715" s="272" t="s">
        <v>3038</v>
      </c>
      <c r="R715" s="391">
        <v>1</v>
      </c>
      <c r="S715" s="305">
        <v>350</v>
      </c>
      <c r="T715" s="294">
        <f t="shared" si="241"/>
        <v>350</v>
      </c>
    </row>
    <row r="716" spans="2:20" x14ac:dyDescent="0.3">
      <c r="B716" s="272">
        <f t="shared" si="242"/>
        <v>190</v>
      </c>
      <c r="C716" s="288" t="s">
        <v>174</v>
      </c>
      <c r="D716" s="288" t="str">
        <f t="shared" si="243"/>
        <v>Mar-26</v>
      </c>
      <c r="E716" s="272" t="s">
        <v>472</v>
      </c>
      <c r="F716" s="273">
        <v>46107</v>
      </c>
      <c r="H716" s="272" t="s">
        <v>1433</v>
      </c>
      <c r="J716" s="384" t="s">
        <v>3031</v>
      </c>
      <c r="L716" s="272" t="s">
        <v>3039</v>
      </c>
      <c r="R716" s="391">
        <v>1</v>
      </c>
      <c r="S716" s="305">
        <v>14284.2</v>
      </c>
      <c r="T716" s="294">
        <f t="shared" si="241"/>
        <v>14284.2</v>
      </c>
    </row>
    <row r="717" spans="2:20" x14ac:dyDescent="0.3">
      <c r="B717" s="272">
        <f t="shared" si="242"/>
        <v>191</v>
      </c>
      <c r="C717" s="288" t="s">
        <v>174</v>
      </c>
      <c r="D717" s="288" t="str">
        <f t="shared" si="243"/>
        <v>Mar-26</v>
      </c>
      <c r="E717" s="272" t="s">
        <v>472</v>
      </c>
      <c r="F717" s="273">
        <v>46107</v>
      </c>
      <c r="H717" s="272" t="s">
        <v>1433</v>
      </c>
      <c r="J717" s="384" t="s">
        <v>3031</v>
      </c>
      <c r="L717" s="272" t="s">
        <v>3039</v>
      </c>
      <c r="R717" s="391">
        <v>1</v>
      </c>
      <c r="S717" s="305">
        <v>350</v>
      </c>
      <c r="T717" s="294">
        <f t="shared" si="241"/>
        <v>350</v>
      </c>
    </row>
    <row r="718" spans="2:20" x14ac:dyDescent="0.3">
      <c r="B718" s="272">
        <f t="shared" si="242"/>
        <v>192</v>
      </c>
      <c r="C718" s="288" t="s">
        <v>174</v>
      </c>
      <c r="D718" s="288" t="str">
        <f t="shared" si="243"/>
        <v>Mar-26</v>
      </c>
      <c r="E718" s="272" t="s">
        <v>472</v>
      </c>
      <c r="F718" s="273">
        <v>46107</v>
      </c>
      <c r="H718" s="272" t="s">
        <v>2791</v>
      </c>
      <c r="J718" s="384" t="s">
        <v>3007</v>
      </c>
      <c r="L718" s="272" t="s">
        <v>3040</v>
      </c>
      <c r="R718" s="391">
        <v>1</v>
      </c>
      <c r="S718" s="305">
        <v>36660</v>
      </c>
      <c r="T718" s="294">
        <f t="shared" si="241"/>
        <v>36660</v>
      </c>
    </row>
    <row r="719" spans="2:20" x14ac:dyDescent="0.3">
      <c r="B719" s="272">
        <f t="shared" si="242"/>
        <v>193</v>
      </c>
      <c r="C719" s="288" t="s">
        <v>174</v>
      </c>
      <c r="D719" s="288" t="str">
        <f t="shared" si="243"/>
        <v>Mar-26</v>
      </c>
      <c r="E719" s="272" t="s">
        <v>472</v>
      </c>
      <c r="F719" s="273">
        <v>46107</v>
      </c>
      <c r="H719" s="272" t="s">
        <v>2791</v>
      </c>
      <c r="J719" s="384" t="s">
        <v>3007</v>
      </c>
      <c r="L719" s="272" t="s">
        <v>3040</v>
      </c>
      <c r="R719" s="391">
        <v>1</v>
      </c>
      <c r="S719" s="305">
        <v>3000</v>
      </c>
      <c r="T719" s="294">
        <f t="shared" ref="T719:T750" si="244">R719*S719</f>
        <v>3000</v>
      </c>
    </row>
    <row r="720" spans="2:20" x14ac:dyDescent="0.3">
      <c r="B720" s="272">
        <f t="shared" si="242"/>
        <v>194</v>
      </c>
      <c r="C720" s="288" t="s">
        <v>174</v>
      </c>
      <c r="D720" s="288" t="str">
        <f t="shared" si="243"/>
        <v>Mar-26</v>
      </c>
      <c r="E720" s="272" t="s">
        <v>472</v>
      </c>
      <c r="F720" s="273">
        <v>46108</v>
      </c>
      <c r="H720" s="272" t="s">
        <v>2791</v>
      </c>
      <c r="J720" s="384" t="s">
        <v>3032</v>
      </c>
      <c r="L720" s="272" t="s">
        <v>3041</v>
      </c>
      <c r="R720" s="391">
        <v>1</v>
      </c>
      <c r="S720" s="305">
        <v>32500</v>
      </c>
      <c r="T720" s="294">
        <f t="shared" si="244"/>
        <v>32500</v>
      </c>
    </row>
    <row r="721" spans="2:20" x14ac:dyDescent="0.3">
      <c r="B721" s="272">
        <f t="shared" ref="B721:B750" si="245">B720+1</f>
        <v>195</v>
      </c>
      <c r="C721" s="288" t="s">
        <v>174</v>
      </c>
      <c r="D721" s="288" t="str">
        <f t="shared" ref="D721:D722" si="246">TEXT(F721,"mmm-yy")</f>
        <v>Mar-26</v>
      </c>
      <c r="E721" s="272" t="s">
        <v>472</v>
      </c>
      <c r="F721" s="273">
        <v>46108</v>
      </c>
      <c r="H721" s="272" t="s">
        <v>2791</v>
      </c>
      <c r="J721" s="384" t="s">
        <v>3032</v>
      </c>
      <c r="L721" s="272" t="s">
        <v>3041</v>
      </c>
      <c r="R721" s="391">
        <v>1</v>
      </c>
      <c r="S721" s="305">
        <v>2800</v>
      </c>
      <c r="T721" s="294">
        <f t="shared" si="244"/>
        <v>2800</v>
      </c>
    </row>
    <row r="722" spans="2:20" x14ac:dyDescent="0.3">
      <c r="B722" s="272">
        <f t="shared" si="245"/>
        <v>196</v>
      </c>
      <c r="C722" s="288" t="s">
        <v>174</v>
      </c>
      <c r="D722" s="288" t="str">
        <f t="shared" si="246"/>
        <v>Mar-26</v>
      </c>
      <c r="E722" s="272" t="s">
        <v>472</v>
      </c>
      <c r="F722" s="273">
        <v>46112</v>
      </c>
      <c r="G722" s="272" t="s">
        <v>329</v>
      </c>
      <c r="H722" s="272" t="s">
        <v>240</v>
      </c>
      <c r="J722" s="384" t="s">
        <v>3045</v>
      </c>
      <c r="L722" s="272" t="s">
        <v>3046</v>
      </c>
      <c r="R722" s="391">
        <v>1</v>
      </c>
      <c r="S722" s="305">
        <v>10600</v>
      </c>
      <c r="T722" s="294">
        <f t="shared" si="244"/>
        <v>10600</v>
      </c>
    </row>
    <row r="723" spans="2:20" x14ac:dyDescent="0.3">
      <c r="B723" s="272">
        <f t="shared" si="245"/>
        <v>197</v>
      </c>
      <c r="C723" s="288" t="s">
        <v>3085</v>
      </c>
      <c r="D723" s="288" t="str">
        <f t="shared" ref="D723:D728" si="247">TEXT(F723,"mmm-yy")</f>
        <v>Apr-26</v>
      </c>
      <c r="E723" s="272" t="s">
        <v>472</v>
      </c>
      <c r="F723" s="273">
        <v>46121</v>
      </c>
      <c r="G723" s="272" t="s">
        <v>3022</v>
      </c>
      <c r="H723" s="272" t="s">
        <v>2415</v>
      </c>
      <c r="I723" s="272" t="s">
        <v>329</v>
      </c>
      <c r="J723" s="384" t="s">
        <v>3294</v>
      </c>
      <c r="K723" s="273">
        <v>46118</v>
      </c>
      <c r="L723" s="272" t="s">
        <v>3295</v>
      </c>
      <c r="M723" s="273">
        <v>46121</v>
      </c>
      <c r="N723" s="272" t="s">
        <v>255</v>
      </c>
      <c r="O723" s="272" t="s">
        <v>3296</v>
      </c>
      <c r="Q723" s="272" t="s">
        <v>3297</v>
      </c>
      <c r="R723" s="391">
        <v>1</v>
      </c>
      <c r="S723" s="272">
        <v>30000</v>
      </c>
      <c r="T723" s="294">
        <f t="shared" si="244"/>
        <v>30000</v>
      </c>
    </row>
    <row r="724" spans="2:20" x14ac:dyDescent="0.3">
      <c r="B724" s="272">
        <f t="shared" si="245"/>
        <v>198</v>
      </c>
      <c r="C724" s="288" t="s">
        <v>3085</v>
      </c>
      <c r="D724" s="288" t="str">
        <f t="shared" si="247"/>
        <v>Apr-26</v>
      </c>
      <c r="E724" s="272" t="s">
        <v>472</v>
      </c>
      <c r="F724" s="273">
        <v>46121</v>
      </c>
      <c r="G724" s="272" t="s">
        <v>329</v>
      </c>
      <c r="H724" s="272" t="s">
        <v>2792</v>
      </c>
      <c r="I724" s="272" t="s">
        <v>329</v>
      </c>
      <c r="J724" s="384" t="s">
        <v>3298</v>
      </c>
      <c r="K724" s="273">
        <v>46112</v>
      </c>
      <c r="L724" s="272" t="s">
        <v>3299</v>
      </c>
      <c r="M724" s="273">
        <v>46121</v>
      </c>
      <c r="N724" s="272" t="s">
        <v>3300</v>
      </c>
      <c r="O724" s="272" t="s">
        <v>329</v>
      </c>
      <c r="Q724" s="272" t="s">
        <v>3301</v>
      </c>
      <c r="R724" s="391">
        <v>1</v>
      </c>
      <c r="S724" s="272">
        <v>87150</v>
      </c>
      <c r="T724" s="294">
        <f t="shared" si="244"/>
        <v>87150</v>
      </c>
    </row>
    <row r="725" spans="2:20" x14ac:dyDescent="0.3">
      <c r="B725" s="272">
        <f t="shared" si="245"/>
        <v>199</v>
      </c>
      <c r="C725" s="288" t="s">
        <v>3085</v>
      </c>
      <c r="D725" s="288" t="str">
        <f t="shared" si="247"/>
        <v>Apr-26</v>
      </c>
      <c r="E725" s="272" t="s">
        <v>472</v>
      </c>
      <c r="F725" s="273">
        <v>46122</v>
      </c>
      <c r="G725" s="272" t="s">
        <v>2865</v>
      </c>
      <c r="H725" s="272" t="s">
        <v>1433</v>
      </c>
      <c r="I725" s="272" t="s">
        <v>329</v>
      </c>
      <c r="J725" s="384" t="s">
        <v>3302</v>
      </c>
      <c r="K725" s="273">
        <v>46091</v>
      </c>
      <c r="L725" s="272" t="s">
        <v>3303</v>
      </c>
      <c r="M725" s="273">
        <v>46122</v>
      </c>
      <c r="N725" s="272" t="s">
        <v>255</v>
      </c>
      <c r="O725" s="272" t="s">
        <v>2244</v>
      </c>
      <c r="Q725" s="272" t="s">
        <v>3297</v>
      </c>
      <c r="R725" s="391">
        <v>1</v>
      </c>
      <c r="S725" s="272">
        <v>8550</v>
      </c>
      <c r="T725" s="294">
        <f t="shared" si="244"/>
        <v>8550</v>
      </c>
    </row>
    <row r="726" spans="2:20" x14ac:dyDescent="0.3">
      <c r="B726" s="272">
        <f t="shared" si="245"/>
        <v>200</v>
      </c>
      <c r="C726" s="288" t="s">
        <v>3085</v>
      </c>
      <c r="D726" s="288" t="str">
        <f t="shared" si="247"/>
        <v>Apr-26</v>
      </c>
      <c r="E726" s="272" t="s">
        <v>472</v>
      </c>
      <c r="F726" s="273">
        <v>46122</v>
      </c>
      <c r="G726" s="272" t="s">
        <v>3272</v>
      </c>
      <c r="H726" s="272" t="s">
        <v>196</v>
      </c>
      <c r="I726" s="272" t="s">
        <v>2680</v>
      </c>
      <c r="J726" s="384" t="s">
        <v>3304</v>
      </c>
      <c r="K726" s="273">
        <v>46112</v>
      </c>
      <c r="L726" s="272" t="s">
        <v>3305</v>
      </c>
      <c r="M726" s="273">
        <v>46122</v>
      </c>
      <c r="N726" s="272" t="s">
        <v>255</v>
      </c>
      <c r="O726" s="272" t="s">
        <v>329</v>
      </c>
      <c r="Q726" s="272" t="s">
        <v>3297</v>
      </c>
      <c r="R726" s="391">
        <v>1</v>
      </c>
      <c r="S726" s="272">
        <v>65040</v>
      </c>
      <c r="T726" s="294">
        <f t="shared" si="244"/>
        <v>65040</v>
      </c>
    </row>
    <row r="727" spans="2:20" x14ac:dyDescent="0.3">
      <c r="B727" s="272">
        <f t="shared" si="245"/>
        <v>201</v>
      </c>
      <c r="C727" s="288" t="s">
        <v>3085</v>
      </c>
      <c r="D727" s="288" t="str">
        <f t="shared" si="247"/>
        <v>Apr-26</v>
      </c>
      <c r="E727" s="272" t="s">
        <v>472</v>
      </c>
      <c r="F727" s="273">
        <v>46122</v>
      </c>
      <c r="G727" s="272" t="s">
        <v>3273</v>
      </c>
      <c r="H727" s="272" t="s">
        <v>196</v>
      </c>
      <c r="I727" s="272" t="s">
        <v>2680</v>
      </c>
      <c r="J727" s="384" t="s">
        <v>3306</v>
      </c>
      <c r="K727" s="273">
        <v>46107</v>
      </c>
      <c r="L727" s="272" t="s">
        <v>3307</v>
      </c>
      <c r="M727" s="273">
        <v>46122</v>
      </c>
      <c r="N727" s="272" t="s">
        <v>255</v>
      </c>
      <c r="O727" s="272" t="s">
        <v>329</v>
      </c>
      <c r="Q727" s="272" t="s">
        <v>3297</v>
      </c>
      <c r="R727" s="391">
        <v>1</v>
      </c>
      <c r="S727" s="272">
        <v>117280</v>
      </c>
      <c r="T727" s="294">
        <f t="shared" si="244"/>
        <v>117280</v>
      </c>
    </row>
    <row r="728" spans="2:20" x14ac:dyDescent="0.3">
      <c r="B728" s="272">
        <f t="shared" si="245"/>
        <v>202</v>
      </c>
      <c r="C728" s="288" t="s">
        <v>3085</v>
      </c>
      <c r="D728" s="288" t="str">
        <f t="shared" si="247"/>
        <v>Apr-26</v>
      </c>
      <c r="E728" s="272" t="s">
        <v>472</v>
      </c>
      <c r="F728" s="273">
        <v>46119</v>
      </c>
      <c r="G728" s="272" t="s">
        <v>3022</v>
      </c>
      <c r="H728" s="272" t="s">
        <v>2415</v>
      </c>
      <c r="I728" s="305">
        <v>0</v>
      </c>
      <c r="J728" s="305">
        <v>0</v>
      </c>
      <c r="K728" s="273">
        <v>46119</v>
      </c>
      <c r="L728" s="272" t="s">
        <v>3308</v>
      </c>
      <c r="M728" s="273">
        <v>46119</v>
      </c>
      <c r="N728" s="272" t="s">
        <v>255</v>
      </c>
      <c r="O728" s="305">
        <v>0</v>
      </c>
      <c r="P728" s="305">
        <v>0</v>
      </c>
      <c r="Q728" s="272" t="s">
        <v>3498</v>
      </c>
      <c r="R728" s="391">
        <v>1</v>
      </c>
      <c r="S728" s="305">
        <v>-3125</v>
      </c>
      <c r="T728" s="294">
        <f t="shared" si="244"/>
        <v>-3125</v>
      </c>
    </row>
    <row r="729" spans="2:20" x14ac:dyDescent="0.3">
      <c r="B729" s="272">
        <f t="shared" si="245"/>
        <v>203</v>
      </c>
      <c r="C729" s="288" t="s">
        <v>3085</v>
      </c>
      <c r="D729" s="288" t="str">
        <f t="shared" ref="D729:D732" si="248">TEXT(F729,"mmm-yy")</f>
        <v>Apr-26</v>
      </c>
      <c r="E729" s="272" t="s">
        <v>472</v>
      </c>
      <c r="F729" s="273">
        <v>46139</v>
      </c>
      <c r="G729" s="272" t="s">
        <v>3276</v>
      </c>
      <c r="H729" s="272" t="s">
        <v>3483</v>
      </c>
      <c r="I729" s="272" t="s">
        <v>3484</v>
      </c>
      <c r="J729" s="384" t="s">
        <v>3485</v>
      </c>
      <c r="K729" s="273">
        <v>46126</v>
      </c>
      <c r="L729" s="272" t="s">
        <v>3486</v>
      </c>
      <c r="M729" s="273">
        <v>46139</v>
      </c>
      <c r="N729" s="272" t="s">
        <v>255</v>
      </c>
      <c r="O729" s="272" t="s">
        <v>3487</v>
      </c>
      <c r="Q729" s="272" t="s">
        <v>3297</v>
      </c>
      <c r="R729" s="272">
        <v>1</v>
      </c>
      <c r="S729" s="305">
        <v>35000</v>
      </c>
      <c r="T729" s="294">
        <f t="shared" si="244"/>
        <v>35000</v>
      </c>
    </row>
    <row r="730" spans="2:20" x14ac:dyDescent="0.3">
      <c r="B730" s="272">
        <f t="shared" si="245"/>
        <v>204</v>
      </c>
      <c r="C730" s="288" t="s">
        <v>3085</v>
      </c>
      <c r="D730" s="288" t="str">
        <f t="shared" si="248"/>
        <v>Apr-26</v>
      </c>
      <c r="E730" s="272" t="s">
        <v>472</v>
      </c>
      <c r="F730" s="273">
        <v>46139</v>
      </c>
      <c r="G730" s="272" t="s">
        <v>3276</v>
      </c>
      <c r="H730" s="272" t="s">
        <v>3483</v>
      </c>
      <c r="I730" s="272" t="s">
        <v>3484</v>
      </c>
      <c r="J730" s="384" t="s">
        <v>3485</v>
      </c>
      <c r="K730" s="273">
        <v>46126</v>
      </c>
      <c r="L730" s="272" t="s">
        <v>3486</v>
      </c>
      <c r="M730" s="273">
        <v>46139</v>
      </c>
      <c r="N730" s="272" t="s">
        <v>255</v>
      </c>
      <c r="O730" s="272" t="s">
        <v>3487</v>
      </c>
      <c r="Q730" s="272" t="s">
        <v>3488</v>
      </c>
      <c r="R730" s="272">
        <v>1</v>
      </c>
      <c r="S730" s="305">
        <v>100</v>
      </c>
      <c r="T730" s="294">
        <f t="shared" si="244"/>
        <v>100</v>
      </c>
    </row>
    <row r="731" spans="2:20" x14ac:dyDescent="0.3">
      <c r="B731" s="272">
        <f t="shared" si="245"/>
        <v>205</v>
      </c>
      <c r="C731" s="288" t="s">
        <v>3085</v>
      </c>
      <c r="D731" s="288" t="str">
        <f t="shared" si="248"/>
        <v>May-26</v>
      </c>
      <c r="E731" s="272" t="s">
        <v>472</v>
      </c>
      <c r="F731" s="273">
        <v>46156</v>
      </c>
      <c r="G731" s="272" t="s">
        <v>3626</v>
      </c>
      <c r="H731" s="272" t="s">
        <v>196</v>
      </c>
      <c r="I731" s="272" t="s">
        <v>2680</v>
      </c>
      <c r="J731" s="384" t="s">
        <v>3627</v>
      </c>
      <c r="K731" s="273">
        <v>46152</v>
      </c>
      <c r="L731" s="272" t="s">
        <v>3628</v>
      </c>
      <c r="M731" s="273">
        <v>46156</v>
      </c>
      <c r="N731" s="272" t="s">
        <v>255</v>
      </c>
      <c r="O731" s="272" t="s">
        <v>329</v>
      </c>
      <c r="Q731" s="272" t="s">
        <v>3297</v>
      </c>
      <c r="R731" s="272">
        <v>1</v>
      </c>
      <c r="S731" s="305">
        <v>118020</v>
      </c>
      <c r="T731" s="294">
        <f t="shared" si="244"/>
        <v>118020</v>
      </c>
    </row>
    <row r="732" spans="2:20" x14ac:dyDescent="0.3">
      <c r="B732" s="272">
        <f t="shared" si="245"/>
        <v>206</v>
      </c>
      <c r="C732" s="288" t="s">
        <v>3085</v>
      </c>
      <c r="D732" s="288" t="str">
        <f t="shared" si="248"/>
        <v>May-26</v>
      </c>
      <c r="E732" s="272" t="s">
        <v>472</v>
      </c>
      <c r="F732" s="273">
        <v>46156</v>
      </c>
      <c r="G732" s="272" t="s">
        <v>329</v>
      </c>
      <c r="H732" s="272" t="s">
        <v>2792</v>
      </c>
      <c r="I732" s="272" t="s">
        <v>329</v>
      </c>
      <c r="J732" s="384" t="s">
        <v>3629</v>
      </c>
      <c r="K732" s="273">
        <v>46142</v>
      </c>
      <c r="L732" s="272" t="s">
        <v>3630</v>
      </c>
      <c r="M732" s="273">
        <v>46156</v>
      </c>
      <c r="N732" s="272" t="s">
        <v>3300</v>
      </c>
      <c r="O732" s="272" t="s">
        <v>329</v>
      </c>
      <c r="Q732" s="272" t="s">
        <v>3301</v>
      </c>
      <c r="R732" s="272">
        <v>1</v>
      </c>
      <c r="S732" s="305">
        <v>94900</v>
      </c>
      <c r="T732" s="294">
        <f t="shared" si="244"/>
        <v>94900</v>
      </c>
    </row>
    <row r="733" spans="2:20" x14ac:dyDescent="0.3">
      <c r="B733" s="272">
        <f t="shared" si="245"/>
        <v>207</v>
      </c>
      <c r="C733" s="288" t="s">
        <v>3085</v>
      </c>
      <c r="D733" s="288" t="str">
        <f t="shared" ref="D733:D747" si="249">TEXT(F733,"mmm-yy")</f>
        <v>Jun-26</v>
      </c>
      <c r="E733" s="272" t="s">
        <v>472</v>
      </c>
      <c r="F733" s="273">
        <v>46181</v>
      </c>
      <c r="G733" s="272" t="s">
        <v>329</v>
      </c>
      <c r="H733" s="272" t="s">
        <v>2792</v>
      </c>
      <c r="I733" s="272" t="s">
        <v>329</v>
      </c>
      <c r="J733" s="384" t="s">
        <v>4005</v>
      </c>
      <c r="K733" s="273">
        <v>46173</v>
      </c>
      <c r="L733" s="272" t="s">
        <v>4006</v>
      </c>
      <c r="M733" s="273">
        <v>46181</v>
      </c>
      <c r="N733" s="272" t="s">
        <v>3300</v>
      </c>
      <c r="O733" s="272" t="s">
        <v>329</v>
      </c>
      <c r="Q733" s="272" t="s">
        <v>3301</v>
      </c>
      <c r="R733" s="272">
        <v>1</v>
      </c>
      <c r="S733" s="305">
        <v>116550</v>
      </c>
      <c r="T733" s="294">
        <f t="shared" si="244"/>
        <v>116550</v>
      </c>
    </row>
    <row r="734" spans="2:20" x14ac:dyDescent="0.3">
      <c r="B734" s="272">
        <f t="shared" si="245"/>
        <v>208</v>
      </c>
      <c r="C734" s="288" t="s">
        <v>3085</v>
      </c>
      <c r="D734" s="288" t="str">
        <f t="shared" si="249"/>
        <v>Jun-26</v>
      </c>
      <c r="E734" s="272" t="s">
        <v>472</v>
      </c>
      <c r="F734" s="273">
        <v>46181</v>
      </c>
      <c r="G734" s="272" t="s">
        <v>3744</v>
      </c>
      <c r="H734" s="272" t="s">
        <v>2415</v>
      </c>
      <c r="I734" s="272" t="s">
        <v>329</v>
      </c>
      <c r="J734" s="384" t="s">
        <v>4007</v>
      </c>
      <c r="K734" s="273">
        <v>46175</v>
      </c>
      <c r="L734" s="272" t="s">
        <v>4008</v>
      </c>
      <c r="M734" s="273">
        <v>46181</v>
      </c>
      <c r="N734" s="272" t="s">
        <v>255</v>
      </c>
      <c r="O734" s="272" t="s">
        <v>4009</v>
      </c>
      <c r="Q734" s="272" t="s">
        <v>3297</v>
      </c>
      <c r="R734" s="272">
        <v>1</v>
      </c>
      <c r="S734" s="305">
        <v>30000</v>
      </c>
      <c r="T734" s="294">
        <f t="shared" si="244"/>
        <v>30000</v>
      </c>
    </row>
    <row r="735" spans="2:20" x14ac:dyDescent="0.3">
      <c r="B735" s="272">
        <f t="shared" si="245"/>
        <v>209</v>
      </c>
      <c r="C735" s="288" t="s">
        <v>3085</v>
      </c>
      <c r="D735" s="288" t="str">
        <f t="shared" si="249"/>
        <v>Jun-26</v>
      </c>
      <c r="E735" s="272" t="s">
        <v>472</v>
      </c>
      <c r="F735" s="273">
        <v>46181</v>
      </c>
      <c r="G735" s="272" t="s">
        <v>3744</v>
      </c>
      <c r="H735" s="272" t="s">
        <v>2415</v>
      </c>
      <c r="I735" s="272" t="s">
        <v>329</v>
      </c>
      <c r="J735" s="384" t="s">
        <v>4007</v>
      </c>
      <c r="K735" s="273">
        <v>46175</v>
      </c>
      <c r="L735" s="272" t="s">
        <v>4008</v>
      </c>
      <c r="M735" s="273">
        <v>46181</v>
      </c>
      <c r="N735" s="272" t="s">
        <v>255</v>
      </c>
      <c r="O735" s="272" t="s">
        <v>4009</v>
      </c>
      <c r="Q735" s="272" t="s">
        <v>3297</v>
      </c>
      <c r="R735" s="272">
        <v>1</v>
      </c>
      <c r="S735" s="305">
        <v>350</v>
      </c>
      <c r="T735" s="294">
        <f t="shared" si="244"/>
        <v>350</v>
      </c>
    </row>
    <row r="736" spans="2:20" x14ac:dyDescent="0.3">
      <c r="B736" s="272">
        <f t="shared" si="245"/>
        <v>210</v>
      </c>
      <c r="C736" s="288" t="s">
        <v>3085</v>
      </c>
      <c r="D736" s="288" t="str">
        <f t="shared" si="249"/>
        <v>Jun-26</v>
      </c>
      <c r="E736" s="272" t="s">
        <v>472</v>
      </c>
      <c r="F736" s="273">
        <v>46181</v>
      </c>
      <c r="G736" s="272" t="s">
        <v>3721</v>
      </c>
      <c r="H736" s="272" t="s">
        <v>2415</v>
      </c>
      <c r="I736" s="272" t="s">
        <v>329</v>
      </c>
      <c r="J736" s="384" t="s">
        <v>4010</v>
      </c>
      <c r="K736" s="273">
        <v>46175</v>
      </c>
      <c r="L736" s="272" t="s">
        <v>4011</v>
      </c>
      <c r="M736" s="273">
        <v>46181</v>
      </c>
      <c r="N736" s="272" t="s">
        <v>255</v>
      </c>
      <c r="O736" s="272" t="s">
        <v>4012</v>
      </c>
      <c r="Q736" s="272" t="s">
        <v>3297</v>
      </c>
      <c r="R736" s="272">
        <v>1</v>
      </c>
      <c r="S736" s="305">
        <v>30000</v>
      </c>
      <c r="T736" s="294">
        <f t="shared" si="244"/>
        <v>30000</v>
      </c>
    </row>
    <row r="737" spans="2:20" x14ac:dyDescent="0.3">
      <c r="B737" s="272">
        <f t="shared" si="245"/>
        <v>211</v>
      </c>
      <c r="C737" s="288" t="s">
        <v>3085</v>
      </c>
      <c r="D737" s="288" t="str">
        <f t="shared" si="249"/>
        <v>Jun-26</v>
      </c>
      <c r="E737" s="272" t="s">
        <v>472</v>
      </c>
      <c r="F737" s="273">
        <v>46181</v>
      </c>
      <c r="G737" s="272" t="s">
        <v>3721</v>
      </c>
      <c r="H737" s="272" t="s">
        <v>2415</v>
      </c>
      <c r="I737" s="272" t="s">
        <v>329</v>
      </c>
      <c r="J737" s="384" t="s">
        <v>4010</v>
      </c>
      <c r="K737" s="273">
        <v>46175</v>
      </c>
      <c r="L737" s="272" t="s">
        <v>4011</v>
      </c>
      <c r="M737" s="273">
        <v>46181</v>
      </c>
      <c r="N737" s="272" t="s">
        <v>255</v>
      </c>
      <c r="O737" s="272" t="s">
        <v>4012</v>
      </c>
      <c r="Q737" s="272" t="s">
        <v>3297</v>
      </c>
      <c r="R737" s="272">
        <v>1</v>
      </c>
      <c r="S737" s="305">
        <v>350</v>
      </c>
      <c r="T737" s="294">
        <f t="shared" si="244"/>
        <v>350</v>
      </c>
    </row>
    <row r="738" spans="2:20" x14ac:dyDescent="0.3">
      <c r="B738" s="272">
        <f t="shared" si="245"/>
        <v>212</v>
      </c>
      <c r="C738" s="288" t="s">
        <v>3085</v>
      </c>
      <c r="D738" s="288" t="str">
        <f t="shared" si="249"/>
        <v>Jun-26</v>
      </c>
      <c r="E738" s="272" t="s">
        <v>472</v>
      </c>
      <c r="F738" s="273">
        <v>46181</v>
      </c>
      <c r="G738" s="272" t="s">
        <v>3274</v>
      </c>
      <c r="H738" s="272" t="s">
        <v>1433</v>
      </c>
      <c r="I738" s="272" t="s">
        <v>329</v>
      </c>
      <c r="J738" s="384" t="s">
        <v>3079</v>
      </c>
      <c r="K738" s="273">
        <v>46137</v>
      </c>
      <c r="L738" s="272" t="s">
        <v>4013</v>
      </c>
      <c r="M738" s="273">
        <v>46181</v>
      </c>
      <c r="N738" s="272" t="s">
        <v>255</v>
      </c>
      <c r="O738" s="272" t="s">
        <v>4014</v>
      </c>
      <c r="Q738" s="272" t="s">
        <v>3297</v>
      </c>
      <c r="R738" s="272">
        <v>1</v>
      </c>
      <c r="S738" s="305">
        <v>36240</v>
      </c>
      <c r="T738" s="294">
        <f t="shared" si="244"/>
        <v>36240</v>
      </c>
    </row>
    <row r="739" spans="2:20" x14ac:dyDescent="0.3">
      <c r="B739" s="272">
        <f t="shared" si="245"/>
        <v>213</v>
      </c>
      <c r="C739" s="288" t="s">
        <v>3085</v>
      </c>
      <c r="D739" s="288" t="str">
        <f t="shared" si="249"/>
        <v>Jun-26</v>
      </c>
      <c r="E739" s="272" t="s">
        <v>472</v>
      </c>
      <c r="F739" s="273">
        <v>46181</v>
      </c>
      <c r="G739" s="272" t="s">
        <v>3274</v>
      </c>
      <c r="H739" s="272" t="s">
        <v>1433</v>
      </c>
      <c r="I739" s="272" t="s">
        <v>329</v>
      </c>
      <c r="J739" s="384" t="s">
        <v>3079</v>
      </c>
      <c r="K739" s="273">
        <v>46137</v>
      </c>
      <c r="L739" s="272" t="s">
        <v>4013</v>
      </c>
      <c r="M739" s="273">
        <v>46181</v>
      </c>
      <c r="N739" s="272" t="s">
        <v>255</v>
      </c>
      <c r="O739" s="272" t="s">
        <v>4014</v>
      </c>
      <c r="Q739" s="272" t="s">
        <v>3297</v>
      </c>
      <c r="R739" s="272">
        <v>1</v>
      </c>
      <c r="S739" s="305">
        <v>33000</v>
      </c>
      <c r="T739" s="294">
        <f t="shared" si="244"/>
        <v>33000</v>
      </c>
    </row>
    <row r="740" spans="2:20" x14ac:dyDescent="0.3">
      <c r="B740" s="272">
        <f t="shared" si="245"/>
        <v>214</v>
      </c>
      <c r="C740" s="288" t="s">
        <v>3085</v>
      </c>
      <c r="D740" s="288" t="str">
        <f t="shared" si="249"/>
        <v>Jun-26</v>
      </c>
      <c r="E740" s="272" t="s">
        <v>472</v>
      </c>
      <c r="F740" s="273">
        <v>46189</v>
      </c>
      <c r="G740" s="272" t="s">
        <v>3982</v>
      </c>
      <c r="H740" s="272" t="s">
        <v>2415</v>
      </c>
      <c r="I740" s="272" t="s">
        <v>329</v>
      </c>
      <c r="J740" s="384" t="s">
        <v>4015</v>
      </c>
      <c r="K740" s="273">
        <v>46186</v>
      </c>
      <c r="L740" s="272" t="s">
        <v>4016</v>
      </c>
      <c r="M740" s="273">
        <v>46189</v>
      </c>
      <c r="N740" s="272" t="s">
        <v>255</v>
      </c>
      <c r="O740" s="272" t="s">
        <v>4017</v>
      </c>
      <c r="Q740" s="272" t="s">
        <v>3297</v>
      </c>
      <c r="R740" s="272">
        <v>1</v>
      </c>
      <c r="S740" s="305">
        <v>30000</v>
      </c>
      <c r="T740" s="294">
        <f t="shared" si="244"/>
        <v>30000</v>
      </c>
    </row>
    <row r="741" spans="2:20" x14ac:dyDescent="0.3">
      <c r="B741" s="272">
        <f t="shared" si="245"/>
        <v>215</v>
      </c>
      <c r="C741" s="288" t="s">
        <v>3085</v>
      </c>
      <c r="D741" s="288" t="str">
        <f t="shared" si="249"/>
        <v>Jun-26</v>
      </c>
      <c r="E741" s="272" t="s">
        <v>472</v>
      </c>
      <c r="F741" s="273">
        <v>46189</v>
      </c>
      <c r="G741" s="272" t="s">
        <v>3982</v>
      </c>
      <c r="H741" s="272" t="s">
        <v>2415</v>
      </c>
      <c r="I741" s="272" t="s">
        <v>329</v>
      </c>
      <c r="J741" s="384" t="s">
        <v>4015</v>
      </c>
      <c r="K741" s="273">
        <v>46186</v>
      </c>
      <c r="L741" s="272" t="s">
        <v>4016</v>
      </c>
      <c r="M741" s="273">
        <v>46189</v>
      </c>
      <c r="N741" s="272" t="s">
        <v>255</v>
      </c>
      <c r="O741" s="272" t="s">
        <v>4017</v>
      </c>
      <c r="Q741" s="272" t="s">
        <v>3297</v>
      </c>
      <c r="R741" s="272">
        <v>1</v>
      </c>
      <c r="S741" s="305">
        <v>350</v>
      </c>
      <c r="T741" s="294">
        <f t="shared" si="244"/>
        <v>350</v>
      </c>
    </row>
    <row r="742" spans="2:20" x14ac:dyDescent="0.3">
      <c r="B742" s="272">
        <f t="shared" si="245"/>
        <v>216</v>
      </c>
      <c r="C742" s="288" t="s">
        <v>3085</v>
      </c>
      <c r="D742" s="288" t="str">
        <f t="shared" si="249"/>
        <v>Jun-26</v>
      </c>
      <c r="E742" s="272" t="s">
        <v>472</v>
      </c>
      <c r="F742" s="273">
        <v>46189</v>
      </c>
      <c r="G742" s="272" t="s">
        <v>3980</v>
      </c>
      <c r="H742" s="272" t="s">
        <v>2415</v>
      </c>
      <c r="I742" s="272" t="s">
        <v>329</v>
      </c>
      <c r="J742" s="384" t="s">
        <v>4018</v>
      </c>
      <c r="K742" s="273">
        <v>46186</v>
      </c>
      <c r="L742" s="272" t="s">
        <v>4019</v>
      </c>
      <c r="M742" s="273">
        <v>46189</v>
      </c>
      <c r="N742" s="272" t="s">
        <v>255</v>
      </c>
      <c r="O742" s="272" t="s">
        <v>4017</v>
      </c>
      <c r="Q742" s="272" t="s">
        <v>3297</v>
      </c>
      <c r="R742" s="272">
        <v>1</v>
      </c>
      <c r="S742" s="305">
        <v>30000</v>
      </c>
      <c r="T742" s="294">
        <f t="shared" si="244"/>
        <v>30000</v>
      </c>
    </row>
    <row r="743" spans="2:20" x14ac:dyDescent="0.3">
      <c r="B743" s="272">
        <f t="shared" si="245"/>
        <v>217</v>
      </c>
      <c r="C743" s="288" t="s">
        <v>3085</v>
      </c>
      <c r="D743" s="288" t="str">
        <f t="shared" si="249"/>
        <v>Jun-26</v>
      </c>
      <c r="E743" s="272" t="s">
        <v>472</v>
      </c>
      <c r="F743" s="273">
        <v>46189</v>
      </c>
      <c r="G743" s="272" t="s">
        <v>3980</v>
      </c>
      <c r="H743" s="272" t="s">
        <v>2415</v>
      </c>
      <c r="I743" s="272" t="s">
        <v>329</v>
      </c>
      <c r="J743" s="384" t="s">
        <v>4018</v>
      </c>
      <c r="K743" s="273">
        <v>46186</v>
      </c>
      <c r="L743" s="272" t="s">
        <v>4019</v>
      </c>
      <c r="M743" s="273">
        <v>46189</v>
      </c>
      <c r="N743" s="272" t="s">
        <v>255</v>
      </c>
      <c r="O743" s="272" t="s">
        <v>4017</v>
      </c>
      <c r="Q743" s="272" t="s">
        <v>3297</v>
      </c>
      <c r="R743" s="272">
        <v>1</v>
      </c>
      <c r="S743" s="305">
        <v>350</v>
      </c>
      <c r="T743" s="294">
        <f t="shared" si="244"/>
        <v>350</v>
      </c>
    </row>
    <row r="744" spans="2:20" x14ac:dyDescent="0.3">
      <c r="B744" s="272">
        <f t="shared" si="245"/>
        <v>218</v>
      </c>
      <c r="C744" s="288" t="s">
        <v>3085</v>
      </c>
      <c r="D744" s="288" t="str">
        <f t="shared" si="249"/>
        <v>Jun-26</v>
      </c>
      <c r="E744" s="272" t="s">
        <v>472</v>
      </c>
      <c r="F744" s="273">
        <v>46196</v>
      </c>
      <c r="G744" s="272" t="s">
        <v>3978</v>
      </c>
      <c r="H744" s="272" t="s">
        <v>2415</v>
      </c>
      <c r="I744" s="272" t="s">
        <v>329</v>
      </c>
      <c r="J744" s="384" t="s">
        <v>4020</v>
      </c>
      <c r="K744" s="273">
        <v>46186</v>
      </c>
      <c r="L744" s="272" t="s">
        <v>4021</v>
      </c>
      <c r="M744" s="273">
        <v>46196</v>
      </c>
      <c r="N744" s="272" t="s">
        <v>255</v>
      </c>
      <c r="O744" s="272" t="s">
        <v>4022</v>
      </c>
      <c r="Q744" s="272" t="s">
        <v>3297</v>
      </c>
      <c r="R744" s="272">
        <v>1</v>
      </c>
      <c r="S744" s="305">
        <v>37440</v>
      </c>
      <c r="T744" s="294">
        <f t="shared" si="244"/>
        <v>37440</v>
      </c>
    </row>
    <row r="745" spans="2:20" x14ac:dyDescent="0.3">
      <c r="B745" s="272">
        <f t="shared" si="245"/>
        <v>219</v>
      </c>
      <c r="C745" s="288" t="s">
        <v>3085</v>
      </c>
      <c r="D745" s="288" t="str">
        <f t="shared" si="249"/>
        <v>Jun-26</v>
      </c>
      <c r="E745" s="272" t="s">
        <v>472</v>
      </c>
      <c r="F745" s="273">
        <v>46196</v>
      </c>
      <c r="G745" s="272" t="s">
        <v>3978</v>
      </c>
      <c r="H745" s="272" t="s">
        <v>2415</v>
      </c>
      <c r="I745" s="272" t="s">
        <v>329</v>
      </c>
      <c r="J745" s="384" t="s">
        <v>4020</v>
      </c>
      <c r="K745" s="273">
        <v>46186</v>
      </c>
      <c r="L745" s="272" t="s">
        <v>4021</v>
      </c>
      <c r="M745" s="273">
        <v>46196</v>
      </c>
      <c r="N745" s="272" t="s">
        <v>255</v>
      </c>
      <c r="O745" s="272" t="s">
        <v>4022</v>
      </c>
      <c r="Q745" s="272" t="s">
        <v>4023</v>
      </c>
      <c r="R745" s="272">
        <v>1</v>
      </c>
      <c r="S745" s="305">
        <v>7500</v>
      </c>
      <c r="T745" s="294">
        <f t="shared" si="244"/>
        <v>7500</v>
      </c>
    </row>
    <row r="746" spans="2:20" x14ac:dyDescent="0.3">
      <c r="B746" s="272">
        <f t="shared" si="245"/>
        <v>220</v>
      </c>
      <c r="C746" s="288" t="s">
        <v>3085</v>
      </c>
      <c r="D746" s="288" t="str">
        <f t="shared" si="249"/>
        <v>Jun-26</v>
      </c>
      <c r="E746" s="272" t="s">
        <v>472</v>
      </c>
      <c r="F746" s="273">
        <v>46196</v>
      </c>
      <c r="G746" s="272" t="s">
        <v>3978</v>
      </c>
      <c r="H746" s="272" t="s">
        <v>2415</v>
      </c>
      <c r="I746" s="272" t="s">
        <v>329</v>
      </c>
      <c r="J746" s="384" t="s">
        <v>4020</v>
      </c>
      <c r="K746" s="273">
        <v>46186</v>
      </c>
      <c r="L746" s="272" t="s">
        <v>4021</v>
      </c>
      <c r="M746" s="273">
        <v>46196</v>
      </c>
      <c r="N746" s="272" t="s">
        <v>255</v>
      </c>
      <c r="O746" s="272" t="s">
        <v>4022</v>
      </c>
      <c r="Q746" s="272" t="s">
        <v>3297</v>
      </c>
      <c r="R746" s="272">
        <v>1</v>
      </c>
      <c r="S746" s="305">
        <v>30000</v>
      </c>
      <c r="T746" s="294">
        <f t="shared" si="244"/>
        <v>30000</v>
      </c>
    </row>
    <row r="747" spans="2:20" x14ac:dyDescent="0.3">
      <c r="B747" s="272">
        <f t="shared" si="245"/>
        <v>221</v>
      </c>
      <c r="C747" s="288" t="s">
        <v>3085</v>
      </c>
      <c r="D747" s="288" t="str">
        <f t="shared" si="249"/>
        <v>Jun-26</v>
      </c>
      <c r="E747" s="272" t="s">
        <v>472</v>
      </c>
      <c r="F747" s="273">
        <v>46196</v>
      </c>
      <c r="G747" s="272" t="s">
        <v>3978</v>
      </c>
      <c r="H747" s="272" t="s">
        <v>2415</v>
      </c>
      <c r="I747" s="272" t="s">
        <v>329</v>
      </c>
      <c r="J747" s="384" t="s">
        <v>4020</v>
      </c>
      <c r="K747" s="273">
        <v>46186</v>
      </c>
      <c r="L747" s="272" t="s">
        <v>4021</v>
      </c>
      <c r="M747" s="273">
        <v>46196</v>
      </c>
      <c r="N747" s="272" t="s">
        <v>255</v>
      </c>
      <c r="O747" s="272" t="s">
        <v>4022</v>
      </c>
      <c r="Q747" s="272" t="s">
        <v>3297</v>
      </c>
      <c r="R747" s="272">
        <v>1</v>
      </c>
      <c r="S747" s="305">
        <v>350</v>
      </c>
      <c r="T747" s="294">
        <f t="shared" si="244"/>
        <v>350</v>
      </c>
    </row>
    <row r="748" spans="2:20" x14ac:dyDescent="0.3">
      <c r="B748" s="272">
        <f t="shared" si="245"/>
        <v>222</v>
      </c>
      <c r="C748" s="288" t="s">
        <v>3085</v>
      </c>
      <c r="D748" s="288" t="str">
        <f t="shared" ref="D748:D750" si="250">TEXT(F748,"mmm-yy")</f>
        <v>Jun-26</v>
      </c>
      <c r="E748" s="272" t="s">
        <v>4030</v>
      </c>
      <c r="F748" s="273">
        <v>46177</v>
      </c>
      <c r="G748" s="272" t="s">
        <v>3744</v>
      </c>
      <c r="H748" s="272" t="s">
        <v>2415</v>
      </c>
      <c r="J748" s="384" t="s">
        <v>4031</v>
      </c>
      <c r="Q748" s="272" t="s">
        <v>3498</v>
      </c>
      <c r="R748" s="272">
        <v>1</v>
      </c>
      <c r="S748" s="305">
        <v>-3300</v>
      </c>
      <c r="T748" s="294">
        <f t="shared" si="244"/>
        <v>-3300</v>
      </c>
    </row>
    <row r="749" spans="2:20" x14ac:dyDescent="0.3">
      <c r="B749" s="272">
        <f t="shared" si="245"/>
        <v>223</v>
      </c>
      <c r="C749" s="288" t="s">
        <v>3085</v>
      </c>
      <c r="D749" s="288" t="str">
        <f t="shared" si="250"/>
        <v>Jun-26</v>
      </c>
      <c r="E749" s="272" t="s">
        <v>4030</v>
      </c>
      <c r="F749" s="273">
        <v>46188</v>
      </c>
      <c r="G749" s="272" t="s">
        <v>3980</v>
      </c>
      <c r="H749" s="272" t="s">
        <v>2415</v>
      </c>
      <c r="J749" s="384" t="s">
        <v>4032</v>
      </c>
      <c r="Q749" s="272" t="s">
        <v>3498</v>
      </c>
      <c r="R749" s="272">
        <v>1</v>
      </c>
      <c r="S749" s="305">
        <v>-4455</v>
      </c>
      <c r="T749" s="294">
        <f t="shared" si="244"/>
        <v>-4455</v>
      </c>
    </row>
    <row r="750" spans="2:20" x14ac:dyDescent="0.3">
      <c r="B750" s="272">
        <f t="shared" si="245"/>
        <v>224</v>
      </c>
      <c r="C750" s="288" t="s">
        <v>3085</v>
      </c>
      <c r="D750" s="288" t="str">
        <f t="shared" si="250"/>
        <v>Jun-26</v>
      </c>
      <c r="E750" s="272" t="s">
        <v>4030</v>
      </c>
      <c r="F750" s="273">
        <v>46189</v>
      </c>
      <c r="G750" s="272" t="s">
        <v>3982</v>
      </c>
      <c r="H750" s="272" t="s">
        <v>2415</v>
      </c>
      <c r="J750" s="384" t="s">
        <v>4033</v>
      </c>
      <c r="Q750" s="272" t="s">
        <v>3498</v>
      </c>
      <c r="R750" s="272">
        <v>1</v>
      </c>
      <c r="S750" s="305">
        <v>-2310</v>
      </c>
      <c r="T750" s="294">
        <f t="shared" si="244"/>
        <v>-2310</v>
      </c>
    </row>
    <row r="751" spans="2:20" x14ac:dyDescent="0.3">
      <c r="C751" s="288"/>
      <c r="D751" s="288"/>
      <c r="R751" s="272"/>
      <c r="T751" s="294"/>
    </row>
    <row r="752" spans="2:20" x14ac:dyDescent="0.3">
      <c r="C752" s="288"/>
      <c r="D752" s="288"/>
      <c r="R752" s="272"/>
      <c r="T752" s="294"/>
    </row>
    <row r="753" spans="2:45" ht="14.4" thickBot="1" x14ac:dyDescent="0.35">
      <c r="C753" s="288"/>
      <c r="D753" s="288"/>
      <c r="R753" s="272"/>
      <c r="T753" s="294"/>
    </row>
    <row r="754" spans="2:45" ht="14.4" thickBot="1" x14ac:dyDescent="0.35">
      <c r="B754" s="379"/>
      <c r="C754" s="380"/>
      <c r="D754" s="380"/>
      <c r="E754" s="380"/>
      <c r="F754" s="381"/>
      <c r="G754" s="380"/>
      <c r="H754" s="380"/>
      <c r="I754" s="380"/>
      <c r="J754" s="389"/>
      <c r="K754" s="381"/>
      <c r="L754" s="380"/>
      <c r="M754" s="381"/>
      <c r="N754" s="380"/>
      <c r="O754" s="380"/>
      <c r="P754" s="380"/>
      <c r="Q754" s="380"/>
      <c r="R754" s="401"/>
      <c r="S754" s="413"/>
      <c r="T754" s="392">
        <f>SUBTOTAL(9,T527:T753)</f>
        <v>8911745.3050000016</v>
      </c>
      <c r="U754" s="381"/>
      <c r="V754" s="380"/>
      <c r="W754" s="380"/>
      <c r="X754" s="381"/>
      <c r="Y754" s="381"/>
      <c r="Z754" s="381"/>
      <c r="AA754" s="380"/>
      <c r="AB754" s="380"/>
      <c r="AC754" s="380"/>
      <c r="AD754" s="380"/>
      <c r="AE754" s="389"/>
      <c r="AF754" s="389"/>
      <c r="AG754" s="389"/>
      <c r="AH754" s="389"/>
      <c r="AI754" s="389"/>
      <c r="AJ754" s="389"/>
      <c r="AK754" s="389"/>
      <c r="AL754" s="389"/>
      <c r="AM754" s="389"/>
      <c r="AN754" s="380"/>
      <c r="AO754" s="380"/>
      <c r="AP754" s="380"/>
      <c r="AQ754" s="380"/>
      <c r="AR754" s="380"/>
      <c r="AS754" s="382"/>
    </row>
  </sheetData>
  <conditionalFormatting sqref="G5:G421">
    <cfRule type="duplicateValues" dxfId="92" priority="21198"/>
  </conditionalFormatting>
  <conditionalFormatting sqref="G519:G521">
    <cfRule type="duplicateValues" dxfId="91" priority="21213"/>
  </conditionalFormatting>
  <conditionalFormatting sqref="Y4">
    <cfRule type="duplicateValues" dxfId="90" priority="5"/>
  </conditionalFormatting>
  <conditionalFormatting sqref="Y434">
    <cfRule type="duplicateValues" dxfId="89" priority="4"/>
  </conditionalFormatting>
  <conditionalFormatting sqref="Y526">
    <cfRule type="duplicateValues" dxfId="88" priority="2"/>
  </conditionalFormatting>
  <conditionalFormatting sqref="AA527:AA1048576 AA523:AA525 AA422:AA433 AA1:AA3">
    <cfRule type="duplicateValues" dxfId="87" priority="6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16A0-8A13-4980-95AD-06BCB9DB6CAB}">
  <sheetPr codeName="Sheet6"/>
  <dimension ref="A1:AU433"/>
  <sheetViews>
    <sheetView showGridLines="0" topLeftCell="F417" workbookViewId="0">
      <selection activeCell="AA206" sqref="AA206"/>
    </sheetView>
  </sheetViews>
  <sheetFormatPr defaultRowHeight="14.4" x14ac:dyDescent="0.3"/>
  <cols>
    <col min="1" max="1" width="8" bestFit="1" customWidth="1"/>
    <col min="2" max="2" width="13.77734375" bestFit="1" customWidth="1"/>
    <col min="3" max="3" width="12.21875" bestFit="1" customWidth="1"/>
    <col min="4" max="4" width="7.109375" bestFit="1" customWidth="1"/>
    <col min="5" max="5" width="11.21875" style="242" bestFit="1" customWidth="1"/>
    <col min="6" max="6" width="15" bestFit="1" customWidth="1"/>
    <col min="7" max="7" width="44.88671875" bestFit="1" customWidth="1"/>
    <col min="8" max="8" width="12.33203125" style="233" bestFit="1" customWidth="1"/>
    <col min="9" max="9" width="11.21875" style="233" bestFit="1" customWidth="1"/>
    <col min="10" max="10" width="15" style="233" bestFit="1" customWidth="1"/>
    <col min="11" max="11" width="13.21875" bestFit="1" customWidth="1"/>
    <col min="12" max="12" width="15" bestFit="1" customWidth="1"/>
    <col min="13" max="13" width="10.5546875" customWidth="1"/>
    <col min="14" max="14" width="28.109375" bestFit="1" customWidth="1"/>
    <col min="15" max="15" width="10.44140625" bestFit="1" customWidth="1"/>
    <col min="16" max="16" width="12.21875" bestFit="1" customWidth="1"/>
    <col min="17" max="17" width="11.21875" bestFit="1" customWidth="1"/>
    <col min="18" max="18" width="18" bestFit="1" customWidth="1"/>
    <col min="19" max="19" width="45" bestFit="1" customWidth="1"/>
    <col min="20" max="20" width="9.77734375" style="3" bestFit="1" customWidth="1"/>
    <col min="21" max="21" width="10.21875" style="233" bestFit="1" customWidth="1"/>
    <col min="22" max="22" width="12.33203125" style="3" bestFit="1" customWidth="1"/>
    <col min="23" max="23" width="11.109375" style="3" bestFit="1" customWidth="1"/>
    <col min="24" max="24" width="12.33203125" style="3" bestFit="1" customWidth="1"/>
    <col min="25" max="25" width="12.109375" bestFit="1" customWidth="1"/>
    <col min="26" max="27" width="11.21875" customWidth="1"/>
    <col min="28" max="28" width="7.44140625" bestFit="1" customWidth="1"/>
    <col min="29" max="29" width="10.109375" style="242" bestFit="1" customWidth="1"/>
    <col min="30" max="30" width="14.33203125" bestFit="1" customWidth="1"/>
    <col min="31" max="31" width="44.6640625" bestFit="1" customWidth="1"/>
    <col min="32" max="32" width="32.88671875" bestFit="1" customWidth="1"/>
    <col min="33" max="33" width="32" bestFit="1" customWidth="1"/>
    <col min="34" max="34" width="23" style="242" bestFit="1" customWidth="1"/>
    <col min="35" max="35" width="17.5546875" bestFit="1" customWidth="1"/>
    <col min="36" max="36" width="15.88671875" style="242" bestFit="1" customWidth="1"/>
    <col min="37" max="37" width="15.21875" bestFit="1" customWidth="1"/>
    <col min="38" max="38" width="13.44140625" bestFit="1" customWidth="1"/>
    <col min="39" max="39" width="10.77734375" bestFit="1" customWidth="1"/>
    <col min="40" max="40" width="13.5546875" style="3" bestFit="1" customWidth="1"/>
    <col min="41" max="41" width="8.6640625" style="3" bestFit="1" customWidth="1"/>
    <col min="42" max="42" width="9.77734375" style="3" bestFit="1" customWidth="1"/>
    <col min="43" max="43" width="7.21875" style="3" bestFit="1" customWidth="1"/>
    <col min="44" max="44" width="9.77734375" style="3" bestFit="1" customWidth="1"/>
    <col min="45" max="45" width="5" bestFit="1" customWidth="1"/>
    <col min="46" max="46" width="33" bestFit="1" customWidth="1"/>
    <col min="47" max="47" width="21.77734375" bestFit="1" customWidth="1"/>
  </cols>
  <sheetData>
    <row r="1" spans="1:47" ht="15" thickBot="1" x14ac:dyDescent="0.35">
      <c r="G1" s="233">
        <f>H2*I2</f>
        <v>0</v>
      </c>
      <c r="L1" s="400"/>
      <c r="AT1">
        <v>4847684.6800000006</v>
      </c>
    </row>
    <row r="2" spans="1:47" s="234" customFormat="1" ht="15" thickBot="1" x14ac:dyDescent="0.35">
      <c r="E2" s="319"/>
      <c r="H2" s="235">
        <f>SUBTOTAL(9,H4:H495)</f>
        <v>4067983</v>
      </c>
      <c r="I2" s="235"/>
      <c r="J2" s="235">
        <f>SUBTOTAL(9,J4:J495)</f>
        <v>135012791.05875999</v>
      </c>
      <c r="K2" s="235">
        <f>SUBTOTAL(9,K4:K495)</f>
        <v>-741438</v>
      </c>
      <c r="L2" s="235">
        <f>SUBTOTAL(9,L4:L495)</f>
        <v>134271353.05875999</v>
      </c>
      <c r="T2" s="66">
        <f>SUBTOTAL(9,T4:T493)</f>
        <v>4493887.2</v>
      </c>
      <c r="U2" s="235"/>
      <c r="V2" s="66">
        <f>SUBTOTAL(9,V4:V493)</f>
        <v>160652198.83999997</v>
      </c>
      <c r="W2" s="66">
        <f>SUBTOTAL(9,W4:W493)</f>
        <v>-7777762.3799999999</v>
      </c>
      <c r="X2" s="66">
        <f>SUBTOTAL(9,X4:X493)</f>
        <v>152874436.45999998</v>
      </c>
      <c r="Y2"/>
      <c r="Z2"/>
      <c r="AA2"/>
      <c r="AB2"/>
      <c r="AC2" s="242"/>
      <c r="AD2"/>
      <c r="AE2"/>
      <c r="AF2"/>
      <c r="AH2" s="319"/>
      <c r="AJ2" s="319"/>
      <c r="AN2" s="66"/>
      <c r="AO2" s="66"/>
      <c r="AP2" s="66">
        <f>SUBTOTAL(9,AP4:AP496)</f>
        <v>8935562.1850000024</v>
      </c>
      <c r="AQ2" s="66">
        <f>SUBTOTAL(9,AQ4:AQ496)</f>
        <v>63867.51</v>
      </c>
      <c r="AR2" s="66">
        <f>SUBTOTAL(9,AR4:AR496)</f>
        <v>8871694.6750000007</v>
      </c>
      <c r="AT2" s="352" t="s">
        <v>2370</v>
      </c>
      <c r="AU2" s="353" t="s">
        <v>2371</v>
      </c>
    </row>
    <row r="3" spans="1:47" x14ac:dyDescent="0.3">
      <c r="A3" t="s">
        <v>57</v>
      </c>
      <c r="B3" s="236" t="s">
        <v>2742</v>
      </c>
      <c r="C3" s="236" t="s">
        <v>539</v>
      </c>
      <c r="D3" s="236" t="s">
        <v>15</v>
      </c>
      <c r="E3" s="236" t="s">
        <v>109</v>
      </c>
      <c r="F3" s="237" t="s">
        <v>209</v>
      </c>
      <c r="G3" s="237" t="s">
        <v>112</v>
      </c>
      <c r="H3" s="238" t="s">
        <v>210</v>
      </c>
      <c r="I3" s="238" t="s">
        <v>211</v>
      </c>
      <c r="J3" s="238" t="s">
        <v>212</v>
      </c>
      <c r="K3" s="238" t="s">
        <v>2128</v>
      </c>
      <c r="L3" s="238" t="s">
        <v>2129</v>
      </c>
      <c r="M3" s="234"/>
      <c r="N3" s="237" t="s">
        <v>209</v>
      </c>
      <c r="O3" s="237" t="s">
        <v>213</v>
      </c>
      <c r="P3" s="237" t="s">
        <v>539</v>
      </c>
      <c r="Q3" s="236" t="s">
        <v>214</v>
      </c>
      <c r="R3" s="237" t="s">
        <v>215</v>
      </c>
      <c r="S3" s="237" t="s">
        <v>71</v>
      </c>
      <c r="T3" s="341" t="s">
        <v>210</v>
      </c>
      <c r="U3" s="238" t="s">
        <v>216</v>
      </c>
      <c r="V3" s="341" t="s">
        <v>58</v>
      </c>
      <c r="W3" s="341" t="s">
        <v>217</v>
      </c>
      <c r="X3" s="341" t="s">
        <v>218</v>
      </c>
      <c r="Y3" s="341" t="s">
        <v>56</v>
      </c>
      <c r="AA3" s="341" t="s">
        <v>539</v>
      </c>
      <c r="AB3" s="341" t="s">
        <v>15</v>
      </c>
      <c r="AC3" s="481" t="s">
        <v>109</v>
      </c>
      <c r="AD3" s="482" t="s">
        <v>209</v>
      </c>
      <c r="AE3" s="482" t="s">
        <v>112</v>
      </c>
      <c r="AF3" s="482" t="s">
        <v>277</v>
      </c>
      <c r="AG3" s="482" t="s">
        <v>110</v>
      </c>
      <c r="AH3" s="481" t="s">
        <v>278</v>
      </c>
      <c r="AI3" s="482" t="s">
        <v>279</v>
      </c>
      <c r="AJ3" s="481" t="s">
        <v>540</v>
      </c>
      <c r="AK3" s="482" t="s">
        <v>541</v>
      </c>
      <c r="AL3" s="482" t="s">
        <v>542</v>
      </c>
      <c r="AM3" s="482" t="s">
        <v>3075</v>
      </c>
      <c r="AN3" s="483" t="s">
        <v>533</v>
      </c>
      <c r="AO3" s="483" t="s">
        <v>211</v>
      </c>
      <c r="AP3" s="483" t="s">
        <v>161</v>
      </c>
      <c r="AQ3" s="483" t="s">
        <v>2591</v>
      </c>
      <c r="AR3" s="483" t="s">
        <v>544</v>
      </c>
      <c r="AT3" t="s">
        <v>330</v>
      </c>
      <c r="AU3" t="s">
        <v>2375</v>
      </c>
    </row>
    <row r="4" spans="1:47" x14ac:dyDescent="0.3">
      <c r="B4" t="s">
        <v>1365</v>
      </c>
      <c r="C4" t="s">
        <v>174</v>
      </c>
      <c r="D4" t="str">
        <f>TEXT(E4,"mmm-yy")</f>
        <v>Apr-25</v>
      </c>
      <c r="E4" s="239">
        <v>45748</v>
      </c>
      <c r="F4" s="240"/>
      <c r="G4" s="240" t="s">
        <v>240</v>
      </c>
      <c r="H4" s="232">
        <v>1</v>
      </c>
      <c r="I4" s="241">
        <v>5700</v>
      </c>
      <c r="J4" s="241">
        <f t="shared" ref="J4:J67" si="0">H4*I4</f>
        <v>5700</v>
      </c>
      <c r="K4" s="3">
        <v>0</v>
      </c>
      <c r="L4" s="3">
        <f t="shared" ref="L4:L67" si="1">J4+K4</f>
        <v>5700</v>
      </c>
      <c r="M4" s="3"/>
      <c r="N4" s="240" t="s">
        <v>221</v>
      </c>
      <c r="O4" s="240" t="s">
        <v>226</v>
      </c>
      <c r="P4" t="s">
        <v>174</v>
      </c>
      <c r="Q4" s="239">
        <v>45750</v>
      </c>
      <c r="R4" s="240" t="s">
        <v>227</v>
      </c>
      <c r="S4" s="240" t="s">
        <v>219</v>
      </c>
      <c r="T4" s="232">
        <v>22290</v>
      </c>
      <c r="U4" s="241">
        <v>42</v>
      </c>
      <c r="V4" s="3">
        <f t="shared" ref="V4:V35" si="2">U4*T4</f>
        <v>936180</v>
      </c>
      <c r="W4" s="3">
        <v>0</v>
      </c>
      <c r="X4" s="3">
        <f>V4+W4</f>
        <v>936180</v>
      </c>
      <c r="Y4" s="1">
        <f>_xlfn.XLOOKUP(R4,'Details PC'!AA:AA,'Details PC'!AI:AI)-X4</f>
        <v>0</v>
      </c>
      <c r="AA4" t="s">
        <v>174</v>
      </c>
      <c r="AB4" t="str">
        <f>TEXT(AC4,"mmm-yy")</f>
        <v>May-25</v>
      </c>
      <c r="AC4" s="242">
        <v>45782</v>
      </c>
      <c r="AD4" t="s">
        <v>329</v>
      </c>
      <c r="AE4" t="s">
        <v>330</v>
      </c>
      <c r="AG4" t="s">
        <v>331</v>
      </c>
      <c r="AI4" t="s">
        <v>332</v>
      </c>
      <c r="AN4" s="3">
        <v>1</v>
      </c>
      <c r="AO4" s="3">
        <v>3000</v>
      </c>
      <c r="AP4" s="3">
        <f t="shared" ref="AP4:AP35" si="3">AN4*AO4</f>
        <v>3000</v>
      </c>
      <c r="AQ4" s="3">
        <v>0</v>
      </c>
      <c r="AR4" s="3">
        <f>AP4-AQ4</f>
        <v>3000</v>
      </c>
      <c r="AT4" t="s">
        <v>250</v>
      </c>
      <c r="AU4" t="s">
        <v>2378</v>
      </c>
    </row>
    <row r="5" spans="1:47" x14ac:dyDescent="0.3">
      <c r="B5" t="s">
        <v>2743</v>
      </c>
      <c r="C5" t="s">
        <v>174</v>
      </c>
      <c r="D5" t="str">
        <f t="shared" ref="D5:D68" si="4">TEXT(E5,"mmm-yy")</f>
        <v>Apr-25</v>
      </c>
      <c r="E5" s="239">
        <v>45759</v>
      </c>
      <c r="F5" s="240" t="s">
        <v>260</v>
      </c>
      <c r="G5" s="240" t="s">
        <v>253</v>
      </c>
      <c r="H5" s="232">
        <v>2900</v>
      </c>
      <c r="I5" s="241">
        <v>31.120999999999999</v>
      </c>
      <c r="J5" s="241">
        <f t="shared" si="0"/>
        <v>90250.9</v>
      </c>
      <c r="K5" s="3">
        <v>0</v>
      </c>
      <c r="L5" s="3">
        <f t="shared" si="1"/>
        <v>90250.9</v>
      </c>
      <c r="M5" s="3"/>
      <c r="N5" s="240" t="s">
        <v>222</v>
      </c>
      <c r="O5" s="240" t="s">
        <v>226</v>
      </c>
      <c r="P5" t="s">
        <v>174</v>
      </c>
      <c r="Q5" s="239">
        <v>45751</v>
      </c>
      <c r="R5" s="240" t="s">
        <v>228</v>
      </c>
      <c r="S5" s="240" t="s">
        <v>232</v>
      </c>
      <c r="T5" s="232">
        <v>21360</v>
      </c>
      <c r="U5" s="241">
        <v>42</v>
      </c>
      <c r="V5" s="3">
        <f t="shared" si="2"/>
        <v>897120</v>
      </c>
      <c r="W5" s="3">
        <v>0</v>
      </c>
      <c r="X5" s="3">
        <f t="shared" ref="X5:X35" si="5">V5+W5</f>
        <v>897120</v>
      </c>
      <c r="Y5" s="1">
        <f>_xlfn.XLOOKUP(R5,'Details PC'!AA:AA,'Details PC'!AI:AI)-X5</f>
        <v>0</v>
      </c>
      <c r="AA5" t="s">
        <v>174</v>
      </c>
      <c r="AB5" t="str">
        <f t="shared" ref="AB5:AB68" si="6">TEXT(AC5,"mmm-yy")</f>
        <v>May-25</v>
      </c>
      <c r="AC5" s="242">
        <v>45782</v>
      </c>
      <c r="AD5" t="s">
        <v>329</v>
      </c>
      <c r="AE5" t="s">
        <v>330</v>
      </c>
      <c r="AG5" t="s">
        <v>331</v>
      </c>
      <c r="AI5" t="s">
        <v>332</v>
      </c>
      <c r="AN5" s="3">
        <v>1</v>
      </c>
      <c r="AO5" s="3">
        <v>3606</v>
      </c>
      <c r="AP5" s="3">
        <f t="shared" si="3"/>
        <v>3606</v>
      </c>
      <c r="AQ5" s="3">
        <v>0</v>
      </c>
      <c r="AR5" s="3">
        <f t="shared" ref="AR5:AR68" si="7">AP5-AQ5</f>
        <v>3606</v>
      </c>
      <c r="AT5" t="s">
        <v>1433</v>
      </c>
      <c r="AU5" t="s">
        <v>2374</v>
      </c>
    </row>
    <row r="6" spans="1:47" x14ac:dyDescent="0.3">
      <c r="B6" t="s">
        <v>2743</v>
      </c>
      <c r="C6" t="s">
        <v>174</v>
      </c>
      <c r="D6" t="str">
        <f t="shared" si="4"/>
        <v>Apr-25</v>
      </c>
      <c r="E6" s="239">
        <v>45759</v>
      </c>
      <c r="F6" s="240" t="s">
        <v>261</v>
      </c>
      <c r="G6" s="240" t="s">
        <v>253</v>
      </c>
      <c r="H6" s="232">
        <v>2490</v>
      </c>
      <c r="I6" s="241">
        <v>31.120999999999999</v>
      </c>
      <c r="J6" s="241">
        <f t="shared" si="0"/>
        <v>77491.289999999994</v>
      </c>
      <c r="K6" s="3">
        <v>0</v>
      </c>
      <c r="L6" s="3">
        <f t="shared" si="1"/>
        <v>77491.289999999994</v>
      </c>
      <c r="M6" s="3"/>
      <c r="N6" s="240" t="s">
        <v>223</v>
      </c>
      <c r="O6" s="240" t="s">
        <v>226</v>
      </c>
      <c r="P6" t="s">
        <v>174</v>
      </c>
      <c r="Q6" s="239">
        <v>45751</v>
      </c>
      <c r="R6" s="240" t="s">
        <v>229</v>
      </c>
      <c r="S6" s="240" t="s">
        <v>232</v>
      </c>
      <c r="T6" s="232">
        <v>23850</v>
      </c>
      <c r="U6" s="241">
        <v>42</v>
      </c>
      <c r="V6" s="3">
        <f t="shared" si="2"/>
        <v>1001700</v>
      </c>
      <c r="W6" s="3">
        <v>0</v>
      </c>
      <c r="X6" s="3">
        <f t="shared" si="5"/>
        <v>1001700</v>
      </c>
      <c r="Y6" s="1">
        <f>_xlfn.XLOOKUP(R6,'Details PC'!AA:AA,'Details PC'!AI:AI)-X6</f>
        <v>0</v>
      </c>
      <c r="AA6" t="s">
        <v>174</v>
      </c>
      <c r="AB6" t="str">
        <f t="shared" si="6"/>
        <v>May-25</v>
      </c>
      <c r="AC6" s="242">
        <v>45782</v>
      </c>
      <c r="AD6" t="s">
        <v>329</v>
      </c>
      <c r="AE6" t="s">
        <v>330</v>
      </c>
      <c r="AG6" t="s">
        <v>331</v>
      </c>
      <c r="AI6" t="s">
        <v>332</v>
      </c>
      <c r="AN6" s="3">
        <v>1</v>
      </c>
      <c r="AO6" s="3">
        <v>3000</v>
      </c>
      <c r="AP6" s="3">
        <f t="shared" si="3"/>
        <v>3000</v>
      </c>
      <c r="AQ6" s="3">
        <v>0</v>
      </c>
      <c r="AR6" s="3">
        <f t="shared" si="7"/>
        <v>3000</v>
      </c>
      <c r="AT6" t="s">
        <v>1610</v>
      </c>
      <c r="AU6" t="s">
        <v>2372</v>
      </c>
    </row>
    <row r="7" spans="1:47" x14ac:dyDescent="0.3">
      <c r="B7" t="s">
        <v>2743</v>
      </c>
      <c r="C7" t="s">
        <v>174</v>
      </c>
      <c r="D7" t="str">
        <f t="shared" si="4"/>
        <v>Apr-25</v>
      </c>
      <c r="E7" s="239">
        <v>45759</v>
      </c>
      <c r="F7" s="240" t="s">
        <v>262</v>
      </c>
      <c r="G7" s="240" t="s">
        <v>253</v>
      </c>
      <c r="H7" s="232">
        <v>2380</v>
      </c>
      <c r="I7" s="241">
        <v>31.120999999999999</v>
      </c>
      <c r="J7" s="241">
        <f t="shared" si="0"/>
        <v>74067.98</v>
      </c>
      <c r="K7" s="3">
        <v>0</v>
      </c>
      <c r="L7" s="3">
        <f t="shared" si="1"/>
        <v>74067.98</v>
      </c>
      <c r="M7" s="3"/>
      <c r="N7" s="240" t="s">
        <v>224</v>
      </c>
      <c r="O7" s="240" t="s">
        <v>226</v>
      </c>
      <c r="P7" t="s">
        <v>174</v>
      </c>
      <c r="Q7" s="239">
        <v>45752</v>
      </c>
      <c r="R7" s="240" t="s">
        <v>230</v>
      </c>
      <c r="S7" s="240" t="s">
        <v>233</v>
      </c>
      <c r="T7" s="232">
        <v>24190</v>
      </c>
      <c r="U7" s="241">
        <v>37.5</v>
      </c>
      <c r="V7" s="3">
        <f t="shared" si="2"/>
        <v>907125</v>
      </c>
      <c r="W7" s="3">
        <v>-3187.5</v>
      </c>
      <c r="X7" s="3">
        <f>V7+W7</f>
        <v>903937.5</v>
      </c>
      <c r="Y7" s="1">
        <f>_xlfn.XLOOKUP(R7,'Details PC'!AA:AA,'Details PC'!AI:AI)-X7</f>
        <v>0</v>
      </c>
      <c r="AA7" t="s">
        <v>174</v>
      </c>
      <c r="AB7" t="str">
        <f t="shared" si="6"/>
        <v>May-25</v>
      </c>
      <c r="AC7" s="242">
        <v>45782</v>
      </c>
      <c r="AD7" t="s">
        <v>329</v>
      </c>
      <c r="AE7" t="s">
        <v>330</v>
      </c>
      <c r="AG7" t="s">
        <v>333</v>
      </c>
      <c r="AI7" t="s">
        <v>334</v>
      </c>
      <c r="AN7" s="3">
        <v>1</v>
      </c>
      <c r="AO7" s="3">
        <v>3000</v>
      </c>
      <c r="AP7" s="3">
        <f t="shared" si="3"/>
        <v>3000</v>
      </c>
      <c r="AQ7" s="3">
        <v>0</v>
      </c>
      <c r="AR7" s="3">
        <f t="shared" si="7"/>
        <v>3000</v>
      </c>
      <c r="AT7" t="s">
        <v>240</v>
      </c>
      <c r="AU7" t="s">
        <v>2377</v>
      </c>
    </row>
    <row r="8" spans="1:47" x14ac:dyDescent="0.3">
      <c r="B8" t="s">
        <v>2743</v>
      </c>
      <c r="C8" t="s">
        <v>174</v>
      </c>
      <c r="D8" t="str">
        <f t="shared" si="4"/>
        <v>Apr-25</v>
      </c>
      <c r="E8" s="239">
        <v>45761</v>
      </c>
      <c r="F8" s="240" t="s">
        <v>264</v>
      </c>
      <c r="G8" s="240" t="s">
        <v>253</v>
      </c>
      <c r="H8" s="232">
        <v>18010</v>
      </c>
      <c r="I8" s="241">
        <v>32.220999999999997</v>
      </c>
      <c r="J8" s="241">
        <f t="shared" si="0"/>
        <v>580300.21</v>
      </c>
      <c r="K8" s="3">
        <v>0</v>
      </c>
      <c r="L8" s="3">
        <f t="shared" si="1"/>
        <v>580300.21</v>
      </c>
      <c r="M8" s="3"/>
      <c r="N8" s="240" t="s">
        <v>225</v>
      </c>
      <c r="O8" s="240" t="s">
        <v>226</v>
      </c>
      <c r="P8" t="s">
        <v>174</v>
      </c>
      <c r="Q8" s="239">
        <v>45753</v>
      </c>
      <c r="R8" s="240" t="s">
        <v>231</v>
      </c>
      <c r="S8" s="240" t="s">
        <v>220</v>
      </c>
      <c r="T8" s="232">
        <v>23460</v>
      </c>
      <c r="U8" s="241">
        <v>39.5</v>
      </c>
      <c r="V8" s="3">
        <f t="shared" si="2"/>
        <v>926670</v>
      </c>
      <c r="W8" s="3">
        <v>0</v>
      </c>
      <c r="X8" s="3">
        <f t="shared" si="5"/>
        <v>926670</v>
      </c>
      <c r="Y8" s="1">
        <f>_xlfn.XLOOKUP(R8,'Details PC'!AA:AA,'Details PC'!AI:AI)-X8</f>
        <v>0</v>
      </c>
      <c r="AA8" t="s">
        <v>174</v>
      </c>
      <c r="AB8" t="str">
        <f t="shared" si="6"/>
        <v>May-25</v>
      </c>
      <c r="AC8" s="242">
        <v>45782</v>
      </c>
      <c r="AD8" t="s">
        <v>329</v>
      </c>
      <c r="AE8" t="s">
        <v>330</v>
      </c>
      <c r="AG8" t="s">
        <v>333</v>
      </c>
      <c r="AI8" t="s">
        <v>334</v>
      </c>
      <c r="AN8" s="3">
        <v>1</v>
      </c>
      <c r="AO8" s="3">
        <v>3000</v>
      </c>
      <c r="AP8" s="3">
        <f t="shared" si="3"/>
        <v>3000</v>
      </c>
      <c r="AQ8" s="3">
        <v>0</v>
      </c>
      <c r="AR8" s="3">
        <f t="shared" si="7"/>
        <v>3000</v>
      </c>
      <c r="AT8" t="s">
        <v>395</v>
      </c>
      <c r="AU8" t="s">
        <v>2373</v>
      </c>
    </row>
    <row r="9" spans="1:47" x14ac:dyDescent="0.3">
      <c r="B9" t="s">
        <v>2743</v>
      </c>
      <c r="C9" t="s">
        <v>174</v>
      </c>
      <c r="D9" t="str">
        <f t="shared" si="4"/>
        <v>Apr-25</v>
      </c>
      <c r="E9" s="239">
        <v>45761</v>
      </c>
      <c r="F9" s="240" t="s">
        <v>265</v>
      </c>
      <c r="G9" s="240" t="s">
        <v>253</v>
      </c>
      <c r="H9" s="232">
        <v>20960</v>
      </c>
      <c r="I9" s="241">
        <v>32.220999999999997</v>
      </c>
      <c r="J9" s="241">
        <f t="shared" si="0"/>
        <v>675352.15999999992</v>
      </c>
      <c r="K9" s="3">
        <v>0</v>
      </c>
      <c r="L9" s="3">
        <f t="shared" si="1"/>
        <v>675352.15999999992</v>
      </c>
      <c r="M9" s="3"/>
      <c r="N9" s="240" t="s">
        <v>245</v>
      </c>
      <c r="O9" s="240" t="s">
        <v>226</v>
      </c>
      <c r="P9" t="s">
        <v>174</v>
      </c>
      <c r="Q9" s="239">
        <v>45754</v>
      </c>
      <c r="R9" s="240" t="s">
        <v>247</v>
      </c>
      <c r="S9" s="240" t="s">
        <v>249</v>
      </c>
      <c r="T9" s="232">
        <v>22300</v>
      </c>
      <c r="U9" s="241">
        <v>37.5</v>
      </c>
      <c r="V9" s="3">
        <f t="shared" si="2"/>
        <v>836250</v>
      </c>
      <c r="W9" s="3">
        <v>0</v>
      </c>
      <c r="X9" s="3">
        <f t="shared" si="5"/>
        <v>836250</v>
      </c>
      <c r="Y9" s="1">
        <f>_xlfn.XLOOKUP(R9,'Details PC'!AA:AA,'Details PC'!AI:AI)-X9</f>
        <v>0</v>
      </c>
      <c r="AA9" t="s">
        <v>174</v>
      </c>
      <c r="AB9" t="str">
        <f t="shared" si="6"/>
        <v>May-25</v>
      </c>
      <c r="AC9" s="242">
        <v>45782</v>
      </c>
      <c r="AD9" t="s">
        <v>329</v>
      </c>
      <c r="AE9" t="s">
        <v>330</v>
      </c>
      <c r="AG9" t="s">
        <v>333</v>
      </c>
      <c r="AI9" t="s">
        <v>334</v>
      </c>
      <c r="AN9" s="3">
        <v>1</v>
      </c>
      <c r="AO9" s="3">
        <v>3000</v>
      </c>
      <c r="AP9" s="3">
        <f t="shared" si="3"/>
        <v>3000</v>
      </c>
      <c r="AQ9" s="3">
        <v>0</v>
      </c>
      <c r="AR9" s="3">
        <f t="shared" si="7"/>
        <v>3000</v>
      </c>
      <c r="AT9" t="s">
        <v>462</v>
      </c>
      <c r="AU9" t="s">
        <v>2376</v>
      </c>
    </row>
    <row r="10" spans="1:47" x14ac:dyDescent="0.3">
      <c r="B10" t="s">
        <v>2743</v>
      </c>
      <c r="C10" t="s">
        <v>174</v>
      </c>
      <c r="D10" t="str">
        <f t="shared" si="4"/>
        <v>Apr-25</v>
      </c>
      <c r="E10" s="239">
        <v>45761</v>
      </c>
      <c r="F10" s="240" t="s">
        <v>266</v>
      </c>
      <c r="G10" s="240" t="s">
        <v>253</v>
      </c>
      <c r="H10" s="232">
        <v>22880</v>
      </c>
      <c r="I10" s="241">
        <v>32.220999999999997</v>
      </c>
      <c r="J10" s="241">
        <f t="shared" si="0"/>
        <v>737216.47999999986</v>
      </c>
      <c r="K10" s="3">
        <v>0</v>
      </c>
      <c r="L10" s="3">
        <f t="shared" si="1"/>
        <v>737216.47999999986</v>
      </c>
      <c r="M10" s="3"/>
      <c r="N10" s="240" t="s">
        <v>246</v>
      </c>
      <c r="O10" s="240" t="s">
        <v>226</v>
      </c>
      <c r="P10" t="s">
        <v>174</v>
      </c>
      <c r="Q10" s="239">
        <v>45754</v>
      </c>
      <c r="R10" s="240" t="s">
        <v>248</v>
      </c>
      <c r="S10" s="240" t="s">
        <v>249</v>
      </c>
      <c r="T10" s="232">
        <v>22270</v>
      </c>
      <c r="U10" s="241">
        <v>37.5</v>
      </c>
      <c r="V10" s="3">
        <f t="shared" si="2"/>
        <v>835125</v>
      </c>
      <c r="W10" s="3">
        <v>0</v>
      </c>
      <c r="X10" s="3">
        <f t="shared" si="5"/>
        <v>835125</v>
      </c>
      <c r="Y10" s="1">
        <f>_xlfn.XLOOKUP(R10,'Details PC'!AA:AA,'Details PC'!AI:AI)-X10</f>
        <v>0</v>
      </c>
      <c r="AA10" t="s">
        <v>174</v>
      </c>
      <c r="AB10" t="str">
        <f t="shared" si="6"/>
        <v>May-25</v>
      </c>
      <c r="AC10" s="242">
        <v>45782</v>
      </c>
      <c r="AD10" t="s">
        <v>329</v>
      </c>
      <c r="AE10" t="s">
        <v>330</v>
      </c>
      <c r="AG10" t="s">
        <v>333</v>
      </c>
      <c r="AI10" t="s">
        <v>334</v>
      </c>
      <c r="AN10" s="3">
        <v>1</v>
      </c>
      <c r="AO10" s="3">
        <v>3000</v>
      </c>
      <c r="AP10" s="3">
        <f t="shared" si="3"/>
        <v>3000</v>
      </c>
      <c r="AQ10" s="3">
        <v>0</v>
      </c>
      <c r="AR10" s="3">
        <f t="shared" si="7"/>
        <v>3000</v>
      </c>
      <c r="AT10" t="s">
        <v>1451</v>
      </c>
      <c r="AU10" t="s">
        <v>2374</v>
      </c>
    </row>
    <row r="11" spans="1:47" x14ac:dyDescent="0.3">
      <c r="B11" t="s">
        <v>2743</v>
      </c>
      <c r="C11" t="s">
        <v>174</v>
      </c>
      <c r="D11" t="str">
        <f t="shared" si="4"/>
        <v>Apr-25</v>
      </c>
      <c r="E11" s="239">
        <v>45761</v>
      </c>
      <c r="F11" s="240" t="s">
        <v>267</v>
      </c>
      <c r="G11" s="240" t="s">
        <v>253</v>
      </c>
      <c r="H11" s="232">
        <v>14110</v>
      </c>
      <c r="I11" s="241">
        <v>32.220999999999997</v>
      </c>
      <c r="J11" s="241">
        <f t="shared" si="0"/>
        <v>454638.30999999994</v>
      </c>
      <c r="K11" s="3">
        <v>0</v>
      </c>
      <c r="L11" s="3">
        <f t="shared" si="1"/>
        <v>454638.30999999994</v>
      </c>
      <c r="M11" s="3"/>
      <c r="N11" s="240" t="s">
        <v>273</v>
      </c>
      <c r="O11" s="240" t="s">
        <v>226</v>
      </c>
      <c r="P11" t="s">
        <v>174</v>
      </c>
      <c r="Q11" s="239">
        <v>45761</v>
      </c>
      <c r="R11" s="240" t="s">
        <v>275</v>
      </c>
      <c r="S11" s="240" t="s">
        <v>232</v>
      </c>
      <c r="T11" s="232">
        <v>21590</v>
      </c>
      <c r="U11" s="241">
        <v>42</v>
      </c>
      <c r="V11" s="3">
        <f t="shared" si="2"/>
        <v>906780</v>
      </c>
      <c r="W11" s="3">
        <v>0</v>
      </c>
      <c r="X11" s="3">
        <f t="shared" si="5"/>
        <v>906780</v>
      </c>
      <c r="Y11" s="1">
        <f>_xlfn.XLOOKUP(R11,'Details PC'!AA:AA,'Details PC'!AI:AI)-X11</f>
        <v>0</v>
      </c>
      <c r="AA11" t="s">
        <v>174</v>
      </c>
      <c r="AB11" t="str">
        <f t="shared" si="6"/>
        <v>May-25</v>
      </c>
      <c r="AC11" s="242">
        <v>45782</v>
      </c>
      <c r="AD11" t="s">
        <v>329</v>
      </c>
      <c r="AE11" t="s">
        <v>330</v>
      </c>
      <c r="AG11" t="s">
        <v>335</v>
      </c>
      <c r="AI11" t="s">
        <v>336</v>
      </c>
      <c r="AN11" s="3">
        <v>1</v>
      </c>
      <c r="AO11" s="3">
        <v>3500</v>
      </c>
      <c r="AP11" s="3">
        <f t="shared" si="3"/>
        <v>3500</v>
      </c>
      <c r="AQ11" s="3">
        <v>0</v>
      </c>
      <c r="AR11" s="3">
        <f t="shared" si="7"/>
        <v>3500</v>
      </c>
      <c r="AT11" t="s">
        <v>2054</v>
      </c>
      <c r="AU11" t="s">
        <v>2377</v>
      </c>
    </row>
    <row r="12" spans="1:47" x14ac:dyDescent="0.3">
      <c r="B12" t="s">
        <v>2743</v>
      </c>
      <c r="C12" t="s">
        <v>174</v>
      </c>
      <c r="D12" t="str">
        <f t="shared" si="4"/>
        <v>Apr-25</v>
      </c>
      <c r="E12" s="239">
        <v>45763</v>
      </c>
      <c r="F12" s="240" t="s">
        <v>269</v>
      </c>
      <c r="G12" s="240" t="s">
        <v>270</v>
      </c>
      <c r="H12" s="232">
        <v>5020</v>
      </c>
      <c r="I12" s="241">
        <v>30.151</v>
      </c>
      <c r="J12" s="241">
        <f t="shared" si="0"/>
        <v>151358.01999999999</v>
      </c>
      <c r="K12" s="3">
        <v>0</v>
      </c>
      <c r="L12" s="3">
        <f t="shared" si="1"/>
        <v>151358.01999999999</v>
      </c>
      <c r="M12" s="3"/>
      <c r="N12" s="240" t="s">
        <v>274</v>
      </c>
      <c r="O12" s="240" t="s">
        <v>226</v>
      </c>
      <c r="P12" t="s">
        <v>174</v>
      </c>
      <c r="Q12" s="239">
        <v>45763</v>
      </c>
      <c r="R12" s="240" t="s">
        <v>276</v>
      </c>
      <c r="S12" s="240" t="s">
        <v>219</v>
      </c>
      <c r="T12" s="232">
        <v>15830</v>
      </c>
      <c r="U12" s="241">
        <v>42</v>
      </c>
      <c r="V12" s="3">
        <f t="shared" si="2"/>
        <v>664860</v>
      </c>
      <c r="W12" s="3">
        <v>0</v>
      </c>
      <c r="X12" s="3">
        <f t="shared" si="5"/>
        <v>664860</v>
      </c>
      <c r="Y12" s="1">
        <f>_xlfn.XLOOKUP(R12,'Details PC'!AA:AA,'Details PC'!AI:AI)-X12</f>
        <v>0</v>
      </c>
      <c r="AA12" t="s">
        <v>174</v>
      </c>
      <c r="AB12" t="str">
        <f t="shared" si="6"/>
        <v>May-25</v>
      </c>
      <c r="AC12" s="242">
        <v>45782</v>
      </c>
      <c r="AD12" t="s">
        <v>329</v>
      </c>
      <c r="AE12" t="s">
        <v>330</v>
      </c>
      <c r="AG12" t="s">
        <v>337</v>
      </c>
      <c r="AI12" t="s">
        <v>338</v>
      </c>
      <c r="AN12" s="3">
        <v>1</v>
      </c>
      <c r="AO12" s="3">
        <v>6270</v>
      </c>
      <c r="AP12" s="3">
        <f t="shared" si="3"/>
        <v>6270</v>
      </c>
      <c r="AQ12" s="3">
        <v>0</v>
      </c>
      <c r="AR12" s="3">
        <f t="shared" si="7"/>
        <v>6270</v>
      </c>
      <c r="AT12" t="s">
        <v>2332</v>
      </c>
      <c r="AU12" t="s">
        <v>2373</v>
      </c>
    </row>
    <row r="13" spans="1:47" x14ac:dyDescent="0.3">
      <c r="B13" t="s">
        <v>2743</v>
      </c>
      <c r="C13" t="s">
        <v>174</v>
      </c>
      <c r="D13" t="str">
        <f t="shared" si="4"/>
        <v>Apr-25</v>
      </c>
      <c r="E13" s="239">
        <v>45763</v>
      </c>
      <c r="F13" s="240" t="s">
        <v>272</v>
      </c>
      <c r="G13" s="240" t="s">
        <v>270</v>
      </c>
      <c r="H13" s="232">
        <v>5200</v>
      </c>
      <c r="I13" s="241">
        <v>30.151</v>
      </c>
      <c r="J13" s="241">
        <f t="shared" si="0"/>
        <v>156785.20000000001</v>
      </c>
      <c r="K13" s="3">
        <v>0</v>
      </c>
      <c r="L13" s="3">
        <f t="shared" si="1"/>
        <v>156785.20000000001</v>
      </c>
      <c r="M13" s="3"/>
      <c r="N13" s="240" t="s">
        <v>287</v>
      </c>
      <c r="O13" s="240" t="s">
        <v>226</v>
      </c>
      <c r="P13" t="s">
        <v>174</v>
      </c>
      <c r="Q13" s="239">
        <v>45763</v>
      </c>
      <c r="R13" s="240" t="s">
        <v>290</v>
      </c>
      <c r="S13" s="240" t="s">
        <v>233</v>
      </c>
      <c r="T13" s="232">
        <v>2660</v>
      </c>
      <c r="U13" s="241">
        <v>39</v>
      </c>
      <c r="V13" s="3">
        <f t="shared" si="2"/>
        <v>103740</v>
      </c>
      <c r="W13" s="3">
        <v>0</v>
      </c>
      <c r="X13" s="3">
        <f t="shared" si="5"/>
        <v>103740</v>
      </c>
      <c r="Y13" s="1">
        <f>_xlfn.XLOOKUP(R13,'Details PC'!AA:AA,'Details PC'!AI:AI)-X13</f>
        <v>0</v>
      </c>
      <c r="AA13" t="s">
        <v>174</v>
      </c>
      <c r="AB13" t="str">
        <f t="shared" si="6"/>
        <v>May-25</v>
      </c>
      <c r="AC13" s="242">
        <v>45782</v>
      </c>
      <c r="AD13" t="s">
        <v>329</v>
      </c>
      <c r="AE13" t="s">
        <v>330</v>
      </c>
      <c r="AG13" t="s">
        <v>337</v>
      </c>
      <c r="AI13" t="s">
        <v>338</v>
      </c>
      <c r="AN13" s="3">
        <v>1</v>
      </c>
      <c r="AO13" s="3">
        <v>4896</v>
      </c>
      <c r="AP13" s="3">
        <f t="shared" si="3"/>
        <v>4896</v>
      </c>
      <c r="AQ13" s="3">
        <v>0</v>
      </c>
      <c r="AR13" s="3">
        <f t="shared" si="7"/>
        <v>4896</v>
      </c>
    </row>
    <row r="14" spans="1:47" x14ac:dyDescent="0.3">
      <c r="B14" t="s">
        <v>2743</v>
      </c>
      <c r="C14" t="s">
        <v>174</v>
      </c>
      <c r="D14" t="str">
        <f t="shared" si="4"/>
        <v>Apr-25</v>
      </c>
      <c r="E14" s="239">
        <v>45765</v>
      </c>
      <c r="F14" s="240" t="s">
        <v>282</v>
      </c>
      <c r="G14" s="240" t="s">
        <v>253</v>
      </c>
      <c r="H14" s="232">
        <v>24180</v>
      </c>
      <c r="I14" s="241">
        <v>32.220999999999997</v>
      </c>
      <c r="J14" s="241">
        <f t="shared" si="0"/>
        <v>779103.77999999991</v>
      </c>
      <c r="K14" s="3">
        <v>0</v>
      </c>
      <c r="L14" s="3">
        <f t="shared" si="1"/>
        <v>779103.77999999991</v>
      </c>
      <c r="M14" s="3"/>
      <c r="N14" s="240" t="s">
        <v>288</v>
      </c>
      <c r="O14" s="240" t="s">
        <v>226</v>
      </c>
      <c r="P14" t="s">
        <v>174</v>
      </c>
      <c r="Q14" s="239">
        <v>45764</v>
      </c>
      <c r="R14" s="240" t="s">
        <v>291</v>
      </c>
      <c r="S14" s="240" t="s">
        <v>293</v>
      </c>
      <c r="T14" s="232">
        <v>3820</v>
      </c>
      <c r="U14" s="241">
        <v>38</v>
      </c>
      <c r="V14" s="3">
        <f t="shared" si="2"/>
        <v>145160</v>
      </c>
      <c r="W14" s="3">
        <v>0</v>
      </c>
      <c r="X14" s="3">
        <f t="shared" si="5"/>
        <v>145160</v>
      </c>
      <c r="Y14" s="1">
        <f>_xlfn.XLOOKUP(R14,'Details PC'!AA:AA,'Details PC'!AI:AI)-X14</f>
        <v>0</v>
      </c>
      <c r="AA14" t="s">
        <v>174</v>
      </c>
      <c r="AB14" t="str">
        <f t="shared" si="6"/>
        <v>May-25</v>
      </c>
      <c r="AC14" s="242">
        <v>45782</v>
      </c>
      <c r="AD14" t="s">
        <v>329</v>
      </c>
      <c r="AE14" t="s">
        <v>330</v>
      </c>
      <c r="AG14" t="s">
        <v>337</v>
      </c>
      <c r="AI14" t="s">
        <v>338</v>
      </c>
      <c r="AN14" s="3">
        <v>1</v>
      </c>
      <c r="AO14" s="3">
        <v>5412</v>
      </c>
      <c r="AP14" s="3">
        <f t="shared" si="3"/>
        <v>5412</v>
      </c>
      <c r="AQ14" s="3">
        <v>0</v>
      </c>
      <c r="AR14" s="3">
        <f t="shared" si="7"/>
        <v>5412</v>
      </c>
    </row>
    <row r="15" spans="1:47" x14ac:dyDescent="0.3">
      <c r="B15" t="s">
        <v>2743</v>
      </c>
      <c r="C15" t="s">
        <v>174</v>
      </c>
      <c r="D15" t="str">
        <f t="shared" si="4"/>
        <v>Apr-25</v>
      </c>
      <c r="E15" s="239">
        <v>45765</v>
      </c>
      <c r="F15" s="240" t="s">
        <v>284</v>
      </c>
      <c r="G15" s="240" t="s">
        <v>253</v>
      </c>
      <c r="H15" s="232">
        <v>25150</v>
      </c>
      <c r="I15" s="241">
        <v>32.220999999999997</v>
      </c>
      <c r="J15" s="241">
        <f t="shared" si="0"/>
        <v>810358.14999999991</v>
      </c>
      <c r="K15" s="3">
        <v>0</v>
      </c>
      <c r="L15" s="3">
        <f t="shared" si="1"/>
        <v>810358.14999999991</v>
      </c>
      <c r="M15" s="3"/>
      <c r="N15" t="s">
        <v>303</v>
      </c>
      <c r="O15" s="240" t="s">
        <v>226</v>
      </c>
      <c r="P15" t="s">
        <v>174</v>
      </c>
      <c r="Q15" s="242">
        <v>45772</v>
      </c>
      <c r="R15" t="s">
        <v>306</v>
      </c>
      <c r="S15" s="240" t="s">
        <v>250</v>
      </c>
      <c r="T15" s="3">
        <v>7600</v>
      </c>
      <c r="U15" s="233">
        <v>37</v>
      </c>
      <c r="V15" s="3">
        <f t="shared" si="2"/>
        <v>281200</v>
      </c>
      <c r="W15" s="3">
        <v>0</v>
      </c>
      <c r="X15" s="3">
        <f t="shared" si="5"/>
        <v>281200</v>
      </c>
      <c r="Y15" s="1">
        <f>_xlfn.XLOOKUP(R15,'Details PC'!AA:AA,'Details PC'!AI:AI)-X15</f>
        <v>0</v>
      </c>
      <c r="AA15" t="s">
        <v>174</v>
      </c>
      <c r="AB15" t="str">
        <f t="shared" si="6"/>
        <v>May-25</v>
      </c>
      <c r="AC15" s="242">
        <v>45782</v>
      </c>
      <c r="AD15" t="s">
        <v>329</v>
      </c>
      <c r="AE15" t="s">
        <v>330</v>
      </c>
      <c r="AG15" t="s">
        <v>339</v>
      </c>
      <c r="AI15" t="s">
        <v>340</v>
      </c>
      <c r="AN15" s="3">
        <v>1</v>
      </c>
      <c r="AO15" s="3">
        <v>5628</v>
      </c>
      <c r="AP15" s="3">
        <f t="shared" si="3"/>
        <v>5628</v>
      </c>
      <c r="AQ15" s="3">
        <v>0</v>
      </c>
      <c r="AR15" s="3">
        <f t="shared" si="7"/>
        <v>5628</v>
      </c>
    </row>
    <row r="16" spans="1:47" x14ac:dyDescent="0.3">
      <c r="B16" t="s">
        <v>2743</v>
      </c>
      <c r="C16" t="s">
        <v>174</v>
      </c>
      <c r="D16" t="str">
        <f t="shared" si="4"/>
        <v>Apr-25</v>
      </c>
      <c r="E16" s="239">
        <v>45765</v>
      </c>
      <c r="F16" s="240" t="s">
        <v>283</v>
      </c>
      <c r="G16" s="240" t="s">
        <v>253</v>
      </c>
      <c r="H16" s="232">
        <v>10770</v>
      </c>
      <c r="I16" s="241">
        <v>32.220999999999997</v>
      </c>
      <c r="J16" s="241">
        <f t="shared" si="0"/>
        <v>347020.17</v>
      </c>
      <c r="K16" s="3">
        <v>0</v>
      </c>
      <c r="L16" s="3">
        <f t="shared" si="1"/>
        <v>347020.17</v>
      </c>
      <c r="M16" s="3"/>
      <c r="N16" t="s">
        <v>289</v>
      </c>
      <c r="O16" s="240" t="s">
        <v>226</v>
      </c>
      <c r="P16" t="s">
        <v>174</v>
      </c>
      <c r="Q16" s="242">
        <v>45766</v>
      </c>
      <c r="R16" t="s">
        <v>292</v>
      </c>
      <c r="S16" t="s">
        <v>220</v>
      </c>
      <c r="T16" s="3">
        <v>12270</v>
      </c>
      <c r="U16" s="233">
        <v>40</v>
      </c>
      <c r="V16" s="3">
        <f t="shared" si="2"/>
        <v>490800</v>
      </c>
      <c r="W16" s="3">
        <v>0</v>
      </c>
      <c r="X16" s="3">
        <f t="shared" si="5"/>
        <v>490800</v>
      </c>
      <c r="Y16" s="1">
        <f>_xlfn.XLOOKUP(R16,'Details PC'!AA:AA,'Details PC'!AI:AI)-X16</f>
        <v>0</v>
      </c>
      <c r="AA16" t="s">
        <v>174</v>
      </c>
      <c r="AB16" t="str">
        <f t="shared" si="6"/>
        <v>May-25</v>
      </c>
      <c r="AC16" s="242">
        <v>45782</v>
      </c>
      <c r="AD16" t="s">
        <v>329</v>
      </c>
      <c r="AE16" t="s">
        <v>330</v>
      </c>
      <c r="AG16" t="s">
        <v>339</v>
      </c>
      <c r="AI16" t="s">
        <v>340</v>
      </c>
      <c r="AN16" s="3">
        <v>1</v>
      </c>
      <c r="AO16" s="3">
        <v>5629</v>
      </c>
      <c r="AP16" s="3">
        <f t="shared" si="3"/>
        <v>5629</v>
      </c>
      <c r="AQ16" s="3">
        <v>0</v>
      </c>
      <c r="AR16" s="3">
        <f t="shared" si="7"/>
        <v>5629</v>
      </c>
    </row>
    <row r="17" spans="2:44" x14ac:dyDescent="0.3">
      <c r="B17" t="s">
        <v>2743</v>
      </c>
      <c r="C17" t="s">
        <v>174</v>
      </c>
      <c r="D17" t="str">
        <f t="shared" si="4"/>
        <v>Apr-25</v>
      </c>
      <c r="E17" s="239">
        <v>45766</v>
      </c>
      <c r="F17" s="240" t="s">
        <v>285</v>
      </c>
      <c r="G17" s="240" t="s">
        <v>253</v>
      </c>
      <c r="H17" s="232">
        <v>2920</v>
      </c>
      <c r="I17" s="241">
        <v>31.120999999999999</v>
      </c>
      <c r="J17" s="241">
        <f t="shared" si="0"/>
        <v>90873.319999999992</v>
      </c>
      <c r="K17" s="3">
        <v>0</v>
      </c>
      <c r="L17" s="3">
        <f t="shared" si="1"/>
        <v>90873.319999999992</v>
      </c>
      <c r="M17" s="3"/>
      <c r="N17" t="s">
        <v>304</v>
      </c>
      <c r="O17" s="240" t="s">
        <v>226</v>
      </c>
      <c r="P17" t="s">
        <v>174</v>
      </c>
      <c r="Q17" s="242">
        <v>45772</v>
      </c>
      <c r="R17" t="s">
        <v>307</v>
      </c>
      <c r="S17" t="s">
        <v>250</v>
      </c>
      <c r="T17" s="3">
        <v>5500</v>
      </c>
      <c r="U17" s="233">
        <v>35.700000000000003</v>
      </c>
      <c r="V17" s="3">
        <f t="shared" si="2"/>
        <v>196350.00000000003</v>
      </c>
      <c r="W17" s="3">
        <v>0</v>
      </c>
      <c r="X17" s="3">
        <f t="shared" si="5"/>
        <v>196350.00000000003</v>
      </c>
      <c r="Y17" s="1">
        <f>_xlfn.XLOOKUP(R17,'Details PC'!AA:AA,'Details PC'!AI:AI)-X17</f>
        <v>0</v>
      </c>
      <c r="AA17" t="s">
        <v>174</v>
      </c>
      <c r="AB17" t="str">
        <f t="shared" si="6"/>
        <v>May-25</v>
      </c>
      <c r="AC17" s="242">
        <v>45782</v>
      </c>
      <c r="AD17" t="s">
        <v>329</v>
      </c>
      <c r="AE17" t="s">
        <v>330</v>
      </c>
      <c r="AG17" t="s">
        <v>339</v>
      </c>
      <c r="AI17" t="s">
        <v>340</v>
      </c>
      <c r="AN17" s="3">
        <v>1</v>
      </c>
      <c r="AO17" s="3">
        <v>5698</v>
      </c>
      <c r="AP17" s="3">
        <f t="shared" si="3"/>
        <v>5698</v>
      </c>
      <c r="AQ17" s="3">
        <v>0</v>
      </c>
      <c r="AR17" s="3">
        <f t="shared" si="7"/>
        <v>5698</v>
      </c>
    </row>
    <row r="18" spans="2:44" x14ac:dyDescent="0.3">
      <c r="B18" t="s">
        <v>2743</v>
      </c>
      <c r="C18" t="s">
        <v>174</v>
      </c>
      <c r="D18" t="str">
        <f t="shared" si="4"/>
        <v>Apr-25</v>
      </c>
      <c r="E18" s="239">
        <v>45766</v>
      </c>
      <c r="F18" s="240" t="s">
        <v>286</v>
      </c>
      <c r="G18" s="240" t="s">
        <v>253</v>
      </c>
      <c r="H18" s="232">
        <v>3040</v>
      </c>
      <c r="I18" s="241">
        <v>31.120999999999999</v>
      </c>
      <c r="J18" s="241">
        <f t="shared" si="0"/>
        <v>94607.84</v>
      </c>
      <c r="K18" s="3">
        <v>0</v>
      </c>
      <c r="L18" s="3">
        <f t="shared" si="1"/>
        <v>94607.84</v>
      </c>
      <c r="M18" s="3"/>
      <c r="N18" t="s">
        <v>305</v>
      </c>
      <c r="O18" s="240" t="s">
        <v>226</v>
      </c>
      <c r="P18" t="s">
        <v>174</v>
      </c>
      <c r="Q18" s="242">
        <v>45772</v>
      </c>
      <c r="R18" t="s">
        <v>308</v>
      </c>
      <c r="S18" t="s">
        <v>250</v>
      </c>
      <c r="T18" s="3">
        <v>11660</v>
      </c>
      <c r="U18" s="233">
        <v>34.799999999999997</v>
      </c>
      <c r="V18" s="3">
        <f t="shared" si="2"/>
        <v>405767.99999999994</v>
      </c>
      <c r="W18" s="3">
        <v>0</v>
      </c>
      <c r="X18" s="3">
        <f t="shared" si="5"/>
        <v>405767.99999999994</v>
      </c>
      <c r="Y18" s="1">
        <f>_xlfn.XLOOKUP(R18,'Details PC'!AA:AA,'Details PC'!AI:AI)-X18</f>
        <v>0</v>
      </c>
      <c r="AA18" t="s">
        <v>174</v>
      </c>
      <c r="AB18" t="str">
        <f t="shared" si="6"/>
        <v>May-25</v>
      </c>
      <c r="AC18" s="242">
        <v>45782</v>
      </c>
      <c r="AD18" t="s">
        <v>329</v>
      </c>
      <c r="AE18" t="s">
        <v>330</v>
      </c>
      <c r="AG18" t="s">
        <v>339</v>
      </c>
      <c r="AI18" t="s">
        <v>340</v>
      </c>
      <c r="AN18" s="3">
        <v>1</v>
      </c>
      <c r="AO18" s="3">
        <v>6375</v>
      </c>
      <c r="AP18" s="3">
        <f t="shared" si="3"/>
        <v>6375</v>
      </c>
      <c r="AQ18" s="3">
        <v>0</v>
      </c>
      <c r="AR18" s="3">
        <f t="shared" si="7"/>
        <v>6375</v>
      </c>
    </row>
    <row r="19" spans="2:44" x14ac:dyDescent="0.3">
      <c r="B19" t="s">
        <v>2743</v>
      </c>
      <c r="C19" t="s">
        <v>174</v>
      </c>
      <c r="D19" t="str">
        <f t="shared" si="4"/>
        <v>Apr-25</v>
      </c>
      <c r="E19" s="239">
        <v>45768</v>
      </c>
      <c r="F19" s="240" t="s">
        <v>295</v>
      </c>
      <c r="G19" s="240" t="s">
        <v>253</v>
      </c>
      <c r="H19" s="232">
        <v>3260</v>
      </c>
      <c r="I19" s="241">
        <v>31.120999999999999</v>
      </c>
      <c r="J19" s="241">
        <f t="shared" si="0"/>
        <v>101454.45999999999</v>
      </c>
      <c r="K19" s="3">
        <v>0</v>
      </c>
      <c r="L19" s="3">
        <f t="shared" si="1"/>
        <v>101454.45999999999</v>
      </c>
      <c r="M19" s="3"/>
      <c r="N19" t="s">
        <v>326</v>
      </c>
      <c r="O19" s="240" t="s">
        <v>226</v>
      </c>
      <c r="P19" t="s">
        <v>174</v>
      </c>
      <c r="Q19" s="242">
        <v>45785</v>
      </c>
      <c r="R19" t="s">
        <v>327</v>
      </c>
      <c r="S19" t="s">
        <v>233</v>
      </c>
      <c r="T19" s="3">
        <v>7550</v>
      </c>
      <c r="U19" s="233">
        <v>40</v>
      </c>
      <c r="V19" s="3">
        <f t="shared" si="2"/>
        <v>302000</v>
      </c>
      <c r="W19" s="3">
        <v>-302000</v>
      </c>
      <c r="X19" s="3">
        <f t="shared" si="5"/>
        <v>0</v>
      </c>
      <c r="Y19" s="1">
        <f>_xlfn.XLOOKUP(R19,'Details PC'!AA:AA,'Details PC'!AI:AI)-X19</f>
        <v>0</v>
      </c>
      <c r="AA19" t="s">
        <v>174</v>
      </c>
      <c r="AB19" t="str">
        <f t="shared" si="6"/>
        <v>May-25</v>
      </c>
      <c r="AC19" s="242">
        <v>45782</v>
      </c>
      <c r="AD19" t="s">
        <v>329</v>
      </c>
      <c r="AE19" t="s">
        <v>330</v>
      </c>
      <c r="AG19" t="s">
        <v>341</v>
      </c>
      <c r="AI19" t="s">
        <v>342</v>
      </c>
      <c r="AN19" s="3">
        <v>1</v>
      </c>
      <c r="AO19" s="3">
        <v>6478</v>
      </c>
      <c r="AP19" s="3">
        <f t="shared" si="3"/>
        <v>6478</v>
      </c>
      <c r="AQ19" s="3">
        <v>0</v>
      </c>
      <c r="AR19" s="3">
        <f t="shared" si="7"/>
        <v>6478</v>
      </c>
    </row>
    <row r="20" spans="2:44" x14ac:dyDescent="0.3">
      <c r="B20" t="s">
        <v>2743</v>
      </c>
      <c r="C20" t="s">
        <v>174</v>
      </c>
      <c r="D20" t="str">
        <f t="shared" si="4"/>
        <v>Apr-25</v>
      </c>
      <c r="E20" s="239">
        <v>45768</v>
      </c>
      <c r="F20" s="240" t="s">
        <v>296</v>
      </c>
      <c r="G20" s="240" t="s">
        <v>253</v>
      </c>
      <c r="H20" s="232">
        <v>3250</v>
      </c>
      <c r="I20" s="241">
        <v>31.120999999999999</v>
      </c>
      <c r="J20" s="241">
        <f t="shared" si="0"/>
        <v>101143.25</v>
      </c>
      <c r="K20" s="3">
        <v>0</v>
      </c>
      <c r="L20" s="3">
        <f t="shared" si="1"/>
        <v>101143.25</v>
      </c>
      <c r="M20" s="3"/>
      <c r="N20" t="s">
        <v>365</v>
      </c>
      <c r="O20" s="240" t="s">
        <v>226</v>
      </c>
      <c r="P20" t="s">
        <v>174</v>
      </c>
      <c r="Q20" s="242">
        <v>45799</v>
      </c>
      <c r="R20" t="s">
        <v>369</v>
      </c>
      <c r="S20" t="s">
        <v>373</v>
      </c>
      <c r="T20" s="3">
        <v>24720</v>
      </c>
      <c r="U20" s="233">
        <v>38</v>
      </c>
      <c r="V20" s="3">
        <f t="shared" si="2"/>
        <v>939360</v>
      </c>
      <c r="W20" s="3">
        <v>0</v>
      </c>
      <c r="X20" s="3">
        <f t="shared" si="5"/>
        <v>939360</v>
      </c>
      <c r="Y20" s="1">
        <f>_xlfn.XLOOKUP(R20,'Details PC'!AA:AA,'Details PC'!AI:AI)-X20</f>
        <v>0</v>
      </c>
      <c r="AA20" t="s">
        <v>174</v>
      </c>
      <c r="AB20" t="str">
        <f t="shared" si="6"/>
        <v>May-25</v>
      </c>
      <c r="AC20" s="242">
        <v>45782</v>
      </c>
      <c r="AD20" t="s">
        <v>329</v>
      </c>
      <c r="AE20" t="s">
        <v>330</v>
      </c>
      <c r="AG20" t="s">
        <v>341</v>
      </c>
      <c r="AI20" t="s">
        <v>342</v>
      </c>
      <c r="AN20" s="3">
        <v>1</v>
      </c>
      <c r="AO20" s="3">
        <v>6413</v>
      </c>
      <c r="AP20" s="3">
        <f t="shared" si="3"/>
        <v>6413</v>
      </c>
      <c r="AQ20" s="3">
        <v>0</v>
      </c>
      <c r="AR20" s="3">
        <f t="shared" si="7"/>
        <v>6413</v>
      </c>
    </row>
    <row r="21" spans="2:44" x14ac:dyDescent="0.3">
      <c r="B21" t="s">
        <v>2743</v>
      </c>
      <c r="C21" t="s">
        <v>174</v>
      </c>
      <c r="D21" t="str">
        <f t="shared" si="4"/>
        <v>Apr-25</v>
      </c>
      <c r="E21" s="239">
        <v>45775</v>
      </c>
      <c r="F21" s="240" t="s">
        <v>302</v>
      </c>
      <c r="G21" s="240" t="s">
        <v>253</v>
      </c>
      <c r="H21" s="232">
        <v>2580</v>
      </c>
      <c r="I21" s="241">
        <v>31.120999999999999</v>
      </c>
      <c r="J21" s="241">
        <f t="shared" si="0"/>
        <v>80292.179999999993</v>
      </c>
      <c r="K21" s="3">
        <v>0</v>
      </c>
      <c r="L21" s="3">
        <f t="shared" si="1"/>
        <v>80292.179999999993</v>
      </c>
      <c r="M21" s="3"/>
      <c r="N21" t="s">
        <v>367</v>
      </c>
      <c r="O21" s="240" t="s">
        <v>226</v>
      </c>
      <c r="P21" t="s">
        <v>174</v>
      </c>
      <c r="Q21" s="242">
        <v>45800</v>
      </c>
      <c r="R21" t="s">
        <v>371</v>
      </c>
      <c r="S21" t="s">
        <v>219</v>
      </c>
      <c r="T21" s="3">
        <v>10280</v>
      </c>
      <c r="U21" s="233">
        <v>42</v>
      </c>
      <c r="V21" s="3">
        <f t="shared" si="2"/>
        <v>431760</v>
      </c>
      <c r="W21" s="3">
        <v>0</v>
      </c>
      <c r="X21" s="3">
        <f t="shared" si="5"/>
        <v>431760</v>
      </c>
      <c r="Y21" s="1">
        <f>_xlfn.XLOOKUP(R21,'Details PC'!AA:AA,'Details PC'!AI:AI)-X21</f>
        <v>0</v>
      </c>
      <c r="AA21" t="s">
        <v>174</v>
      </c>
      <c r="AB21" t="str">
        <f t="shared" si="6"/>
        <v>May-25</v>
      </c>
      <c r="AC21" s="242">
        <v>45782</v>
      </c>
      <c r="AD21" t="s">
        <v>329</v>
      </c>
      <c r="AE21" t="s">
        <v>330</v>
      </c>
      <c r="AG21" t="s">
        <v>341</v>
      </c>
      <c r="AI21" t="s">
        <v>342</v>
      </c>
      <c r="AN21" s="3">
        <v>1</v>
      </c>
      <c r="AO21" s="3">
        <v>3000</v>
      </c>
      <c r="AP21" s="3">
        <f t="shared" si="3"/>
        <v>3000</v>
      </c>
      <c r="AQ21" s="3">
        <v>0</v>
      </c>
      <c r="AR21" s="3">
        <f t="shared" si="7"/>
        <v>3000</v>
      </c>
    </row>
    <row r="22" spans="2:44" x14ac:dyDescent="0.3">
      <c r="B22" t="s">
        <v>2743</v>
      </c>
      <c r="C22" t="s">
        <v>174</v>
      </c>
      <c r="D22" t="str">
        <f t="shared" si="4"/>
        <v>Apr-25</v>
      </c>
      <c r="E22" s="239">
        <v>45775</v>
      </c>
      <c r="F22" s="240" t="s">
        <v>301</v>
      </c>
      <c r="G22" s="240" t="s">
        <v>253</v>
      </c>
      <c r="H22" s="232">
        <v>3330</v>
      </c>
      <c r="I22" s="241">
        <v>31.120999999999999</v>
      </c>
      <c r="J22" s="241">
        <f t="shared" si="0"/>
        <v>103632.93</v>
      </c>
      <c r="K22" s="3">
        <v>0</v>
      </c>
      <c r="L22" s="3">
        <f t="shared" si="1"/>
        <v>103632.93</v>
      </c>
      <c r="M22" s="3"/>
      <c r="N22" t="s">
        <v>366</v>
      </c>
      <c r="O22" s="240" t="s">
        <v>226</v>
      </c>
      <c r="P22" t="s">
        <v>174</v>
      </c>
      <c r="Q22" s="242">
        <v>45800</v>
      </c>
      <c r="R22" t="s">
        <v>370</v>
      </c>
      <c r="S22" t="s">
        <v>219</v>
      </c>
      <c r="T22" s="3">
        <v>9600</v>
      </c>
      <c r="U22" s="233">
        <v>42</v>
      </c>
      <c r="V22" s="3">
        <f t="shared" si="2"/>
        <v>403200</v>
      </c>
      <c r="W22" s="3">
        <v>0</v>
      </c>
      <c r="X22" s="3">
        <f t="shared" si="5"/>
        <v>403200</v>
      </c>
      <c r="Y22" s="1">
        <f>_xlfn.XLOOKUP(R22,'Details PC'!AA:AA,'Details PC'!AI:AI)-X22</f>
        <v>0</v>
      </c>
      <c r="AA22" t="s">
        <v>174</v>
      </c>
      <c r="AB22" t="str">
        <f t="shared" si="6"/>
        <v>May-25</v>
      </c>
      <c r="AC22" s="242">
        <v>45782</v>
      </c>
      <c r="AD22" t="s">
        <v>329</v>
      </c>
      <c r="AE22" t="s">
        <v>330</v>
      </c>
      <c r="AG22" t="s">
        <v>341</v>
      </c>
      <c r="AI22" t="s">
        <v>342</v>
      </c>
      <c r="AN22" s="3">
        <v>1</v>
      </c>
      <c r="AO22" s="3">
        <v>3000</v>
      </c>
      <c r="AP22" s="3">
        <f t="shared" si="3"/>
        <v>3000</v>
      </c>
      <c r="AQ22" s="3">
        <v>0</v>
      </c>
      <c r="AR22" s="3">
        <f t="shared" si="7"/>
        <v>3000</v>
      </c>
    </row>
    <row r="23" spans="2:44" x14ac:dyDescent="0.3">
      <c r="B23" t="s">
        <v>2743</v>
      </c>
      <c r="C23" t="s">
        <v>174</v>
      </c>
      <c r="D23" t="str">
        <f t="shared" si="4"/>
        <v>Apr-25</v>
      </c>
      <c r="E23" s="239">
        <v>45776</v>
      </c>
      <c r="F23" s="240" t="s">
        <v>311</v>
      </c>
      <c r="G23" s="240" t="s">
        <v>270</v>
      </c>
      <c r="H23" s="232">
        <v>4260</v>
      </c>
      <c r="I23" s="241">
        <v>30.151</v>
      </c>
      <c r="J23" s="241">
        <f t="shared" si="0"/>
        <v>128443.26</v>
      </c>
      <c r="K23" s="3">
        <v>0</v>
      </c>
      <c r="L23" s="3">
        <f t="shared" si="1"/>
        <v>128443.26</v>
      </c>
      <c r="M23" s="3"/>
      <c r="N23" t="s">
        <v>368</v>
      </c>
      <c r="O23" s="240" t="s">
        <v>226</v>
      </c>
      <c r="P23" t="s">
        <v>174</v>
      </c>
      <c r="Q23" s="242">
        <v>45801</v>
      </c>
      <c r="R23" t="s">
        <v>372</v>
      </c>
      <c r="S23" t="s">
        <v>219</v>
      </c>
      <c r="T23" s="3">
        <v>5600</v>
      </c>
      <c r="U23" s="233">
        <v>42</v>
      </c>
      <c r="V23" s="3">
        <f t="shared" si="2"/>
        <v>235200</v>
      </c>
      <c r="W23" s="3">
        <v>0</v>
      </c>
      <c r="X23" s="3">
        <f t="shared" si="5"/>
        <v>235200</v>
      </c>
      <c r="Y23" s="1">
        <f>_xlfn.XLOOKUP(R23,'Details PC'!AA:AA,'Details PC'!AI:AI)-X23</f>
        <v>0</v>
      </c>
      <c r="AA23" t="s">
        <v>174</v>
      </c>
      <c r="AB23" t="str">
        <f t="shared" si="6"/>
        <v>May-25</v>
      </c>
      <c r="AC23" s="242">
        <v>45782</v>
      </c>
      <c r="AD23" t="s">
        <v>329</v>
      </c>
      <c r="AE23" t="s">
        <v>330</v>
      </c>
      <c r="AG23" t="s">
        <v>341</v>
      </c>
      <c r="AI23" t="s">
        <v>342</v>
      </c>
      <c r="AN23" s="3">
        <v>1</v>
      </c>
      <c r="AO23" s="3">
        <v>3000</v>
      </c>
      <c r="AP23" s="3">
        <f t="shared" si="3"/>
        <v>3000</v>
      </c>
      <c r="AQ23" s="3">
        <v>0</v>
      </c>
      <c r="AR23" s="3">
        <f t="shared" si="7"/>
        <v>3000</v>
      </c>
    </row>
    <row r="24" spans="2:44" x14ac:dyDescent="0.3">
      <c r="B24" t="s">
        <v>2743</v>
      </c>
      <c r="C24" t="s">
        <v>174</v>
      </c>
      <c r="D24" t="str">
        <f t="shared" si="4"/>
        <v>Apr-25</v>
      </c>
      <c r="E24" s="239">
        <v>45776</v>
      </c>
      <c r="F24" s="240" t="s">
        <v>312</v>
      </c>
      <c r="G24" s="240" t="s">
        <v>270</v>
      </c>
      <c r="H24" s="232">
        <v>4640</v>
      </c>
      <c r="I24" s="241">
        <v>30.151</v>
      </c>
      <c r="J24" s="241">
        <f t="shared" si="0"/>
        <v>139900.63999999998</v>
      </c>
      <c r="K24" s="3">
        <v>0</v>
      </c>
      <c r="L24" s="3">
        <f t="shared" si="1"/>
        <v>139900.63999999998</v>
      </c>
      <c r="M24" s="3"/>
      <c r="N24" t="s">
        <v>379</v>
      </c>
      <c r="O24" s="240" t="s">
        <v>226</v>
      </c>
      <c r="P24" t="s">
        <v>174</v>
      </c>
      <c r="Q24" s="242">
        <v>45805</v>
      </c>
      <c r="R24" t="s">
        <v>382</v>
      </c>
      <c r="S24" t="s">
        <v>219</v>
      </c>
      <c r="T24" s="3">
        <v>11630</v>
      </c>
      <c r="U24" s="233">
        <v>42</v>
      </c>
      <c r="V24" s="3">
        <f t="shared" si="2"/>
        <v>488460</v>
      </c>
      <c r="W24" s="3">
        <v>0</v>
      </c>
      <c r="X24" s="3">
        <f t="shared" si="5"/>
        <v>488460</v>
      </c>
      <c r="Y24" s="1">
        <f>_xlfn.XLOOKUP(R24,'Details PC'!AA:AA,'Details PC'!AI:AI)-X24</f>
        <v>0</v>
      </c>
      <c r="AA24" t="s">
        <v>174</v>
      </c>
      <c r="AB24" t="str">
        <f t="shared" si="6"/>
        <v>May-25</v>
      </c>
      <c r="AC24" s="242">
        <v>45782</v>
      </c>
      <c r="AD24" t="s">
        <v>329</v>
      </c>
      <c r="AE24" t="s">
        <v>330</v>
      </c>
      <c r="AG24" t="s">
        <v>341</v>
      </c>
      <c r="AI24" t="s">
        <v>342</v>
      </c>
      <c r="AN24" s="3">
        <v>1</v>
      </c>
      <c r="AO24" s="3">
        <v>3000</v>
      </c>
      <c r="AP24" s="3">
        <f t="shared" si="3"/>
        <v>3000</v>
      </c>
      <c r="AQ24" s="3">
        <v>0</v>
      </c>
      <c r="AR24" s="3">
        <f t="shared" si="7"/>
        <v>3000</v>
      </c>
    </row>
    <row r="25" spans="2:44" x14ac:dyDescent="0.3">
      <c r="B25" t="s">
        <v>2743</v>
      </c>
      <c r="C25" t="s">
        <v>174</v>
      </c>
      <c r="D25" t="str">
        <f t="shared" si="4"/>
        <v>May-25</v>
      </c>
      <c r="E25" s="239">
        <v>45779</v>
      </c>
      <c r="F25" s="240" t="s">
        <v>317</v>
      </c>
      <c r="G25" s="240" t="s">
        <v>253</v>
      </c>
      <c r="H25" s="232">
        <v>2440</v>
      </c>
      <c r="I25" s="241">
        <v>31.120999999999999</v>
      </c>
      <c r="J25" s="241">
        <f t="shared" si="0"/>
        <v>75935.239999999991</v>
      </c>
      <c r="K25" s="3">
        <v>0</v>
      </c>
      <c r="L25" s="3">
        <f t="shared" si="1"/>
        <v>75935.239999999991</v>
      </c>
      <c r="M25" s="3"/>
      <c r="N25" t="s">
        <v>424</v>
      </c>
      <c r="O25" s="240" t="s">
        <v>226</v>
      </c>
      <c r="P25" t="s">
        <v>174</v>
      </c>
      <c r="Q25" s="242">
        <v>45816</v>
      </c>
      <c r="R25" t="s">
        <v>418</v>
      </c>
      <c r="S25" t="s">
        <v>250</v>
      </c>
      <c r="T25" s="3">
        <v>7050</v>
      </c>
      <c r="U25" s="233">
        <v>33</v>
      </c>
      <c r="V25" s="3">
        <f t="shared" si="2"/>
        <v>232650</v>
      </c>
      <c r="W25" s="3">
        <v>0</v>
      </c>
      <c r="X25" s="3">
        <f t="shared" si="5"/>
        <v>232650</v>
      </c>
      <c r="Y25" s="1">
        <f>_xlfn.XLOOKUP(R25,'Details PC'!AA:AA,'Details PC'!AI:AI)-X25</f>
        <v>0</v>
      </c>
      <c r="AA25" t="s">
        <v>174</v>
      </c>
      <c r="AB25" t="str">
        <f t="shared" si="6"/>
        <v>May-25</v>
      </c>
      <c r="AC25" s="242">
        <v>45782</v>
      </c>
      <c r="AD25" t="s">
        <v>329</v>
      </c>
      <c r="AE25" t="s">
        <v>330</v>
      </c>
      <c r="AG25" t="s">
        <v>341</v>
      </c>
      <c r="AI25" t="s">
        <v>342</v>
      </c>
      <c r="AN25" s="3">
        <v>1</v>
      </c>
      <c r="AO25" s="3">
        <v>3000</v>
      </c>
      <c r="AP25" s="3">
        <f t="shared" si="3"/>
        <v>3000</v>
      </c>
      <c r="AQ25" s="3">
        <v>0</v>
      </c>
      <c r="AR25" s="3">
        <f t="shared" si="7"/>
        <v>3000</v>
      </c>
    </row>
    <row r="26" spans="2:44" x14ac:dyDescent="0.3">
      <c r="B26" t="s">
        <v>2743</v>
      </c>
      <c r="C26" t="s">
        <v>174</v>
      </c>
      <c r="D26" t="str">
        <f t="shared" si="4"/>
        <v>May-25</v>
      </c>
      <c r="E26" s="239">
        <v>45779</v>
      </c>
      <c r="F26" s="240" t="s">
        <v>316</v>
      </c>
      <c r="G26" s="240" t="s">
        <v>253</v>
      </c>
      <c r="H26" s="232">
        <v>2690</v>
      </c>
      <c r="I26" s="241">
        <v>31.120999999999999</v>
      </c>
      <c r="J26" s="241">
        <f t="shared" si="0"/>
        <v>83715.489999999991</v>
      </c>
      <c r="K26" s="3">
        <v>0</v>
      </c>
      <c r="L26" s="3">
        <f t="shared" si="1"/>
        <v>83715.489999999991</v>
      </c>
      <c r="M26" s="3"/>
      <c r="N26" t="s">
        <v>381</v>
      </c>
      <c r="O26" s="240" t="s">
        <v>226</v>
      </c>
      <c r="P26" t="s">
        <v>174</v>
      </c>
      <c r="Q26" s="242">
        <v>45808</v>
      </c>
      <c r="R26" t="s">
        <v>384</v>
      </c>
      <c r="S26" t="s">
        <v>233</v>
      </c>
      <c r="T26" s="3">
        <v>3065</v>
      </c>
      <c r="U26" s="233">
        <v>40</v>
      </c>
      <c r="V26" s="3">
        <f t="shared" si="2"/>
        <v>122600</v>
      </c>
      <c r="W26" s="3">
        <v>0</v>
      </c>
      <c r="X26" s="3">
        <f t="shared" si="5"/>
        <v>122600</v>
      </c>
      <c r="Y26" s="1">
        <f>_xlfn.XLOOKUP(R26,'Details PC'!AA:AA,'Details PC'!AI:AI)-X26</f>
        <v>0</v>
      </c>
      <c r="AA26" t="s">
        <v>174</v>
      </c>
      <c r="AB26" t="str">
        <f t="shared" si="6"/>
        <v>May-25</v>
      </c>
      <c r="AC26" s="242">
        <v>45782</v>
      </c>
      <c r="AD26" t="s">
        <v>329</v>
      </c>
      <c r="AE26" t="s">
        <v>330</v>
      </c>
      <c r="AG26" t="s">
        <v>341</v>
      </c>
      <c r="AI26" t="s">
        <v>342</v>
      </c>
      <c r="AN26" s="3">
        <v>1</v>
      </c>
      <c r="AO26" s="3">
        <v>3000</v>
      </c>
      <c r="AP26" s="3">
        <f t="shared" si="3"/>
        <v>3000</v>
      </c>
      <c r="AQ26" s="3">
        <v>0</v>
      </c>
      <c r="AR26" s="3">
        <f t="shared" si="7"/>
        <v>3000</v>
      </c>
    </row>
    <row r="27" spans="2:44" x14ac:dyDescent="0.3">
      <c r="B27" t="s">
        <v>2743</v>
      </c>
      <c r="C27" t="s">
        <v>174</v>
      </c>
      <c r="D27" t="str">
        <f t="shared" si="4"/>
        <v>May-25</v>
      </c>
      <c r="E27" s="239">
        <v>45779</v>
      </c>
      <c r="F27" s="240" t="s">
        <v>315</v>
      </c>
      <c r="G27" s="240" t="s">
        <v>253</v>
      </c>
      <c r="H27" s="232">
        <v>3120</v>
      </c>
      <c r="I27" s="241">
        <v>31.120999999999999</v>
      </c>
      <c r="J27" s="241">
        <f t="shared" si="0"/>
        <v>97097.51999999999</v>
      </c>
      <c r="K27" s="3">
        <v>0</v>
      </c>
      <c r="L27" s="3">
        <f t="shared" si="1"/>
        <v>97097.51999999999</v>
      </c>
      <c r="M27" s="3"/>
      <c r="N27" t="s">
        <v>380</v>
      </c>
      <c r="O27" s="240" t="s">
        <v>226</v>
      </c>
      <c r="P27" t="s">
        <v>174</v>
      </c>
      <c r="Q27" s="242">
        <v>45806</v>
      </c>
      <c r="R27" t="s">
        <v>383</v>
      </c>
      <c r="S27" t="s">
        <v>219</v>
      </c>
      <c r="T27" s="3">
        <v>12960</v>
      </c>
      <c r="U27" s="233">
        <v>42</v>
      </c>
      <c r="V27" s="3">
        <f t="shared" si="2"/>
        <v>544320</v>
      </c>
      <c r="W27" s="3">
        <v>0</v>
      </c>
      <c r="X27" s="3">
        <f t="shared" si="5"/>
        <v>544320</v>
      </c>
      <c r="Y27" s="1">
        <f>_xlfn.XLOOKUP(R27,'Details PC'!AA:AA,'Details PC'!AI:AI)-X27</f>
        <v>0</v>
      </c>
      <c r="AA27" t="s">
        <v>174</v>
      </c>
      <c r="AB27" t="str">
        <f t="shared" si="6"/>
        <v>May-25</v>
      </c>
      <c r="AC27" s="242">
        <v>45782</v>
      </c>
      <c r="AD27" t="s">
        <v>329</v>
      </c>
      <c r="AE27" t="s">
        <v>330</v>
      </c>
      <c r="AG27" t="s">
        <v>341</v>
      </c>
      <c r="AI27" t="s">
        <v>342</v>
      </c>
      <c r="AN27" s="3">
        <v>1</v>
      </c>
      <c r="AO27" s="3">
        <v>3000</v>
      </c>
      <c r="AP27" s="3">
        <f t="shared" si="3"/>
        <v>3000</v>
      </c>
      <c r="AQ27" s="3">
        <v>0</v>
      </c>
      <c r="AR27" s="3">
        <f t="shared" si="7"/>
        <v>3000</v>
      </c>
    </row>
    <row r="28" spans="2:44" x14ac:dyDescent="0.3">
      <c r="B28" t="s">
        <v>2743</v>
      </c>
      <c r="C28" t="s">
        <v>174</v>
      </c>
      <c r="D28" t="str">
        <f t="shared" si="4"/>
        <v>May-25</v>
      </c>
      <c r="E28" s="239">
        <v>45780</v>
      </c>
      <c r="F28" s="240" t="s">
        <v>319</v>
      </c>
      <c r="G28" s="240" t="s">
        <v>253</v>
      </c>
      <c r="H28" s="232">
        <v>3030</v>
      </c>
      <c r="I28" s="241">
        <v>31.120999999999999</v>
      </c>
      <c r="J28" s="241">
        <f t="shared" si="0"/>
        <v>94296.62999999999</v>
      </c>
      <c r="K28" s="3">
        <v>0</v>
      </c>
      <c r="L28" s="3">
        <f t="shared" si="1"/>
        <v>94296.62999999999</v>
      </c>
      <c r="M28" s="3"/>
      <c r="N28" t="s">
        <v>426</v>
      </c>
      <c r="O28" s="240" t="s">
        <v>226</v>
      </c>
      <c r="P28" t="s">
        <v>174</v>
      </c>
      <c r="Q28" s="242">
        <v>45809</v>
      </c>
      <c r="R28" t="s">
        <v>420</v>
      </c>
      <c r="S28" t="s">
        <v>219</v>
      </c>
      <c r="T28" s="3">
        <v>13840</v>
      </c>
      <c r="U28" s="233">
        <v>42</v>
      </c>
      <c r="V28" s="3">
        <f t="shared" si="2"/>
        <v>581280</v>
      </c>
      <c r="W28" s="3">
        <v>0</v>
      </c>
      <c r="X28" s="3">
        <f t="shared" si="5"/>
        <v>581280</v>
      </c>
      <c r="Y28" s="1">
        <f>_xlfn.XLOOKUP(R28,'Details PC'!AA:AA,'Details PC'!AI:AI)-X28</f>
        <v>0</v>
      </c>
      <c r="AA28" t="s">
        <v>174</v>
      </c>
      <c r="AB28" t="str">
        <f t="shared" si="6"/>
        <v>May-25</v>
      </c>
      <c r="AC28" s="242">
        <v>45782</v>
      </c>
      <c r="AD28" t="s">
        <v>329</v>
      </c>
      <c r="AE28" t="s">
        <v>330</v>
      </c>
      <c r="AG28" t="s">
        <v>341</v>
      </c>
      <c r="AI28" t="s">
        <v>342</v>
      </c>
      <c r="AN28" s="3">
        <v>1</v>
      </c>
      <c r="AO28" s="3">
        <v>3000</v>
      </c>
      <c r="AP28" s="3">
        <f t="shared" si="3"/>
        <v>3000</v>
      </c>
      <c r="AQ28" s="3">
        <v>0</v>
      </c>
      <c r="AR28" s="3">
        <f t="shared" si="7"/>
        <v>3000</v>
      </c>
    </row>
    <row r="29" spans="2:44" x14ac:dyDescent="0.3">
      <c r="B29" t="s">
        <v>2743</v>
      </c>
      <c r="C29" t="s">
        <v>174</v>
      </c>
      <c r="D29" t="str">
        <f t="shared" si="4"/>
        <v>May-25</v>
      </c>
      <c r="E29" s="239">
        <v>45780</v>
      </c>
      <c r="F29" s="240" t="s">
        <v>318</v>
      </c>
      <c r="G29" s="240" t="s">
        <v>253</v>
      </c>
      <c r="H29" s="232">
        <v>2970</v>
      </c>
      <c r="I29" s="241">
        <v>31.120999999999999</v>
      </c>
      <c r="J29" s="241">
        <f t="shared" si="0"/>
        <v>92429.37</v>
      </c>
      <c r="K29" s="3">
        <v>0</v>
      </c>
      <c r="L29" s="3">
        <f t="shared" si="1"/>
        <v>92429.37</v>
      </c>
      <c r="M29" s="3"/>
      <c r="N29" t="s">
        <v>425</v>
      </c>
      <c r="O29" s="240" t="s">
        <v>226</v>
      </c>
      <c r="P29" t="s">
        <v>174</v>
      </c>
      <c r="Q29" s="242">
        <v>45809</v>
      </c>
      <c r="R29" t="s">
        <v>419</v>
      </c>
      <c r="S29" t="s">
        <v>250</v>
      </c>
      <c r="T29" s="3">
        <v>12090</v>
      </c>
      <c r="U29" s="233">
        <v>33</v>
      </c>
      <c r="V29" s="3">
        <f t="shared" si="2"/>
        <v>398970</v>
      </c>
      <c r="W29" s="3">
        <v>0</v>
      </c>
      <c r="X29" s="3">
        <f t="shared" si="5"/>
        <v>398970</v>
      </c>
      <c r="Y29" s="1">
        <f>_xlfn.XLOOKUP(R29,'Details PC'!AA:AA,'Details PC'!AI:AI)-X29</f>
        <v>0</v>
      </c>
      <c r="AA29" t="s">
        <v>174</v>
      </c>
      <c r="AB29" t="str">
        <f t="shared" si="6"/>
        <v>May-25</v>
      </c>
      <c r="AC29" s="242">
        <v>45782</v>
      </c>
      <c r="AD29" t="s">
        <v>329</v>
      </c>
      <c r="AE29" t="s">
        <v>330</v>
      </c>
      <c r="AG29" t="s">
        <v>341</v>
      </c>
      <c r="AI29" t="s">
        <v>342</v>
      </c>
      <c r="AN29" s="3">
        <v>1</v>
      </c>
      <c r="AO29" s="3">
        <v>3000</v>
      </c>
      <c r="AP29" s="3">
        <f t="shared" si="3"/>
        <v>3000</v>
      </c>
      <c r="AQ29" s="3">
        <v>0</v>
      </c>
      <c r="AR29" s="3">
        <f t="shared" si="7"/>
        <v>3000</v>
      </c>
    </row>
    <row r="30" spans="2:44" x14ac:dyDescent="0.3">
      <c r="B30" t="s">
        <v>2743</v>
      </c>
      <c r="C30" t="s">
        <v>174</v>
      </c>
      <c r="D30" t="str">
        <f t="shared" si="4"/>
        <v>May-25</v>
      </c>
      <c r="E30" s="239">
        <v>45782</v>
      </c>
      <c r="F30" s="240" t="s">
        <v>324</v>
      </c>
      <c r="G30" s="240" t="s">
        <v>325</v>
      </c>
      <c r="H30" s="232">
        <v>7470</v>
      </c>
      <c r="I30" s="241">
        <v>36</v>
      </c>
      <c r="J30" s="241">
        <f t="shared" si="0"/>
        <v>268920</v>
      </c>
      <c r="K30" s="3">
        <v>0</v>
      </c>
      <c r="L30" s="3">
        <f t="shared" si="1"/>
        <v>268920</v>
      </c>
      <c r="M30" s="3"/>
      <c r="N30" t="s">
        <v>435</v>
      </c>
      <c r="O30" s="240" t="s">
        <v>226</v>
      </c>
      <c r="P30" t="s">
        <v>174</v>
      </c>
      <c r="Q30" s="242">
        <v>45818</v>
      </c>
      <c r="R30" t="s">
        <v>437</v>
      </c>
      <c r="S30" t="s">
        <v>219</v>
      </c>
      <c r="T30" s="3">
        <v>21210</v>
      </c>
      <c r="U30" s="233">
        <v>42</v>
      </c>
      <c r="V30" s="3">
        <f t="shared" si="2"/>
        <v>890820</v>
      </c>
      <c r="W30" s="3">
        <v>0</v>
      </c>
      <c r="X30" s="3">
        <f t="shared" si="5"/>
        <v>890820</v>
      </c>
      <c r="Y30" s="1">
        <f>_xlfn.XLOOKUP(R30,'Details PC'!AA:AA,'Details PC'!AI:AI)-X30</f>
        <v>0</v>
      </c>
      <c r="AA30" t="s">
        <v>174</v>
      </c>
      <c r="AB30" t="str">
        <f t="shared" si="6"/>
        <v>May-25</v>
      </c>
      <c r="AC30" s="242">
        <v>45782</v>
      </c>
      <c r="AD30" t="s">
        <v>329</v>
      </c>
      <c r="AE30" t="s">
        <v>330</v>
      </c>
      <c r="AG30" t="s">
        <v>343</v>
      </c>
      <c r="AI30" t="s">
        <v>344</v>
      </c>
      <c r="AN30" s="3">
        <v>1</v>
      </c>
      <c r="AO30" s="3">
        <v>5181</v>
      </c>
      <c r="AP30" s="3">
        <f t="shared" si="3"/>
        <v>5181</v>
      </c>
      <c r="AQ30" s="3">
        <v>0</v>
      </c>
      <c r="AR30" s="3">
        <f t="shared" si="7"/>
        <v>5181</v>
      </c>
    </row>
    <row r="31" spans="2:44" x14ac:dyDescent="0.3">
      <c r="B31" t="s">
        <v>1365</v>
      </c>
      <c r="C31" t="s">
        <v>174</v>
      </c>
      <c r="D31" t="str">
        <f t="shared" si="4"/>
        <v>May-25</v>
      </c>
      <c r="E31" s="239">
        <v>45782</v>
      </c>
      <c r="F31" s="240"/>
      <c r="G31" s="240" t="s">
        <v>240</v>
      </c>
      <c r="H31" s="232">
        <v>1</v>
      </c>
      <c r="I31" s="241">
        <v>26950</v>
      </c>
      <c r="J31" s="241">
        <f t="shared" si="0"/>
        <v>26950</v>
      </c>
      <c r="K31" s="3">
        <v>0</v>
      </c>
      <c r="L31" s="3">
        <f t="shared" si="1"/>
        <v>26950</v>
      </c>
      <c r="M31" s="3"/>
      <c r="N31" t="s">
        <v>453</v>
      </c>
      <c r="O31" s="240" t="s">
        <v>226</v>
      </c>
      <c r="P31" t="s">
        <v>174</v>
      </c>
      <c r="Q31" s="242">
        <v>45819</v>
      </c>
      <c r="R31" t="s">
        <v>455</v>
      </c>
      <c r="S31" t="s">
        <v>250</v>
      </c>
      <c r="T31" s="3">
        <v>11690</v>
      </c>
      <c r="U31" s="233">
        <v>33</v>
      </c>
      <c r="V31" s="3">
        <f t="shared" si="2"/>
        <v>385770</v>
      </c>
      <c r="W31" s="3">
        <v>0</v>
      </c>
      <c r="X31" s="3">
        <f t="shared" si="5"/>
        <v>385770</v>
      </c>
      <c r="Y31" s="1">
        <f>_xlfn.XLOOKUP(R31,'Details PC'!AA:AA,'Details PC'!AI:AI)-X31</f>
        <v>0</v>
      </c>
      <c r="AA31" t="s">
        <v>174</v>
      </c>
      <c r="AB31" t="str">
        <f t="shared" si="6"/>
        <v>May-25</v>
      </c>
      <c r="AC31" s="242">
        <v>45782</v>
      </c>
      <c r="AD31" t="s">
        <v>329</v>
      </c>
      <c r="AE31" t="s">
        <v>330</v>
      </c>
      <c r="AG31" t="s">
        <v>345</v>
      </c>
      <c r="AI31" t="s">
        <v>346</v>
      </c>
      <c r="AN31" s="3">
        <v>1</v>
      </c>
      <c r="AO31" s="3">
        <v>39050</v>
      </c>
      <c r="AP31" s="3">
        <f t="shared" si="3"/>
        <v>39050</v>
      </c>
      <c r="AQ31" s="3">
        <v>0</v>
      </c>
      <c r="AR31" s="3">
        <f t="shared" si="7"/>
        <v>39050</v>
      </c>
    </row>
    <row r="32" spans="2:44" x14ac:dyDescent="0.3">
      <c r="B32" t="s">
        <v>2743</v>
      </c>
      <c r="C32" t="s">
        <v>174</v>
      </c>
      <c r="D32" t="str">
        <f t="shared" si="4"/>
        <v>May-25</v>
      </c>
      <c r="E32" s="239">
        <v>45783</v>
      </c>
      <c r="F32" s="240" t="s">
        <v>320</v>
      </c>
      <c r="G32" s="240" t="s">
        <v>253</v>
      </c>
      <c r="H32" s="232">
        <v>3110</v>
      </c>
      <c r="I32" s="241">
        <v>31.120999999999999</v>
      </c>
      <c r="J32" s="241">
        <f t="shared" si="0"/>
        <v>96786.31</v>
      </c>
      <c r="K32" s="3">
        <v>0</v>
      </c>
      <c r="L32" s="3">
        <f t="shared" si="1"/>
        <v>96786.31</v>
      </c>
      <c r="M32" s="3"/>
      <c r="N32" t="s">
        <v>427</v>
      </c>
      <c r="O32" s="240" t="s">
        <v>226</v>
      </c>
      <c r="P32" t="s">
        <v>174</v>
      </c>
      <c r="Q32" s="242">
        <v>45810</v>
      </c>
      <c r="R32" t="s">
        <v>421</v>
      </c>
      <c r="S32" t="s">
        <v>250</v>
      </c>
      <c r="T32" s="3">
        <v>8510</v>
      </c>
      <c r="U32" s="233">
        <v>33</v>
      </c>
      <c r="V32" s="3">
        <f t="shared" si="2"/>
        <v>280830</v>
      </c>
      <c r="W32" s="3">
        <v>0</v>
      </c>
      <c r="X32" s="3">
        <f t="shared" si="5"/>
        <v>280830</v>
      </c>
      <c r="Y32" s="1">
        <f>_xlfn.XLOOKUP(R32,'Details PC'!AA:AA,'Details PC'!AI:AI)-X32</f>
        <v>0</v>
      </c>
      <c r="AA32" t="s">
        <v>174</v>
      </c>
      <c r="AB32" t="str">
        <f t="shared" si="6"/>
        <v>May-25</v>
      </c>
      <c r="AC32" s="242">
        <v>45782</v>
      </c>
      <c r="AD32" t="s">
        <v>329</v>
      </c>
      <c r="AE32" t="s">
        <v>330</v>
      </c>
      <c r="AG32" t="s">
        <v>341</v>
      </c>
      <c r="AI32" t="s">
        <v>342</v>
      </c>
      <c r="AN32" s="3">
        <v>1</v>
      </c>
      <c r="AO32" s="3">
        <v>3000</v>
      </c>
      <c r="AP32" s="3">
        <f t="shared" si="3"/>
        <v>3000</v>
      </c>
      <c r="AQ32" s="3">
        <v>0</v>
      </c>
      <c r="AR32" s="3">
        <f t="shared" si="7"/>
        <v>3000</v>
      </c>
    </row>
    <row r="33" spans="2:44" x14ac:dyDescent="0.3">
      <c r="B33" t="s">
        <v>2743</v>
      </c>
      <c r="C33" t="s">
        <v>174</v>
      </c>
      <c r="D33" t="str">
        <f t="shared" si="4"/>
        <v>May-25</v>
      </c>
      <c r="E33" s="239">
        <v>45783</v>
      </c>
      <c r="F33" s="240" t="s">
        <v>321</v>
      </c>
      <c r="G33" s="240" t="s">
        <v>253</v>
      </c>
      <c r="H33" s="232">
        <v>4160</v>
      </c>
      <c r="I33" s="241">
        <v>31.120999999999999</v>
      </c>
      <c r="J33" s="241">
        <f t="shared" si="0"/>
        <v>129463.36</v>
      </c>
      <c r="K33" s="3">
        <v>0</v>
      </c>
      <c r="L33" s="3">
        <f t="shared" si="1"/>
        <v>129463.36</v>
      </c>
      <c r="M33" s="3"/>
      <c r="N33" t="s">
        <v>428</v>
      </c>
      <c r="O33" s="240" t="s">
        <v>226</v>
      </c>
      <c r="P33" t="s">
        <v>174</v>
      </c>
      <c r="Q33" s="242">
        <v>45812</v>
      </c>
      <c r="R33" t="s">
        <v>422</v>
      </c>
      <c r="S33" t="s">
        <v>250</v>
      </c>
      <c r="T33" s="3">
        <v>4460</v>
      </c>
      <c r="U33" s="233">
        <v>33</v>
      </c>
      <c r="V33" s="3">
        <f t="shared" si="2"/>
        <v>147180</v>
      </c>
      <c r="W33" s="3">
        <v>0</v>
      </c>
      <c r="X33" s="3">
        <f t="shared" si="5"/>
        <v>147180</v>
      </c>
      <c r="Y33" s="1">
        <f>_xlfn.XLOOKUP(R33,'Details PC'!AA:AA,'Details PC'!AI:AI)-X33</f>
        <v>0</v>
      </c>
      <c r="AA33" t="s">
        <v>174</v>
      </c>
      <c r="AB33" t="str">
        <f t="shared" si="6"/>
        <v>May-25</v>
      </c>
      <c r="AC33" s="242">
        <v>45782</v>
      </c>
      <c r="AD33" t="s">
        <v>329</v>
      </c>
      <c r="AE33" t="s">
        <v>330</v>
      </c>
      <c r="AG33" t="s">
        <v>343</v>
      </c>
      <c r="AI33" t="s">
        <v>344</v>
      </c>
      <c r="AN33" s="3">
        <v>1</v>
      </c>
      <c r="AO33" s="3">
        <v>5511</v>
      </c>
      <c r="AP33" s="3">
        <f t="shared" si="3"/>
        <v>5511</v>
      </c>
      <c r="AQ33" s="3">
        <v>0</v>
      </c>
      <c r="AR33" s="3">
        <f t="shared" si="7"/>
        <v>5511</v>
      </c>
    </row>
    <row r="34" spans="2:44" x14ac:dyDescent="0.3">
      <c r="B34" t="s">
        <v>2743</v>
      </c>
      <c r="C34" t="s">
        <v>174</v>
      </c>
      <c r="D34" t="str">
        <f t="shared" si="4"/>
        <v>May-25</v>
      </c>
      <c r="E34" s="239">
        <v>45785</v>
      </c>
      <c r="F34" s="240" t="s">
        <v>322</v>
      </c>
      <c r="G34" s="240" t="s">
        <v>253</v>
      </c>
      <c r="H34" s="232">
        <v>2320</v>
      </c>
      <c r="I34" s="241">
        <v>31.120999999999999</v>
      </c>
      <c r="J34" s="241">
        <f t="shared" si="0"/>
        <v>72200.72</v>
      </c>
      <c r="K34" s="3">
        <v>0</v>
      </c>
      <c r="L34" s="3">
        <f t="shared" si="1"/>
        <v>72200.72</v>
      </c>
      <c r="M34" s="3"/>
      <c r="N34" t="s">
        <v>429</v>
      </c>
      <c r="O34" s="240" t="s">
        <v>226</v>
      </c>
      <c r="P34" t="s">
        <v>174</v>
      </c>
      <c r="Q34" s="242">
        <v>45816</v>
      </c>
      <c r="R34" t="s">
        <v>423</v>
      </c>
      <c r="S34" t="s">
        <v>250</v>
      </c>
      <c r="T34" s="3">
        <v>6630</v>
      </c>
      <c r="U34" s="233">
        <v>33</v>
      </c>
      <c r="V34" s="3">
        <f t="shared" si="2"/>
        <v>218790</v>
      </c>
      <c r="W34" s="3">
        <v>0</v>
      </c>
      <c r="X34" s="3">
        <f t="shared" si="5"/>
        <v>218790</v>
      </c>
      <c r="Y34" s="1">
        <f>_xlfn.XLOOKUP(R34,'Details PC'!AA:AA,'Details PC'!AI:AI)-X34</f>
        <v>0</v>
      </c>
      <c r="AA34" t="s">
        <v>174</v>
      </c>
      <c r="AB34" t="str">
        <f t="shared" si="6"/>
        <v>May-25</v>
      </c>
      <c r="AC34" s="242">
        <v>45782</v>
      </c>
      <c r="AD34" t="s">
        <v>329</v>
      </c>
      <c r="AE34" t="s">
        <v>330</v>
      </c>
      <c r="AG34" t="s">
        <v>343</v>
      </c>
      <c r="AI34" t="s">
        <v>344</v>
      </c>
      <c r="AN34" s="3">
        <v>1</v>
      </c>
      <c r="AO34" s="3">
        <v>6651</v>
      </c>
      <c r="AP34" s="3">
        <f t="shared" si="3"/>
        <v>6651</v>
      </c>
      <c r="AQ34" s="3">
        <v>0</v>
      </c>
      <c r="AR34" s="3">
        <f t="shared" si="7"/>
        <v>6651</v>
      </c>
    </row>
    <row r="35" spans="2:44" x14ac:dyDescent="0.3">
      <c r="B35" t="s">
        <v>2743</v>
      </c>
      <c r="C35" t="s">
        <v>174</v>
      </c>
      <c r="D35" t="str">
        <f t="shared" si="4"/>
        <v>May-25</v>
      </c>
      <c r="E35" s="239">
        <v>45786</v>
      </c>
      <c r="F35" s="240" t="s">
        <v>323</v>
      </c>
      <c r="G35" s="240" t="s">
        <v>270</v>
      </c>
      <c r="H35" s="232">
        <v>4560</v>
      </c>
      <c r="I35" s="241">
        <v>30.151</v>
      </c>
      <c r="J35" s="241">
        <f t="shared" si="0"/>
        <v>137488.56</v>
      </c>
      <c r="K35" s="3">
        <v>0</v>
      </c>
      <c r="L35" s="3">
        <f t="shared" si="1"/>
        <v>137488.56</v>
      </c>
      <c r="M35" s="3"/>
      <c r="N35" t="s">
        <v>434</v>
      </c>
      <c r="O35" s="240" t="s">
        <v>226</v>
      </c>
      <c r="P35" t="s">
        <v>174</v>
      </c>
      <c r="Q35" s="242">
        <v>45817</v>
      </c>
      <c r="R35" t="s">
        <v>436</v>
      </c>
      <c r="S35" t="s">
        <v>373</v>
      </c>
      <c r="T35" s="3">
        <v>23940</v>
      </c>
      <c r="U35" s="233">
        <v>38</v>
      </c>
      <c r="V35" s="3">
        <f t="shared" si="2"/>
        <v>909720</v>
      </c>
      <c r="W35" s="3">
        <v>0</v>
      </c>
      <c r="X35" s="3">
        <f t="shared" si="5"/>
        <v>909720</v>
      </c>
      <c r="Y35" s="1">
        <f>_xlfn.XLOOKUP(R35,'Details PC'!AA:AA,'Details PC'!AI:AI)-X35</f>
        <v>0</v>
      </c>
      <c r="AA35" t="s">
        <v>174</v>
      </c>
      <c r="AB35" t="str">
        <f t="shared" si="6"/>
        <v>May-25</v>
      </c>
      <c r="AC35" s="242">
        <v>45782</v>
      </c>
      <c r="AD35" t="s">
        <v>329</v>
      </c>
      <c r="AE35" t="s">
        <v>330</v>
      </c>
      <c r="AG35" t="s">
        <v>343</v>
      </c>
      <c r="AI35" t="s">
        <v>344</v>
      </c>
      <c r="AN35" s="3">
        <v>1</v>
      </c>
      <c r="AO35" s="3">
        <v>7299</v>
      </c>
      <c r="AP35" s="3">
        <f t="shared" si="3"/>
        <v>7299</v>
      </c>
      <c r="AQ35" s="3">
        <v>0</v>
      </c>
      <c r="AR35" s="3">
        <f t="shared" si="7"/>
        <v>7299</v>
      </c>
    </row>
    <row r="36" spans="2:44" x14ac:dyDescent="0.3">
      <c r="B36" t="s">
        <v>2743</v>
      </c>
      <c r="C36" t="s">
        <v>174</v>
      </c>
      <c r="D36" t="str">
        <f t="shared" si="4"/>
        <v>May-25</v>
      </c>
      <c r="E36" s="239">
        <v>45791</v>
      </c>
      <c r="F36" s="240" t="s">
        <v>352</v>
      </c>
      <c r="G36" s="240" t="s">
        <v>253</v>
      </c>
      <c r="H36" s="232">
        <v>2520</v>
      </c>
      <c r="I36" s="241">
        <v>31.120999999999999</v>
      </c>
      <c r="J36" s="241">
        <f t="shared" si="0"/>
        <v>78424.92</v>
      </c>
      <c r="K36" s="3">
        <v>0</v>
      </c>
      <c r="L36" s="3">
        <f t="shared" si="1"/>
        <v>78424.92</v>
      </c>
      <c r="M36" s="3"/>
      <c r="N36" t="s">
        <v>470</v>
      </c>
      <c r="O36" s="240" t="s">
        <v>226</v>
      </c>
      <c r="P36" t="s">
        <v>174</v>
      </c>
      <c r="Q36" s="242">
        <v>45825</v>
      </c>
      <c r="R36" t="s">
        <v>469</v>
      </c>
      <c r="S36" t="s">
        <v>373</v>
      </c>
      <c r="T36" s="3">
        <v>24580</v>
      </c>
      <c r="U36" s="233">
        <v>38</v>
      </c>
      <c r="V36" s="3">
        <f t="shared" ref="V36:V67" si="8">U36*T36</f>
        <v>934040</v>
      </c>
      <c r="W36" s="3">
        <v>-24580</v>
      </c>
      <c r="X36" s="3">
        <f t="shared" ref="X36:X67" si="9">V36+W36</f>
        <v>909460</v>
      </c>
      <c r="Y36" s="1">
        <f>_xlfn.XLOOKUP(R36,'Details PC'!AA:AA,'Details PC'!AI:AI)-X36</f>
        <v>0</v>
      </c>
      <c r="AA36" t="s">
        <v>174</v>
      </c>
      <c r="AB36" t="str">
        <f t="shared" si="6"/>
        <v>May-25</v>
      </c>
      <c r="AC36" s="242">
        <v>45782</v>
      </c>
      <c r="AD36" t="s">
        <v>329</v>
      </c>
      <c r="AE36" t="s">
        <v>250</v>
      </c>
      <c r="AG36" t="s">
        <v>349</v>
      </c>
      <c r="AI36" t="s">
        <v>350</v>
      </c>
      <c r="AN36" s="3">
        <v>1</v>
      </c>
      <c r="AO36" s="3">
        <v>110009</v>
      </c>
      <c r="AP36" s="3">
        <f t="shared" ref="AP36:AP67" si="10">AN36*AO36</f>
        <v>110009</v>
      </c>
      <c r="AQ36" s="3">
        <v>0</v>
      </c>
      <c r="AR36" s="3">
        <f t="shared" si="7"/>
        <v>110009</v>
      </c>
    </row>
    <row r="37" spans="2:44" x14ac:dyDescent="0.3">
      <c r="B37" t="s">
        <v>2743</v>
      </c>
      <c r="C37" t="s">
        <v>174</v>
      </c>
      <c r="D37" t="str">
        <f t="shared" si="4"/>
        <v>May-25</v>
      </c>
      <c r="E37" s="239">
        <v>45791</v>
      </c>
      <c r="F37" s="240" t="s">
        <v>351</v>
      </c>
      <c r="G37" s="240" t="s">
        <v>253</v>
      </c>
      <c r="H37" s="232">
        <v>2450</v>
      </c>
      <c r="I37" s="241">
        <v>31.120999999999999</v>
      </c>
      <c r="J37" s="241">
        <f t="shared" si="0"/>
        <v>76246.45</v>
      </c>
      <c r="K37" s="3">
        <v>0</v>
      </c>
      <c r="L37" s="3">
        <f t="shared" si="1"/>
        <v>76246.45</v>
      </c>
      <c r="M37" s="3"/>
      <c r="N37" t="s">
        <v>454</v>
      </c>
      <c r="O37" s="240" t="s">
        <v>226</v>
      </c>
      <c r="P37" t="s">
        <v>174</v>
      </c>
      <c r="Q37" s="242">
        <v>45820</v>
      </c>
      <c r="R37" t="s">
        <v>456</v>
      </c>
      <c r="S37" t="s">
        <v>219</v>
      </c>
      <c r="T37" s="3">
        <v>10470</v>
      </c>
      <c r="U37" s="233">
        <v>42</v>
      </c>
      <c r="V37" s="3">
        <f t="shared" si="8"/>
        <v>439740</v>
      </c>
      <c r="W37" s="3">
        <v>0</v>
      </c>
      <c r="X37" s="3">
        <f t="shared" si="9"/>
        <v>439740</v>
      </c>
      <c r="Y37" s="1">
        <f>_xlfn.XLOOKUP(R37,'Details PC'!AA:AA,'Details PC'!AI:AI)-X37</f>
        <v>0</v>
      </c>
      <c r="AA37" t="s">
        <v>174</v>
      </c>
      <c r="AB37" t="str">
        <f t="shared" si="6"/>
        <v>May-25</v>
      </c>
      <c r="AC37" s="242">
        <v>45782</v>
      </c>
      <c r="AD37" t="s">
        <v>329</v>
      </c>
      <c r="AE37" t="s">
        <v>330</v>
      </c>
      <c r="AG37" t="s">
        <v>347</v>
      </c>
      <c r="AI37" t="s">
        <v>348</v>
      </c>
      <c r="AN37" s="3">
        <v>1</v>
      </c>
      <c r="AO37" s="3">
        <v>7000</v>
      </c>
      <c r="AP37" s="3">
        <f t="shared" si="10"/>
        <v>7000</v>
      </c>
      <c r="AQ37" s="3">
        <v>0</v>
      </c>
      <c r="AR37" s="3">
        <f t="shared" si="7"/>
        <v>7000</v>
      </c>
    </row>
    <row r="38" spans="2:44" x14ac:dyDescent="0.3">
      <c r="B38" t="s">
        <v>2743</v>
      </c>
      <c r="C38" t="s">
        <v>174</v>
      </c>
      <c r="D38" t="str">
        <f t="shared" si="4"/>
        <v>May-25</v>
      </c>
      <c r="E38" s="239">
        <v>45793</v>
      </c>
      <c r="F38" s="240" t="s">
        <v>354</v>
      </c>
      <c r="G38" s="240" t="s">
        <v>253</v>
      </c>
      <c r="H38" s="232">
        <v>2650</v>
      </c>
      <c r="I38" s="241">
        <v>31.120999999999999</v>
      </c>
      <c r="J38" s="241">
        <f t="shared" si="0"/>
        <v>82470.649999999994</v>
      </c>
      <c r="K38" s="3">
        <v>0</v>
      </c>
      <c r="L38" s="3">
        <f t="shared" si="1"/>
        <v>82470.649999999994</v>
      </c>
      <c r="M38" s="3"/>
      <c r="N38" t="s">
        <v>487</v>
      </c>
      <c r="O38" s="240" t="s">
        <v>226</v>
      </c>
      <c r="P38" t="s">
        <v>174</v>
      </c>
      <c r="Q38" s="242">
        <v>45830</v>
      </c>
      <c r="R38" t="s">
        <v>486</v>
      </c>
      <c r="S38" t="s">
        <v>233</v>
      </c>
      <c r="T38" s="3">
        <v>18950</v>
      </c>
      <c r="U38" s="233">
        <v>36.5</v>
      </c>
      <c r="V38" s="3">
        <f t="shared" si="8"/>
        <v>691675</v>
      </c>
      <c r="W38" s="3">
        <v>-2555</v>
      </c>
      <c r="X38" s="3">
        <f t="shared" si="9"/>
        <v>689120</v>
      </c>
      <c r="Y38" s="1">
        <f>_xlfn.XLOOKUP(R38,'Details PC'!AA:AA,'Details PC'!AI:AI)-X38</f>
        <v>0</v>
      </c>
      <c r="AA38" t="s">
        <v>174</v>
      </c>
      <c r="AB38" t="str">
        <f t="shared" si="6"/>
        <v>May-25</v>
      </c>
      <c r="AC38" s="242">
        <v>45805</v>
      </c>
      <c r="AD38" t="s">
        <v>329</v>
      </c>
      <c r="AE38" t="s">
        <v>330</v>
      </c>
      <c r="AG38" t="s">
        <v>385</v>
      </c>
      <c r="AI38" t="s">
        <v>390</v>
      </c>
      <c r="AN38" s="3">
        <v>1</v>
      </c>
      <c r="AO38" s="3">
        <v>7254</v>
      </c>
      <c r="AP38" s="3">
        <f t="shared" si="10"/>
        <v>7254</v>
      </c>
      <c r="AQ38" s="3">
        <v>0</v>
      </c>
      <c r="AR38" s="3">
        <f t="shared" si="7"/>
        <v>7254</v>
      </c>
    </row>
    <row r="39" spans="2:44" x14ac:dyDescent="0.3">
      <c r="B39" t="s">
        <v>2743</v>
      </c>
      <c r="C39" t="s">
        <v>174</v>
      </c>
      <c r="D39" t="str">
        <f t="shared" si="4"/>
        <v>May-25</v>
      </c>
      <c r="E39" s="239">
        <v>45793</v>
      </c>
      <c r="F39" s="240" t="s">
        <v>355</v>
      </c>
      <c r="G39" s="240" t="s">
        <v>253</v>
      </c>
      <c r="H39" s="232">
        <v>3060</v>
      </c>
      <c r="I39" s="241">
        <v>31.120999999999999</v>
      </c>
      <c r="J39" s="241">
        <f t="shared" si="0"/>
        <v>95230.26</v>
      </c>
      <c r="K39" s="3">
        <v>0</v>
      </c>
      <c r="L39" s="3">
        <f t="shared" si="1"/>
        <v>95230.26</v>
      </c>
      <c r="M39" s="3"/>
      <c r="N39" t="s">
        <v>506</v>
      </c>
      <c r="O39" s="240" t="s">
        <v>226</v>
      </c>
      <c r="P39" t="s">
        <v>174</v>
      </c>
      <c r="Q39" s="242">
        <v>45832</v>
      </c>
      <c r="R39" t="s">
        <v>504</v>
      </c>
      <c r="S39" t="s">
        <v>373</v>
      </c>
      <c r="T39" s="3">
        <v>11940</v>
      </c>
      <c r="U39" s="233">
        <v>35</v>
      </c>
      <c r="V39" s="3">
        <f t="shared" si="8"/>
        <v>417900</v>
      </c>
      <c r="W39" s="3">
        <v>0</v>
      </c>
      <c r="X39" s="3">
        <f t="shared" si="9"/>
        <v>417900</v>
      </c>
      <c r="Y39" s="1">
        <f>_xlfn.XLOOKUP(R39,'Details PC'!AA:AA,'Details PC'!AI:AI)-X39</f>
        <v>0</v>
      </c>
      <c r="AA39" t="s">
        <v>174</v>
      </c>
      <c r="AB39" t="str">
        <f t="shared" si="6"/>
        <v>May-25</v>
      </c>
      <c r="AC39" s="242">
        <v>45805</v>
      </c>
      <c r="AD39" t="s">
        <v>329</v>
      </c>
      <c r="AE39" t="s">
        <v>330</v>
      </c>
      <c r="AG39" t="s">
        <v>385</v>
      </c>
      <c r="AI39" t="s">
        <v>390</v>
      </c>
      <c r="AN39" s="3">
        <v>1</v>
      </c>
      <c r="AO39" s="3">
        <v>7545</v>
      </c>
      <c r="AP39" s="3">
        <f t="shared" si="10"/>
        <v>7545</v>
      </c>
      <c r="AQ39" s="3">
        <v>0</v>
      </c>
      <c r="AR39" s="3">
        <f t="shared" si="7"/>
        <v>7545</v>
      </c>
    </row>
    <row r="40" spans="2:44" x14ac:dyDescent="0.3">
      <c r="B40" t="s">
        <v>2743</v>
      </c>
      <c r="C40" t="s">
        <v>174</v>
      </c>
      <c r="D40" t="str">
        <f t="shared" si="4"/>
        <v>May-25</v>
      </c>
      <c r="E40" s="239">
        <v>45794</v>
      </c>
      <c r="F40" s="240" t="s">
        <v>356</v>
      </c>
      <c r="G40" s="240" t="s">
        <v>270</v>
      </c>
      <c r="H40" s="232">
        <v>5060</v>
      </c>
      <c r="I40" s="241">
        <v>30.151</v>
      </c>
      <c r="J40" s="241">
        <f t="shared" si="0"/>
        <v>152564.06</v>
      </c>
      <c r="K40" s="3">
        <v>0</v>
      </c>
      <c r="L40" s="3">
        <f t="shared" si="1"/>
        <v>152564.06</v>
      </c>
      <c r="M40" s="3"/>
      <c r="N40" t="s">
        <v>507</v>
      </c>
      <c r="O40" s="240" t="s">
        <v>226</v>
      </c>
      <c r="P40" t="s">
        <v>174</v>
      </c>
      <c r="Q40" s="242">
        <v>45832</v>
      </c>
      <c r="R40" t="s">
        <v>505</v>
      </c>
      <c r="S40" t="s">
        <v>373</v>
      </c>
      <c r="T40" s="3">
        <v>11640</v>
      </c>
      <c r="U40" s="233">
        <v>35</v>
      </c>
      <c r="V40" s="3">
        <f t="shared" si="8"/>
        <v>407400</v>
      </c>
      <c r="W40" s="3">
        <v>-2910</v>
      </c>
      <c r="X40" s="3">
        <f t="shared" si="9"/>
        <v>404490</v>
      </c>
      <c r="Y40" s="1">
        <f>_xlfn.XLOOKUP(R40,'Details PC'!AA:AA,'Details PC'!AI:AI)-X40</f>
        <v>0</v>
      </c>
      <c r="AA40" t="s">
        <v>174</v>
      </c>
      <c r="AB40" t="str">
        <f t="shared" si="6"/>
        <v>May-25</v>
      </c>
      <c r="AC40" s="242">
        <v>45805</v>
      </c>
      <c r="AD40" t="s">
        <v>329</v>
      </c>
      <c r="AE40" t="s">
        <v>330</v>
      </c>
      <c r="AG40" t="s">
        <v>386</v>
      </c>
      <c r="AI40" t="s">
        <v>391</v>
      </c>
      <c r="AN40" s="3">
        <v>1</v>
      </c>
      <c r="AO40" s="3">
        <v>88697</v>
      </c>
      <c r="AP40" s="3">
        <f t="shared" si="10"/>
        <v>88697</v>
      </c>
      <c r="AQ40" s="3">
        <v>0</v>
      </c>
      <c r="AR40" s="3">
        <f t="shared" si="7"/>
        <v>88697</v>
      </c>
    </row>
    <row r="41" spans="2:44" x14ac:dyDescent="0.3">
      <c r="B41" t="s">
        <v>2743</v>
      </c>
      <c r="C41" t="s">
        <v>174</v>
      </c>
      <c r="D41" t="str">
        <f t="shared" si="4"/>
        <v>May-25</v>
      </c>
      <c r="E41" s="242">
        <v>45796</v>
      </c>
      <c r="F41" t="s">
        <v>358</v>
      </c>
      <c r="G41" t="s">
        <v>253</v>
      </c>
      <c r="H41" s="3">
        <v>2260</v>
      </c>
      <c r="I41" s="233">
        <v>31.120999999999999</v>
      </c>
      <c r="J41" s="241">
        <f t="shared" si="0"/>
        <v>70333.459999999992</v>
      </c>
      <c r="K41" s="3">
        <v>0</v>
      </c>
      <c r="L41" s="3">
        <f t="shared" si="1"/>
        <v>70333.459999999992</v>
      </c>
      <c r="M41" s="3"/>
      <c r="N41" t="s">
        <v>961</v>
      </c>
      <c r="O41" s="240" t="s">
        <v>226</v>
      </c>
      <c r="P41" t="s">
        <v>174</v>
      </c>
      <c r="Q41" s="242">
        <v>45833</v>
      </c>
      <c r="R41" t="s">
        <v>964</v>
      </c>
      <c r="S41" t="s">
        <v>220</v>
      </c>
      <c r="T41" s="3">
        <v>22110</v>
      </c>
      <c r="U41" s="233">
        <v>40.5</v>
      </c>
      <c r="V41" s="3">
        <f t="shared" si="8"/>
        <v>895455</v>
      </c>
      <c r="W41" s="3">
        <v>0</v>
      </c>
      <c r="X41" s="3">
        <f t="shared" si="9"/>
        <v>895455</v>
      </c>
      <c r="Y41" s="1">
        <f>_xlfn.XLOOKUP(R41,'Details PC'!AA:AA,'Details PC'!AI:AI)-X41</f>
        <v>0</v>
      </c>
      <c r="AA41" t="s">
        <v>174</v>
      </c>
      <c r="AB41" t="str">
        <f t="shared" si="6"/>
        <v>May-25</v>
      </c>
      <c r="AC41" s="242">
        <v>45805</v>
      </c>
      <c r="AD41" t="s">
        <v>329</v>
      </c>
      <c r="AE41" t="s">
        <v>330</v>
      </c>
      <c r="AG41" t="s">
        <v>387</v>
      </c>
      <c r="AI41" t="s">
        <v>392</v>
      </c>
      <c r="AN41" s="3">
        <v>1</v>
      </c>
      <c r="AO41" s="3">
        <v>44145</v>
      </c>
      <c r="AP41" s="3">
        <f t="shared" si="10"/>
        <v>44145</v>
      </c>
      <c r="AQ41" s="3">
        <v>0</v>
      </c>
      <c r="AR41" s="3">
        <f t="shared" si="7"/>
        <v>44145</v>
      </c>
    </row>
    <row r="42" spans="2:44" x14ac:dyDescent="0.3">
      <c r="B42" t="s">
        <v>2743</v>
      </c>
      <c r="C42" t="s">
        <v>174</v>
      </c>
      <c r="D42" t="str">
        <f t="shared" si="4"/>
        <v>May-25</v>
      </c>
      <c r="E42" s="242">
        <v>45799</v>
      </c>
      <c r="F42" t="s">
        <v>362</v>
      </c>
      <c r="G42" t="s">
        <v>253</v>
      </c>
      <c r="H42" s="3">
        <v>3610</v>
      </c>
      <c r="I42" s="233">
        <v>31.120999999999999</v>
      </c>
      <c r="J42" s="241">
        <f t="shared" si="0"/>
        <v>112346.81</v>
      </c>
      <c r="K42" s="3">
        <v>0</v>
      </c>
      <c r="L42" s="3">
        <f t="shared" si="1"/>
        <v>112346.81</v>
      </c>
      <c r="M42" s="3"/>
      <c r="N42" t="s">
        <v>962</v>
      </c>
      <c r="O42" s="240" t="s">
        <v>226</v>
      </c>
      <c r="P42" t="s">
        <v>174</v>
      </c>
      <c r="Q42" s="242">
        <v>45837</v>
      </c>
      <c r="R42" t="s">
        <v>965</v>
      </c>
      <c r="S42" t="s">
        <v>219</v>
      </c>
      <c r="T42" s="3">
        <v>20420</v>
      </c>
      <c r="U42" s="233">
        <v>42</v>
      </c>
      <c r="V42" s="3">
        <f t="shared" si="8"/>
        <v>857640</v>
      </c>
      <c r="W42" s="3">
        <v>0</v>
      </c>
      <c r="X42" s="3">
        <f t="shared" si="9"/>
        <v>857640</v>
      </c>
      <c r="Y42" s="1">
        <f>_xlfn.XLOOKUP(R42,'Details PC'!AA:AA,'Details PC'!AI:AI)-X42</f>
        <v>0</v>
      </c>
      <c r="AA42" t="s">
        <v>174</v>
      </c>
      <c r="AB42" t="str">
        <f t="shared" si="6"/>
        <v>May-25</v>
      </c>
      <c r="AC42" s="242">
        <v>45805</v>
      </c>
      <c r="AD42" t="s">
        <v>329</v>
      </c>
      <c r="AE42" t="s">
        <v>330</v>
      </c>
      <c r="AG42" t="s">
        <v>388</v>
      </c>
      <c r="AI42" t="s">
        <v>393</v>
      </c>
      <c r="AN42" s="3">
        <v>1</v>
      </c>
      <c r="AO42" s="3">
        <v>67100</v>
      </c>
      <c r="AP42" s="3">
        <f t="shared" si="10"/>
        <v>67100</v>
      </c>
      <c r="AQ42" s="3">
        <v>0</v>
      </c>
      <c r="AR42" s="3">
        <f t="shared" si="7"/>
        <v>67100</v>
      </c>
    </row>
    <row r="43" spans="2:44" x14ac:dyDescent="0.3">
      <c r="B43" t="s">
        <v>2743</v>
      </c>
      <c r="C43" t="s">
        <v>174</v>
      </c>
      <c r="D43" t="str">
        <f t="shared" si="4"/>
        <v>May-25</v>
      </c>
      <c r="E43" s="242">
        <v>45800</v>
      </c>
      <c r="F43" t="s">
        <v>363</v>
      </c>
      <c r="G43" t="s">
        <v>253</v>
      </c>
      <c r="H43" s="3">
        <v>2520</v>
      </c>
      <c r="I43" s="233">
        <v>31.120999999999999</v>
      </c>
      <c r="J43" s="241">
        <f t="shared" si="0"/>
        <v>78424.92</v>
      </c>
      <c r="K43" s="3">
        <v>0</v>
      </c>
      <c r="L43" s="3">
        <f t="shared" si="1"/>
        <v>78424.92</v>
      </c>
      <c r="M43" s="3"/>
      <c r="N43" t="s">
        <v>963</v>
      </c>
      <c r="O43" s="240" t="s">
        <v>226</v>
      </c>
      <c r="P43" t="s">
        <v>174</v>
      </c>
      <c r="Q43" s="242">
        <v>45837</v>
      </c>
      <c r="R43" t="s">
        <v>966</v>
      </c>
      <c r="S43" t="s">
        <v>373</v>
      </c>
      <c r="T43" s="3">
        <v>22680</v>
      </c>
      <c r="U43" s="233">
        <v>38</v>
      </c>
      <c r="V43" s="3">
        <f t="shared" si="8"/>
        <v>861840</v>
      </c>
      <c r="W43" s="3">
        <v>-45360</v>
      </c>
      <c r="X43" s="3">
        <f t="shared" si="9"/>
        <v>816480</v>
      </c>
      <c r="Y43" s="1">
        <f>_xlfn.XLOOKUP(R43,'Details PC'!AA:AA,'Details PC'!AI:AI)-X43</f>
        <v>0</v>
      </c>
      <c r="AA43" t="s">
        <v>174</v>
      </c>
      <c r="AB43" t="str">
        <f t="shared" si="6"/>
        <v>May-25</v>
      </c>
      <c r="AC43" s="242">
        <v>45805</v>
      </c>
      <c r="AD43" t="s">
        <v>329</v>
      </c>
      <c r="AE43" t="s">
        <v>330</v>
      </c>
      <c r="AG43" t="s">
        <v>389</v>
      </c>
      <c r="AI43" t="s">
        <v>394</v>
      </c>
      <c r="AN43" s="3">
        <v>1</v>
      </c>
      <c r="AO43" s="3">
        <v>6520</v>
      </c>
      <c r="AP43" s="3">
        <f t="shared" si="10"/>
        <v>6520</v>
      </c>
      <c r="AQ43" s="3">
        <v>0</v>
      </c>
      <c r="AR43" s="3">
        <f t="shared" si="7"/>
        <v>6520</v>
      </c>
    </row>
    <row r="44" spans="2:44" x14ac:dyDescent="0.3">
      <c r="B44" t="s">
        <v>2743</v>
      </c>
      <c r="C44" t="s">
        <v>174</v>
      </c>
      <c r="D44" t="str">
        <f t="shared" si="4"/>
        <v>May-25</v>
      </c>
      <c r="E44" s="242">
        <v>45800</v>
      </c>
      <c r="F44" t="s">
        <v>364</v>
      </c>
      <c r="G44" t="s">
        <v>253</v>
      </c>
      <c r="H44" s="3">
        <v>3410</v>
      </c>
      <c r="I44" s="233">
        <v>31.120999999999999</v>
      </c>
      <c r="J44" s="241">
        <f t="shared" si="0"/>
        <v>106122.61</v>
      </c>
      <c r="K44" s="3">
        <v>0</v>
      </c>
      <c r="L44" s="3">
        <f t="shared" si="1"/>
        <v>106122.61</v>
      </c>
      <c r="M44" s="3"/>
      <c r="N44" t="s">
        <v>1362</v>
      </c>
      <c r="O44" s="240" t="s">
        <v>226</v>
      </c>
      <c r="P44" t="s">
        <v>174</v>
      </c>
      <c r="Q44" s="242">
        <v>45838</v>
      </c>
      <c r="R44" t="s">
        <v>1360</v>
      </c>
      <c r="S44" t="s">
        <v>219</v>
      </c>
      <c r="T44" s="3">
        <v>10980</v>
      </c>
      <c r="U44" s="233">
        <v>42</v>
      </c>
      <c r="V44" s="3">
        <f t="shared" si="8"/>
        <v>461160</v>
      </c>
      <c r="W44" s="3">
        <v>0</v>
      </c>
      <c r="X44" s="3">
        <f t="shared" si="9"/>
        <v>461160</v>
      </c>
      <c r="Y44" s="1">
        <f>_xlfn.XLOOKUP(R44,'Details PC'!AA:AA,'Details PC'!AI:AI)-X44</f>
        <v>0</v>
      </c>
      <c r="AA44" t="s">
        <v>174</v>
      </c>
      <c r="AB44" t="str">
        <f t="shared" si="6"/>
        <v>Jun-25</v>
      </c>
      <c r="AC44" s="242">
        <v>45826</v>
      </c>
      <c r="AE44" t="s">
        <v>250</v>
      </c>
      <c r="AG44" t="s">
        <v>477</v>
      </c>
      <c r="AI44" t="s">
        <v>478</v>
      </c>
      <c r="AN44" s="3">
        <v>1</v>
      </c>
      <c r="AO44" s="3">
        <v>64500</v>
      </c>
      <c r="AP44" s="3">
        <f t="shared" si="10"/>
        <v>64500</v>
      </c>
      <c r="AQ44" s="3">
        <v>0</v>
      </c>
      <c r="AR44" s="3">
        <f t="shared" si="7"/>
        <v>64500</v>
      </c>
    </row>
    <row r="45" spans="2:44" x14ac:dyDescent="0.3">
      <c r="B45" t="s">
        <v>2743</v>
      </c>
      <c r="C45" t="s">
        <v>174</v>
      </c>
      <c r="D45" t="str">
        <f t="shared" si="4"/>
        <v>May-25</v>
      </c>
      <c r="E45" s="242">
        <v>45803</v>
      </c>
      <c r="F45" t="s">
        <v>374</v>
      </c>
      <c r="G45" t="s">
        <v>253</v>
      </c>
      <c r="H45" s="3">
        <v>3290</v>
      </c>
      <c r="I45" s="233">
        <v>31.120999999999999</v>
      </c>
      <c r="J45" s="241">
        <f t="shared" si="0"/>
        <v>102388.09</v>
      </c>
      <c r="K45" s="3">
        <v>0</v>
      </c>
      <c r="L45" s="3">
        <f t="shared" si="1"/>
        <v>102388.09</v>
      </c>
      <c r="M45" s="3"/>
      <c r="N45" t="s">
        <v>1376</v>
      </c>
      <c r="O45" s="240" t="s">
        <v>226</v>
      </c>
      <c r="P45" t="s">
        <v>174</v>
      </c>
      <c r="Q45" s="242">
        <v>45839</v>
      </c>
      <c r="R45" t="s">
        <v>1378</v>
      </c>
      <c r="S45" t="s">
        <v>250</v>
      </c>
      <c r="T45" s="3">
        <v>13060</v>
      </c>
      <c r="U45" s="233">
        <v>33</v>
      </c>
      <c r="V45" s="3">
        <f t="shared" si="8"/>
        <v>430980</v>
      </c>
      <c r="W45" s="3">
        <v>0</v>
      </c>
      <c r="X45" s="3">
        <f t="shared" si="9"/>
        <v>430980</v>
      </c>
      <c r="Y45" s="1">
        <f>_xlfn.XLOOKUP(R45,'Details PC'!AA:AA,'Details PC'!AI:AI)-X45</f>
        <v>0</v>
      </c>
      <c r="AA45" t="s">
        <v>174</v>
      </c>
      <c r="AB45" t="str">
        <f t="shared" si="6"/>
        <v>Jun-25</v>
      </c>
      <c r="AC45" s="242">
        <v>45828</v>
      </c>
      <c r="AD45" t="s">
        <v>329</v>
      </c>
      <c r="AE45" t="s">
        <v>330</v>
      </c>
      <c r="AG45" t="s">
        <v>488</v>
      </c>
      <c r="AI45" t="s">
        <v>489</v>
      </c>
      <c r="AN45" s="3">
        <v>58.5</v>
      </c>
      <c r="AO45" s="3">
        <v>1100</v>
      </c>
      <c r="AP45" s="3">
        <f t="shared" si="10"/>
        <v>64350</v>
      </c>
      <c r="AQ45" s="3">
        <v>0</v>
      </c>
      <c r="AR45" s="3">
        <f t="shared" si="7"/>
        <v>64350</v>
      </c>
    </row>
    <row r="46" spans="2:44" x14ac:dyDescent="0.3">
      <c r="B46" t="s">
        <v>1365</v>
      </c>
      <c r="C46" t="s">
        <v>174</v>
      </c>
      <c r="D46" t="str">
        <f t="shared" si="4"/>
        <v>May-25</v>
      </c>
      <c r="E46" s="242">
        <v>45804</v>
      </c>
      <c r="F46" t="s">
        <v>329</v>
      </c>
      <c r="G46" t="s">
        <v>395</v>
      </c>
      <c r="H46" s="3">
        <v>1</v>
      </c>
      <c r="I46" s="233">
        <v>100000</v>
      </c>
      <c r="J46" s="241">
        <f t="shared" si="0"/>
        <v>100000</v>
      </c>
      <c r="K46" s="3">
        <v>0</v>
      </c>
      <c r="L46" s="3">
        <f t="shared" si="1"/>
        <v>100000</v>
      </c>
      <c r="M46" s="3"/>
      <c r="N46" t="s">
        <v>1377</v>
      </c>
      <c r="O46" s="240" t="s">
        <v>226</v>
      </c>
      <c r="P46" t="s">
        <v>174</v>
      </c>
      <c r="Q46" s="242">
        <v>45840</v>
      </c>
      <c r="R46" t="s">
        <v>1379</v>
      </c>
      <c r="S46" t="s">
        <v>233</v>
      </c>
      <c r="T46" s="3">
        <v>15540</v>
      </c>
      <c r="U46" s="233">
        <v>36.5</v>
      </c>
      <c r="V46" s="3">
        <f t="shared" si="8"/>
        <v>567210</v>
      </c>
      <c r="W46" s="3">
        <v>-2372.5</v>
      </c>
      <c r="X46" s="3">
        <f t="shared" si="9"/>
        <v>564837.5</v>
      </c>
      <c r="Y46" s="1">
        <f>_xlfn.XLOOKUP(R46,'Details PC'!AA:AA,'Details PC'!AI:AI)-X46</f>
        <v>0</v>
      </c>
      <c r="AA46" t="s">
        <v>174</v>
      </c>
      <c r="AB46" t="str">
        <f t="shared" si="6"/>
        <v>Jun-25</v>
      </c>
      <c r="AC46" s="242">
        <v>45828</v>
      </c>
      <c r="AD46" t="s">
        <v>329</v>
      </c>
      <c r="AE46" t="s">
        <v>330</v>
      </c>
      <c r="AG46" t="s">
        <v>498</v>
      </c>
      <c r="AI46" t="s">
        <v>499</v>
      </c>
      <c r="AN46" s="3">
        <v>1</v>
      </c>
      <c r="AO46" s="3">
        <v>9000</v>
      </c>
      <c r="AP46" s="3">
        <f t="shared" si="10"/>
        <v>9000</v>
      </c>
      <c r="AQ46" s="3">
        <v>0</v>
      </c>
      <c r="AR46" s="3">
        <f t="shared" si="7"/>
        <v>9000</v>
      </c>
    </row>
    <row r="47" spans="2:44" x14ac:dyDescent="0.3">
      <c r="B47" t="s">
        <v>2743</v>
      </c>
      <c r="C47" t="s">
        <v>174</v>
      </c>
      <c r="D47" t="str">
        <f t="shared" si="4"/>
        <v>May-25</v>
      </c>
      <c r="E47" s="242">
        <v>45806</v>
      </c>
      <c r="F47" t="s">
        <v>376</v>
      </c>
      <c r="G47" t="s">
        <v>253</v>
      </c>
      <c r="H47" s="3">
        <v>2600</v>
      </c>
      <c r="I47" s="233">
        <v>31.120999999999999</v>
      </c>
      <c r="J47" s="241">
        <f t="shared" si="0"/>
        <v>80914.599999999991</v>
      </c>
      <c r="K47" s="3">
        <v>0</v>
      </c>
      <c r="L47" s="3">
        <f t="shared" si="1"/>
        <v>80914.599999999991</v>
      </c>
      <c r="M47" s="3"/>
      <c r="N47" t="s">
        <v>1402</v>
      </c>
      <c r="O47" s="240" t="s">
        <v>226</v>
      </c>
      <c r="P47" t="s">
        <v>174</v>
      </c>
      <c r="Q47" s="242">
        <v>45844</v>
      </c>
      <c r="R47" t="s">
        <v>1405</v>
      </c>
      <c r="S47" t="s">
        <v>249</v>
      </c>
      <c r="T47" s="3">
        <v>17580</v>
      </c>
      <c r="U47" s="233">
        <v>37.5</v>
      </c>
      <c r="V47" s="3">
        <f t="shared" si="8"/>
        <v>659250</v>
      </c>
      <c r="W47" s="3">
        <v>-2250</v>
      </c>
      <c r="X47" s="3">
        <f t="shared" si="9"/>
        <v>657000</v>
      </c>
      <c r="Y47" s="1">
        <f>_xlfn.XLOOKUP(R47,'Details PC'!AA:AA,'Details PC'!AI:AI)-X47</f>
        <v>0</v>
      </c>
      <c r="AA47" t="s">
        <v>174</v>
      </c>
      <c r="AB47" t="str">
        <f t="shared" si="6"/>
        <v>Jun-25</v>
      </c>
      <c r="AC47" s="242">
        <v>45828</v>
      </c>
      <c r="AD47" t="s">
        <v>329</v>
      </c>
      <c r="AE47" t="s">
        <v>330</v>
      </c>
      <c r="AG47" t="s">
        <v>492</v>
      </c>
      <c r="AI47" t="s">
        <v>493</v>
      </c>
      <c r="AN47" s="3">
        <v>1</v>
      </c>
      <c r="AO47" s="3">
        <v>8300</v>
      </c>
      <c r="AP47" s="3">
        <f t="shared" si="10"/>
        <v>8300</v>
      </c>
      <c r="AQ47" s="3">
        <v>0</v>
      </c>
      <c r="AR47" s="3">
        <f t="shared" si="7"/>
        <v>8300</v>
      </c>
    </row>
    <row r="48" spans="2:44" x14ac:dyDescent="0.3">
      <c r="B48" t="s">
        <v>2743</v>
      </c>
      <c r="C48" t="s">
        <v>174</v>
      </c>
      <c r="D48" t="str">
        <f t="shared" si="4"/>
        <v>May-25</v>
      </c>
      <c r="E48" s="242">
        <v>45806</v>
      </c>
      <c r="F48" t="s">
        <v>375</v>
      </c>
      <c r="G48" t="s">
        <v>253</v>
      </c>
      <c r="H48" s="3">
        <v>2800</v>
      </c>
      <c r="I48" s="233">
        <v>31.120999999999999</v>
      </c>
      <c r="J48" s="241">
        <f t="shared" si="0"/>
        <v>87138.8</v>
      </c>
      <c r="K48" s="3">
        <v>0</v>
      </c>
      <c r="L48" s="3">
        <f t="shared" si="1"/>
        <v>87138.8</v>
      </c>
      <c r="M48" s="3"/>
      <c r="N48" t="s">
        <v>1403</v>
      </c>
      <c r="O48" s="240" t="s">
        <v>226</v>
      </c>
      <c r="P48" t="s">
        <v>174</v>
      </c>
      <c r="Q48" s="242">
        <v>45844</v>
      </c>
      <c r="R48" t="s">
        <v>1406</v>
      </c>
      <c r="S48" t="s">
        <v>373</v>
      </c>
      <c r="T48" s="3">
        <v>12950</v>
      </c>
      <c r="U48" s="233">
        <v>35.700000000000003</v>
      </c>
      <c r="V48" s="3">
        <f t="shared" si="8"/>
        <v>462315.00000000006</v>
      </c>
      <c r="W48" s="3">
        <v>-2590</v>
      </c>
      <c r="X48" s="3">
        <f t="shared" si="9"/>
        <v>459725.00000000006</v>
      </c>
      <c r="Y48" s="1">
        <f>_xlfn.XLOOKUP(R48,'Details PC'!AA:AA,'Details PC'!AI:AI)-X48</f>
        <v>0</v>
      </c>
      <c r="AA48" t="s">
        <v>174</v>
      </c>
      <c r="AB48" t="str">
        <f t="shared" si="6"/>
        <v>Jun-25</v>
      </c>
      <c r="AC48" s="242">
        <v>45828</v>
      </c>
      <c r="AD48" t="s">
        <v>329</v>
      </c>
      <c r="AE48" t="s">
        <v>330</v>
      </c>
      <c r="AG48" t="s">
        <v>490</v>
      </c>
      <c r="AI48" t="s">
        <v>491</v>
      </c>
      <c r="AN48" s="3">
        <v>16</v>
      </c>
      <c r="AO48" s="3">
        <v>1100</v>
      </c>
      <c r="AP48" s="3">
        <f t="shared" si="10"/>
        <v>17600</v>
      </c>
      <c r="AQ48" s="3">
        <v>0</v>
      </c>
      <c r="AR48" s="3">
        <f t="shared" si="7"/>
        <v>17600</v>
      </c>
    </row>
    <row r="49" spans="2:44" x14ac:dyDescent="0.3">
      <c r="B49" t="s">
        <v>2743</v>
      </c>
      <c r="C49" t="s">
        <v>174</v>
      </c>
      <c r="D49" t="str">
        <f t="shared" si="4"/>
        <v>May-25</v>
      </c>
      <c r="E49" s="242">
        <v>45807</v>
      </c>
      <c r="F49" t="s">
        <v>377</v>
      </c>
      <c r="G49" t="s">
        <v>270</v>
      </c>
      <c r="H49" s="3">
        <v>4240</v>
      </c>
      <c r="I49" s="233">
        <v>30.151</v>
      </c>
      <c r="J49" s="241">
        <f t="shared" si="0"/>
        <v>127840.24</v>
      </c>
      <c r="K49" s="3">
        <v>0</v>
      </c>
      <c r="L49" s="3">
        <f t="shared" si="1"/>
        <v>127840.24</v>
      </c>
      <c r="M49" s="3"/>
      <c r="N49" t="s">
        <v>1404</v>
      </c>
      <c r="O49" s="240" t="s">
        <v>226</v>
      </c>
      <c r="P49" t="s">
        <v>174</v>
      </c>
      <c r="Q49" s="242">
        <v>45844</v>
      </c>
      <c r="R49" t="s">
        <v>1407</v>
      </c>
      <c r="S49" t="s">
        <v>373</v>
      </c>
      <c r="T49" s="3">
        <v>12980</v>
      </c>
      <c r="U49" s="233">
        <v>35.700000000000003</v>
      </c>
      <c r="V49" s="3">
        <f t="shared" si="8"/>
        <v>463386.00000000006</v>
      </c>
      <c r="W49" s="3">
        <v>-2596</v>
      </c>
      <c r="X49" s="3">
        <f t="shared" si="9"/>
        <v>460790.00000000006</v>
      </c>
      <c r="Y49" s="1">
        <f>_xlfn.XLOOKUP(R49,'Details PC'!AA:AA,'Details PC'!AI:AI)-X49</f>
        <v>0</v>
      </c>
      <c r="AA49" t="s">
        <v>174</v>
      </c>
      <c r="AB49" t="str">
        <f t="shared" si="6"/>
        <v>Jun-25</v>
      </c>
      <c r="AC49" s="242">
        <v>45828</v>
      </c>
      <c r="AD49" t="s">
        <v>329</v>
      </c>
      <c r="AE49" t="s">
        <v>330</v>
      </c>
      <c r="AG49" t="s">
        <v>494</v>
      </c>
      <c r="AI49" t="s">
        <v>495</v>
      </c>
      <c r="AN49" s="3">
        <v>1</v>
      </c>
      <c r="AO49" s="3">
        <v>104249</v>
      </c>
      <c r="AP49" s="3">
        <f t="shared" si="10"/>
        <v>104249</v>
      </c>
      <c r="AQ49" s="3">
        <v>0</v>
      </c>
      <c r="AR49" s="3">
        <f t="shared" si="7"/>
        <v>104249</v>
      </c>
    </row>
    <row r="50" spans="2:44" x14ac:dyDescent="0.3">
      <c r="B50" t="s">
        <v>2743</v>
      </c>
      <c r="C50" t="s">
        <v>174</v>
      </c>
      <c r="D50" t="str">
        <f t="shared" si="4"/>
        <v>May-25</v>
      </c>
      <c r="E50" s="242">
        <v>45807</v>
      </c>
      <c r="F50" t="s">
        <v>378</v>
      </c>
      <c r="G50" t="s">
        <v>270</v>
      </c>
      <c r="H50" s="3">
        <v>3320</v>
      </c>
      <c r="I50" s="233">
        <v>30.151</v>
      </c>
      <c r="J50" s="241">
        <f t="shared" si="0"/>
        <v>100101.31999999999</v>
      </c>
      <c r="K50" s="3">
        <v>0</v>
      </c>
      <c r="L50" s="3">
        <f t="shared" si="1"/>
        <v>100101.31999999999</v>
      </c>
      <c r="M50" s="3"/>
      <c r="N50" t="s">
        <v>1431</v>
      </c>
      <c r="O50" s="240" t="s">
        <v>226</v>
      </c>
      <c r="P50" t="s">
        <v>174</v>
      </c>
      <c r="Q50" s="242">
        <v>45847</v>
      </c>
      <c r="R50" t="s">
        <v>1432</v>
      </c>
      <c r="S50" t="s">
        <v>249</v>
      </c>
      <c r="T50" s="3">
        <v>17960</v>
      </c>
      <c r="U50" s="233">
        <v>37.5</v>
      </c>
      <c r="V50" s="3">
        <f t="shared" si="8"/>
        <v>673500</v>
      </c>
      <c r="W50" s="3">
        <v>-1500</v>
      </c>
      <c r="X50" s="3">
        <f t="shared" si="9"/>
        <v>672000</v>
      </c>
      <c r="Y50" s="1">
        <f>_xlfn.XLOOKUP(R50,'Details PC'!AA:AA,'Details PC'!AI:AI)-X50</f>
        <v>0</v>
      </c>
      <c r="AA50" t="s">
        <v>174</v>
      </c>
      <c r="AB50" t="str">
        <f t="shared" si="6"/>
        <v>Jun-25</v>
      </c>
      <c r="AC50" s="242">
        <v>45828</v>
      </c>
      <c r="AD50" t="s">
        <v>329</v>
      </c>
      <c r="AE50" t="s">
        <v>330</v>
      </c>
      <c r="AG50" t="s">
        <v>496</v>
      </c>
      <c r="AI50" t="s">
        <v>497</v>
      </c>
      <c r="AN50" s="3">
        <v>1</v>
      </c>
      <c r="AO50" s="3">
        <v>30072</v>
      </c>
      <c r="AP50" s="3">
        <f t="shared" si="10"/>
        <v>30072</v>
      </c>
      <c r="AQ50" s="3">
        <v>0</v>
      </c>
      <c r="AR50" s="3">
        <f t="shared" si="7"/>
        <v>30072</v>
      </c>
    </row>
    <row r="51" spans="2:44" x14ac:dyDescent="0.3">
      <c r="B51" t="s">
        <v>2743</v>
      </c>
      <c r="C51" t="s">
        <v>174</v>
      </c>
      <c r="D51" t="str">
        <f t="shared" si="4"/>
        <v>Jun-25</v>
      </c>
      <c r="E51" s="242">
        <v>45811</v>
      </c>
      <c r="F51" t="s">
        <v>405</v>
      </c>
      <c r="G51" t="s">
        <v>406</v>
      </c>
      <c r="H51" s="3">
        <v>7535</v>
      </c>
      <c r="I51" s="233">
        <v>34.200000000000003</v>
      </c>
      <c r="J51" s="241">
        <f t="shared" si="0"/>
        <v>257697.00000000003</v>
      </c>
      <c r="K51" s="3">
        <v>0</v>
      </c>
      <c r="L51" s="3">
        <f t="shared" si="1"/>
        <v>257697.00000000003</v>
      </c>
      <c r="M51" s="3"/>
      <c r="N51" t="s">
        <v>1447</v>
      </c>
      <c r="O51" s="240" t="s">
        <v>226</v>
      </c>
      <c r="P51" t="s">
        <v>174</v>
      </c>
      <c r="Q51" s="242">
        <v>45851</v>
      </c>
      <c r="R51" t="s">
        <v>1437</v>
      </c>
      <c r="S51" t="s">
        <v>249</v>
      </c>
      <c r="T51" s="3">
        <v>26060</v>
      </c>
      <c r="U51" s="233">
        <v>37.5</v>
      </c>
      <c r="V51" s="3">
        <f t="shared" si="8"/>
        <v>977250</v>
      </c>
      <c r="W51" s="3">
        <v>-3375</v>
      </c>
      <c r="X51" s="3">
        <f t="shared" si="9"/>
        <v>973875</v>
      </c>
      <c r="Y51" s="1">
        <f>_xlfn.XLOOKUP(R51,'Details PC'!AA:AA,'Details PC'!AI:AI)-X51</f>
        <v>0</v>
      </c>
      <c r="AA51" t="s">
        <v>174</v>
      </c>
      <c r="AB51" t="str">
        <f t="shared" si="6"/>
        <v>Jul-25</v>
      </c>
      <c r="AC51" s="242">
        <v>45840</v>
      </c>
      <c r="AE51" t="s">
        <v>330</v>
      </c>
      <c r="AG51" t="s">
        <v>1380</v>
      </c>
      <c r="AI51" t="s">
        <v>1382</v>
      </c>
      <c r="AN51" s="3">
        <v>26</v>
      </c>
      <c r="AO51" s="3">
        <v>6000</v>
      </c>
      <c r="AP51" s="3">
        <f t="shared" si="10"/>
        <v>156000</v>
      </c>
      <c r="AQ51" s="3">
        <v>0</v>
      </c>
      <c r="AR51" s="3">
        <f t="shared" si="7"/>
        <v>156000</v>
      </c>
    </row>
    <row r="52" spans="2:44" x14ac:dyDescent="0.3">
      <c r="B52" t="s">
        <v>2743</v>
      </c>
      <c r="C52" t="s">
        <v>174</v>
      </c>
      <c r="D52" t="str">
        <f t="shared" si="4"/>
        <v>Jun-25</v>
      </c>
      <c r="E52" s="242">
        <v>45811</v>
      </c>
      <c r="F52" t="s">
        <v>407</v>
      </c>
      <c r="G52" t="s">
        <v>406</v>
      </c>
      <c r="H52" s="3">
        <v>7810</v>
      </c>
      <c r="I52" s="233">
        <v>34.200000000000003</v>
      </c>
      <c r="J52" s="241">
        <f t="shared" si="0"/>
        <v>267102</v>
      </c>
      <c r="K52" s="3">
        <v>0</v>
      </c>
      <c r="L52" s="3">
        <f t="shared" si="1"/>
        <v>267102</v>
      </c>
      <c r="M52" s="3"/>
      <c r="N52" t="s">
        <v>1466</v>
      </c>
      <c r="O52" s="240" t="s">
        <v>226</v>
      </c>
      <c r="P52" t="s">
        <v>174</v>
      </c>
      <c r="Q52" s="242">
        <v>45859</v>
      </c>
      <c r="R52" t="s">
        <v>1460</v>
      </c>
      <c r="S52" t="s">
        <v>249</v>
      </c>
      <c r="T52" s="3">
        <v>25480</v>
      </c>
      <c r="U52" s="233">
        <v>37.5</v>
      </c>
      <c r="V52" s="3">
        <f t="shared" si="8"/>
        <v>955500</v>
      </c>
      <c r="W52" s="3">
        <v>-750</v>
      </c>
      <c r="X52" s="3">
        <f t="shared" si="9"/>
        <v>954750</v>
      </c>
      <c r="Y52" s="1">
        <f>_xlfn.XLOOKUP(R52,'Details PC'!AA:AA,'Details PC'!AI:AI)-X52</f>
        <v>0</v>
      </c>
      <c r="AA52" t="s">
        <v>174</v>
      </c>
      <c r="AB52" t="str">
        <f t="shared" si="6"/>
        <v>Jul-25</v>
      </c>
      <c r="AC52" s="242">
        <v>45840</v>
      </c>
      <c r="AE52" t="s">
        <v>330</v>
      </c>
      <c r="AG52" t="s">
        <v>1380</v>
      </c>
      <c r="AI52" t="s">
        <v>1382</v>
      </c>
      <c r="AN52" s="3">
        <v>7</v>
      </c>
      <c r="AO52" s="3">
        <v>1000</v>
      </c>
      <c r="AP52" s="3">
        <f t="shared" si="10"/>
        <v>7000</v>
      </c>
      <c r="AQ52" s="3">
        <v>0</v>
      </c>
      <c r="AR52" s="3">
        <f t="shared" si="7"/>
        <v>7000</v>
      </c>
    </row>
    <row r="53" spans="2:44" x14ac:dyDescent="0.3">
      <c r="B53" t="s">
        <v>2743</v>
      </c>
      <c r="C53" t="s">
        <v>174</v>
      </c>
      <c r="D53" t="str">
        <f t="shared" si="4"/>
        <v>Jun-25</v>
      </c>
      <c r="E53" s="242">
        <v>45811</v>
      </c>
      <c r="F53" t="s">
        <v>408</v>
      </c>
      <c r="G53" t="s">
        <v>406</v>
      </c>
      <c r="H53" s="3">
        <v>8540</v>
      </c>
      <c r="I53" s="233">
        <v>34.200000000000003</v>
      </c>
      <c r="J53" s="241">
        <f t="shared" si="0"/>
        <v>292068</v>
      </c>
      <c r="K53" s="3">
        <v>0</v>
      </c>
      <c r="L53" s="3">
        <f t="shared" si="1"/>
        <v>292068</v>
      </c>
      <c r="M53" s="3"/>
      <c r="N53" t="s">
        <v>1467</v>
      </c>
      <c r="O53" s="240" t="s">
        <v>226</v>
      </c>
      <c r="P53" t="s">
        <v>174</v>
      </c>
      <c r="Q53" s="242">
        <v>45861</v>
      </c>
      <c r="R53" t="s">
        <v>1461</v>
      </c>
      <c r="S53" t="s">
        <v>233</v>
      </c>
      <c r="T53" s="3">
        <v>19390</v>
      </c>
      <c r="U53" s="233">
        <v>37.5</v>
      </c>
      <c r="V53" s="3">
        <f t="shared" si="8"/>
        <v>727125</v>
      </c>
      <c r="W53" s="3">
        <v>-3000</v>
      </c>
      <c r="X53" s="3">
        <f t="shared" si="9"/>
        <v>724125</v>
      </c>
      <c r="Y53" s="1">
        <f>_xlfn.XLOOKUP(R53,'Details PC'!AA:AA,'Details PC'!AI:AI)-X53</f>
        <v>0</v>
      </c>
      <c r="AA53" t="s">
        <v>174</v>
      </c>
      <c r="AB53" t="str">
        <f t="shared" si="6"/>
        <v>Jul-25</v>
      </c>
      <c r="AC53" s="242">
        <v>45840</v>
      </c>
      <c r="AE53" t="s">
        <v>330</v>
      </c>
      <c r="AG53" t="s">
        <v>1381</v>
      </c>
      <c r="AI53" t="s">
        <v>1383</v>
      </c>
      <c r="AN53" s="3">
        <v>19</v>
      </c>
      <c r="AO53" s="3">
        <v>6000</v>
      </c>
      <c r="AP53" s="3">
        <f t="shared" si="10"/>
        <v>114000</v>
      </c>
      <c r="AQ53" s="3">
        <v>0</v>
      </c>
      <c r="AR53" s="3">
        <f t="shared" si="7"/>
        <v>114000</v>
      </c>
    </row>
    <row r="54" spans="2:44" x14ac:dyDescent="0.3">
      <c r="B54" t="s">
        <v>1365</v>
      </c>
      <c r="C54" t="s">
        <v>174</v>
      </c>
      <c r="D54" t="str">
        <f t="shared" si="4"/>
        <v>Jun-25</v>
      </c>
      <c r="E54" s="242">
        <v>45811</v>
      </c>
      <c r="G54" t="s">
        <v>395</v>
      </c>
      <c r="H54" s="3">
        <v>1</v>
      </c>
      <c r="I54" s="233">
        <v>100000</v>
      </c>
      <c r="J54" s="241">
        <f t="shared" si="0"/>
        <v>100000</v>
      </c>
      <c r="K54" s="3">
        <v>0</v>
      </c>
      <c r="L54" s="3">
        <f t="shared" si="1"/>
        <v>100000</v>
      </c>
      <c r="M54" s="3"/>
      <c r="N54" t="s">
        <v>1468</v>
      </c>
      <c r="O54" s="240" t="s">
        <v>226</v>
      </c>
      <c r="P54" t="s">
        <v>174</v>
      </c>
      <c r="Q54" s="242">
        <v>45863</v>
      </c>
      <c r="R54" t="s">
        <v>1462</v>
      </c>
      <c r="S54" t="s">
        <v>1465</v>
      </c>
      <c r="T54" s="3">
        <v>32490</v>
      </c>
      <c r="U54" s="233">
        <v>35.049999999999997</v>
      </c>
      <c r="V54" s="3">
        <f t="shared" si="8"/>
        <v>1138774.5</v>
      </c>
      <c r="W54" s="3">
        <v>-8412</v>
      </c>
      <c r="X54" s="3">
        <f t="shared" si="9"/>
        <v>1130362.5</v>
      </c>
      <c r="Y54" s="1">
        <f>_xlfn.XLOOKUP(R54,'Details PC'!AA:AA,'Details PC'!AI:AI)-X54</f>
        <v>0</v>
      </c>
      <c r="AA54" t="s">
        <v>174</v>
      </c>
      <c r="AB54" t="str">
        <f t="shared" si="6"/>
        <v>Jul-25</v>
      </c>
      <c r="AC54" s="242">
        <v>45840</v>
      </c>
      <c r="AE54" t="s">
        <v>330</v>
      </c>
      <c r="AG54" t="s">
        <v>1381</v>
      </c>
      <c r="AI54" t="s">
        <v>1383</v>
      </c>
      <c r="AN54" s="3">
        <v>6</v>
      </c>
      <c r="AO54" s="3">
        <v>1000</v>
      </c>
      <c r="AP54" s="3">
        <f t="shared" si="10"/>
        <v>6000</v>
      </c>
      <c r="AQ54" s="3">
        <v>0</v>
      </c>
      <c r="AR54" s="3">
        <f t="shared" si="7"/>
        <v>6000</v>
      </c>
    </row>
    <row r="55" spans="2:44" x14ac:dyDescent="0.3">
      <c r="B55" t="s">
        <v>2743</v>
      </c>
      <c r="C55" t="s">
        <v>174</v>
      </c>
      <c r="D55" t="str">
        <f t="shared" si="4"/>
        <v>Jun-25</v>
      </c>
      <c r="E55" s="242">
        <v>45812</v>
      </c>
      <c r="F55" t="s">
        <v>409</v>
      </c>
      <c r="G55" t="s">
        <v>406</v>
      </c>
      <c r="H55" s="3">
        <v>10970</v>
      </c>
      <c r="I55" s="233">
        <v>34.200000000000003</v>
      </c>
      <c r="J55" s="241">
        <f t="shared" si="0"/>
        <v>375174.00000000006</v>
      </c>
      <c r="K55" s="3">
        <v>0</v>
      </c>
      <c r="L55" s="3">
        <f t="shared" si="1"/>
        <v>375174.00000000006</v>
      </c>
      <c r="M55" s="3"/>
      <c r="N55" t="s">
        <v>1469</v>
      </c>
      <c r="O55" s="240" t="s">
        <v>226</v>
      </c>
      <c r="P55" t="s">
        <v>174</v>
      </c>
      <c r="Q55" s="242">
        <v>45864</v>
      </c>
      <c r="R55" t="s">
        <v>1463</v>
      </c>
      <c r="S55" t="s">
        <v>1465</v>
      </c>
      <c r="T55" s="3">
        <v>25920</v>
      </c>
      <c r="U55" s="233">
        <v>35.049999999999997</v>
      </c>
      <c r="V55" s="3">
        <f t="shared" si="8"/>
        <v>908495.99999999988</v>
      </c>
      <c r="W55" s="3">
        <v>0</v>
      </c>
      <c r="X55" s="3">
        <f t="shared" si="9"/>
        <v>908495.99999999988</v>
      </c>
      <c r="Y55" s="1">
        <f>_xlfn.XLOOKUP(R55,'Details PC'!AA:AA,'Details PC'!AI:AI)-X55</f>
        <v>0</v>
      </c>
      <c r="AA55" t="s">
        <v>174</v>
      </c>
      <c r="AB55" t="str">
        <f t="shared" si="6"/>
        <v>Jul-25</v>
      </c>
      <c r="AC55" s="242">
        <v>45841</v>
      </c>
      <c r="AE55" t="s">
        <v>330</v>
      </c>
      <c r="AG55" t="s">
        <v>1408</v>
      </c>
      <c r="AI55" t="s">
        <v>1409</v>
      </c>
      <c r="AN55" s="3">
        <v>32</v>
      </c>
      <c r="AO55" s="3">
        <v>3000</v>
      </c>
      <c r="AP55" s="3">
        <f t="shared" si="10"/>
        <v>96000</v>
      </c>
      <c r="AQ55" s="3">
        <v>0</v>
      </c>
      <c r="AR55" s="3">
        <f t="shared" si="7"/>
        <v>96000</v>
      </c>
    </row>
    <row r="56" spans="2:44" x14ac:dyDescent="0.3">
      <c r="B56" t="s">
        <v>2743</v>
      </c>
      <c r="C56" t="s">
        <v>174</v>
      </c>
      <c r="D56" t="str">
        <f t="shared" si="4"/>
        <v>Jun-25</v>
      </c>
      <c r="E56" s="242">
        <v>45812</v>
      </c>
      <c r="F56" t="s">
        <v>410</v>
      </c>
      <c r="G56" t="s">
        <v>406</v>
      </c>
      <c r="H56" s="3">
        <v>7995</v>
      </c>
      <c r="I56" s="233">
        <v>34.200000000000003</v>
      </c>
      <c r="J56" s="241">
        <f t="shared" si="0"/>
        <v>273429</v>
      </c>
      <c r="K56" s="3">
        <v>0</v>
      </c>
      <c r="L56" s="3">
        <f t="shared" si="1"/>
        <v>273429</v>
      </c>
      <c r="M56" s="3"/>
      <c r="N56" t="s">
        <v>1470</v>
      </c>
      <c r="O56" s="240" t="s">
        <v>226</v>
      </c>
      <c r="P56" t="s">
        <v>174</v>
      </c>
      <c r="Q56" s="242">
        <v>45865</v>
      </c>
      <c r="R56" t="s">
        <v>1464</v>
      </c>
      <c r="S56" t="s">
        <v>1465</v>
      </c>
      <c r="T56" s="3">
        <v>30750</v>
      </c>
      <c r="U56" s="233">
        <v>35.049999999999997</v>
      </c>
      <c r="V56" s="3">
        <f t="shared" si="8"/>
        <v>1077787.5</v>
      </c>
      <c r="W56" s="3">
        <v>-3505</v>
      </c>
      <c r="X56" s="3">
        <f t="shared" si="9"/>
        <v>1074282.5</v>
      </c>
      <c r="Y56" s="1">
        <f>_xlfn.XLOOKUP(R56,'Details PC'!AA:AA,'Details PC'!AI:AI)-X56</f>
        <v>0</v>
      </c>
      <c r="AA56" t="s">
        <v>174</v>
      </c>
      <c r="AB56" t="str">
        <f t="shared" si="6"/>
        <v>Jul-25</v>
      </c>
      <c r="AC56" s="242">
        <v>45847</v>
      </c>
      <c r="AD56" t="s">
        <v>329</v>
      </c>
      <c r="AE56" t="s">
        <v>1433</v>
      </c>
      <c r="AG56" t="s">
        <v>1434</v>
      </c>
      <c r="AI56" s="3" t="s">
        <v>1435</v>
      </c>
      <c r="AJ56" s="331"/>
      <c r="AK56" s="3"/>
      <c r="AL56" s="3"/>
      <c r="AM56" s="3"/>
      <c r="AN56" s="3">
        <v>1</v>
      </c>
      <c r="AO56" s="3">
        <v>103568</v>
      </c>
      <c r="AP56" s="3">
        <f t="shared" si="10"/>
        <v>103568</v>
      </c>
      <c r="AQ56" s="3">
        <v>0</v>
      </c>
      <c r="AR56" s="3">
        <f t="shared" si="7"/>
        <v>103568</v>
      </c>
    </row>
    <row r="57" spans="2:44" x14ac:dyDescent="0.3">
      <c r="B57" t="s">
        <v>2743</v>
      </c>
      <c r="C57" t="s">
        <v>174</v>
      </c>
      <c r="D57" t="str">
        <f t="shared" si="4"/>
        <v>Jun-25</v>
      </c>
      <c r="E57" s="242">
        <v>45812</v>
      </c>
      <c r="F57" t="s">
        <v>411</v>
      </c>
      <c r="G57" t="s">
        <v>406</v>
      </c>
      <c r="H57" s="3">
        <v>5990</v>
      </c>
      <c r="I57" s="233">
        <v>34.200000000000003</v>
      </c>
      <c r="J57" s="241">
        <f t="shared" si="0"/>
        <v>204858.00000000003</v>
      </c>
      <c r="K57" s="3">
        <v>0</v>
      </c>
      <c r="L57" s="3">
        <f t="shared" si="1"/>
        <v>204858.00000000003</v>
      </c>
      <c r="M57" s="3"/>
      <c r="N57" t="s">
        <v>1491</v>
      </c>
      <c r="O57" s="240" t="s">
        <v>226</v>
      </c>
      <c r="P57" t="s">
        <v>174</v>
      </c>
      <c r="Q57" s="242">
        <v>45866</v>
      </c>
      <c r="R57" t="s">
        <v>1490</v>
      </c>
      <c r="S57" t="s">
        <v>249</v>
      </c>
      <c r="T57" s="3">
        <v>12750</v>
      </c>
      <c r="U57" s="233">
        <v>37.5</v>
      </c>
      <c r="V57" s="3">
        <f t="shared" si="8"/>
        <v>478125</v>
      </c>
      <c r="W57" s="3">
        <v>-750</v>
      </c>
      <c r="X57" s="3">
        <f t="shared" si="9"/>
        <v>477375</v>
      </c>
      <c r="Y57" s="1">
        <f>_xlfn.XLOOKUP(R57,'Details PC'!AA:AA,'Details PC'!AI:AI)-X57</f>
        <v>0</v>
      </c>
      <c r="AA57" t="s">
        <v>174</v>
      </c>
      <c r="AB57" t="str">
        <f t="shared" si="6"/>
        <v>Jul-25</v>
      </c>
      <c r="AC57" s="242">
        <v>45862</v>
      </c>
      <c r="AE57" t="s">
        <v>250</v>
      </c>
      <c r="AG57" t="s">
        <v>1472</v>
      </c>
      <c r="AI57" t="s">
        <v>1473</v>
      </c>
      <c r="AN57" s="3">
        <v>1</v>
      </c>
      <c r="AO57" s="3">
        <v>90500</v>
      </c>
      <c r="AP57" s="3">
        <f t="shared" si="10"/>
        <v>90500</v>
      </c>
      <c r="AQ57" s="3">
        <v>0</v>
      </c>
      <c r="AR57" s="3">
        <f t="shared" si="7"/>
        <v>90500</v>
      </c>
    </row>
    <row r="58" spans="2:44" x14ac:dyDescent="0.3">
      <c r="B58" t="s">
        <v>1365</v>
      </c>
      <c r="C58" t="s">
        <v>174</v>
      </c>
      <c r="D58" t="str">
        <f t="shared" si="4"/>
        <v>Jun-25</v>
      </c>
      <c r="E58" s="242">
        <v>45812</v>
      </c>
      <c r="G58" t="s">
        <v>240</v>
      </c>
      <c r="H58" s="3">
        <v>1</v>
      </c>
      <c r="I58" s="233">
        <v>40950</v>
      </c>
      <c r="J58" s="241">
        <f t="shared" si="0"/>
        <v>40950</v>
      </c>
      <c r="K58" s="3">
        <v>0</v>
      </c>
      <c r="L58" s="3">
        <f t="shared" si="1"/>
        <v>40950</v>
      </c>
      <c r="M58" s="3"/>
      <c r="N58" t="s">
        <v>1495</v>
      </c>
      <c r="O58" s="240" t="s">
        <v>226</v>
      </c>
      <c r="P58" t="s">
        <v>174</v>
      </c>
      <c r="Q58" s="242">
        <v>45867</v>
      </c>
      <c r="R58" t="s">
        <v>1496</v>
      </c>
      <c r="S58" t="s">
        <v>1465</v>
      </c>
      <c r="T58" s="3">
        <v>28890</v>
      </c>
      <c r="U58" s="233">
        <v>35.049999999999997</v>
      </c>
      <c r="V58" s="3">
        <f t="shared" si="8"/>
        <v>1012594.4999999999</v>
      </c>
      <c r="W58" s="3">
        <v>0</v>
      </c>
      <c r="X58" s="3">
        <f t="shared" si="9"/>
        <v>1012594.4999999999</v>
      </c>
      <c r="Y58" s="1">
        <f>_xlfn.XLOOKUP(R58,'Details PC'!AA:AA,'Details PC'!AI:AI)-X58</f>
        <v>0</v>
      </c>
      <c r="AA58" t="s">
        <v>174</v>
      </c>
      <c r="AB58" t="str">
        <f t="shared" si="6"/>
        <v>Jul-25</v>
      </c>
      <c r="AC58" s="242">
        <v>45868</v>
      </c>
      <c r="AD58" t="s">
        <v>329</v>
      </c>
      <c r="AE58" t="s">
        <v>330</v>
      </c>
      <c r="AG58" t="s">
        <v>1505</v>
      </c>
      <c r="AI58" t="s">
        <v>1508</v>
      </c>
      <c r="AN58" s="3">
        <v>1</v>
      </c>
      <c r="AO58" s="3">
        <v>6500</v>
      </c>
      <c r="AP58" s="3">
        <f t="shared" si="10"/>
        <v>6500</v>
      </c>
      <c r="AQ58" s="3">
        <v>0</v>
      </c>
      <c r="AR58" s="3">
        <f t="shared" si="7"/>
        <v>6500</v>
      </c>
    </row>
    <row r="59" spans="2:44" x14ac:dyDescent="0.3">
      <c r="B59" t="s">
        <v>2743</v>
      </c>
      <c r="C59" t="s">
        <v>174</v>
      </c>
      <c r="D59" t="str">
        <f t="shared" si="4"/>
        <v>Jun-25</v>
      </c>
      <c r="E59" s="242">
        <v>45813</v>
      </c>
      <c r="F59" t="s">
        <v>412</v>
      </c>
      <c r="G59" t="s">
        <v>406</v>
      </c>
      <c r="H59" s="3">
        <v>9180</v>
      </c>
      <c r="I59" s="233">
        <v>34.200000000000003</v>
      </c>
      <c r="J59" s="241">
        <f t="shared" si="0"/>
        <v>313956</v>
      </c>
      <c r="K59" s="3">
        <v>0</v>
      </c>
      <c r="L59" s="3">
        <f t="shared" si="1"/>
        <v>313956</v>
      </c>
      <c r="M59" s="3"/>
      <c r="N59" t="s">
        <v>1503</v>
      </c>
      <c r="O59" s="240" t="s">
        <v>226</v>
      </c>
      <c r="P59" t="s">
        <v>174</v>
      </c>
      <c r="Q59" s="242">
        <v>45869</v>
      </c>
      <c r="R59" t="s">
        <v>1504</v>
      </c>
      <c r="S59" t="s">
        <v>1497</v>
      </c>
      <c r="T59" s="3">
        <v>31170</v>
      </c>
      <c r="U59" s="233">
        <v>36.200000000000003</v>
      </c>
      <c r="V59" s="3">
        <f t="shared" si="8"/>
        <v>1128354</v>
      </c>
      <c r="W59" s="3">
        <v>-1128354</v>
      </c>
      <c r="X59" s="3">
        <f t="shared" si="9"/>
        <v>0</v>
      </c>
      <c r="Y59" s="1" t="e">
        <f>_xlfn.XLOOKUP(R59,'Details PC'!AA:AA,'Details PC'!AI:AI)-X59</f>
        <v>#N/A</v>
      </c>
      <c r="AA59" t="s">
        <v>174</v>
      </c>
      <c r="AB59" t="str">
        <f t="shared" si="6"/>
        <v>Jul-25</v>
      </c>
      <c r="AC59" s="242">
        <v>45868</v>
      </c>
      <c r="AD59" t="s">
        <v>329</v>
      </c>
      <c r="AE59" t="s">
        <v>330</v>
      </c>
      <c r="AG59" t="s">
        <v>1506</v>
      </c>
      <c r="AI59" t="s">
        <v>1509</v>
      </c>
      <c r="AN59" s="3">
        <v>1</v>
      </c>
      <c r="AO59" s="3">
        <v>54336</v>
      </c>
      <c r="AP59" s="3">
        <f t="shared" si="10"/>
        <v>54336</v>
      </c>
      <c r="AQ59" s="3">
        <v>0</v>
      </c>
      <c r="AR59" s="3">
        <f t="shared" si="7"/>
        <v>54336</v>
      </c>
    </row>
    <row r="60" spans="2:44" x14ac:dyDescent="0.3">
      <c r="B60" t="s">
        <v>2743</v>
      </c>
      <c r="C60" t="s">
        <v>174</v>
      </c>
      <c r="D60" t="str">
        <f t="shared" si="4"/>
        <v>Jun-25</v>
      </c>
      <c r="E60" s="242">
        <v>45813</v>
      </c>
      <c r="F60" t="s">
        <v>413</v>
      </c>
      <c r="G60" t="s">
        <v>406</v>
      </c>
      <c r="H60" s="3">
        <v>6930</v>
      </c>
      <c r="I60" s="233">
        <v>34.200000000000003</v>
      </c>
      <c r="J60" s="241">
        <f t="shared" si="0"/>
        <v>237006.00000000003</v>
      </c>
      <c r="K60" s="3">
        <v>0</v>
      </c>
      <c r="L60" s="3">
        <f t="shared" si="1"/>
        <v>237006.00000000003</v>
      </c>
      <c r="M60" s="3"/>
      <c r="N60" t="s">
        <v>1503</v>
      </c>
      <c r="O60" s="240" t="s">
        <v>226</v>
      </c>
      <c r="P60" t="s">
        <v>174</v>
      </c>
      <c r="Q60" s="242">
        <v>45871</v>
      </c>
      <c r="R60" t="s">
        <v>1522</v>
      </c>
      <c r="S60" t="s">
        <v>1497</v>
      </c>
      <c r="T60" s="3">
        <v>31170</v>
      </c>
      <c r="U60" s="233">
        <v>35.9</v>
      </c>
      <c r="V60" s="3">
        <f t="shared" si="8"/>
        <v>1119003</v>
      </c>
      <c r="W60" s="3">
        <v>-14001</v>
      </c>
      <c r="X60" s="3">
        <f t="shared" si="9"/>
        <v>1105002</v>
      </c>
      <c r="Y60" s="1">
        <f>_xlfn.XLOOKUP(R60,'Details PC'!AA:AA,'Details PC'!AI:AI)-X60</f>
        <v>0</v>
      </c>
      <c r="AA60" t="s">
        <v>174</v>
      </c>
      <c r="AB60" t="str">
        <f t="shared" si="6"/>
        <v>Jul-25</v>
      </c>
      <c r="AC60" s="242">
        <v>45868</v>
      </c>
      <c r="AD60" t="s">
        <v>329</v>
      </c>
      <c r="AE60" t="s">
        <v>330</v>
      </c>
      <c r="AG60" t="s">
        <v>1507</v>
      </c>
      <c r="AI60" t="s">
        <v>1510</v>
      </c>
      <c r="AN60" s="3">
        <v>1</v>
      </c>
      <c r="AO60" s="3">
        <v>72104</v>
      </c>
      <c r="AP60" s="3">
        <f t="shared" si="10"/>
        <v>72104</v>
      </c>
      <c r="AQ60" s="3">
        <v>0</v>
      </c>
      <c r="AR60" s="3">
        <f t="shared" si="7"/>
        <v>72104</v>
      </c>
    </row>
    <row r="61" spans="2:44" x14ac:dyDescent="0.3">
      <c r="B61" t="s">
        <v>2743</v>
      </c>
      <c r="C61" t="s">
        <v>174</v>
      </c>
      <c r="D61" t="str">
        <f t="shared" si="4"/>
        <v>Jun-25</v>
      </c>
      <c r="E61" s="242">
        <v>45814</v>
      </c>
      <c r="F61" t="s">
        <v>414</v>
      </c>
      <c r="G61" t="s">
        <v>406</v>
      </c>
      <c r="H61" s="3">
        <v>7545</v>
      </c>
      <c r="I61" s="233">
        <v>34.200000000000003</v>
      </c>
      <c r="J61" s="241">
        <f t="shared" si="0"/>
        <v>258039.00000000003</v>
      </c>
      <c r="K61" s="3">
        <v>0</v>
      </c>
      <c r="L61" s="3">
        <f t="shared" si="1"/>
        <v>258039.00000000003</v>
      </c>
      <c r="M61" s="3"/>
      <c r="N61" t="s">
        <v>1521</v>
      </c>
      <c r="O61" s="240" t="s">
        <v>226</v>
      </c>
      <c r="P61" t="s">
        <v>174</v>
      </c>
      <c r="Q61" s="242">
        <v>45871</v>
      </c>
      <c r="R61" t="s">
        <v>1523</v>
      </c>
      <c r="S61" t="s">
        <v>1497</v>
      </c>
      <c r="T61" s="3">
        <v>25810</v>
      </c>
      <c r="U61" s="233">
        <v>35.700000000000003</v>
      </c>
      <c r="V61" s="3">
        <f t="shared" si="8"/>
        <v>921417.00000000012</v>
      </c>
      <c r="W61" s="3">
        <f>-727923-2142-1631</f>
        <v>-731696</v>
      </c>
      <c r="X61" s="3">
        <f t="shared" si="9"/>
        <v>189721.00000000012</v>
      </c>
      <c r="Y61" s="1">
        <f>_xlfn.XLOOKUP(R61,'Details PC'!AA:AA,'Details PC'!AI:AI)-X61</f>
        <v>0</v>
      </c>
      <c r="AA61" t="s">
        <v>174</v>
      </c>
      <c r="AB61" t="str">
        <f t="shared" si="6"/>
        <v>Jul-25</v>
      </c>
      <c r="AC61" s="242">
        <v>45868</v>
      </c>
      <c r="AD61" t="s">
        <v>329</v>
      </c>
      <c r="AE61" t="s">
        <v>330</v>
      </c>
      <c r="AG61" t="s">
        <v>1507</v>
      </c>
      <c r="AI61" t="s">
        <v>1510</v>
      </c>
      <c r="AN61" s="3">
        <v>1</v>
      </c>
      <c r="AO61" s="3">
        <v>4500</v>
      </c>
      <c r="AP61" s="3">
        <f t="shared" si="10"/>
        <v>4500</v>
      </c>
      <c r="AQ61" s="3">
        <v>0</v>
      </c>
      <c r="AR61" s="3">
        <f t="shared" si="7"/>
        <v>4500</v>
      </c>
    </row>
    <row r="62" spans="2:44" x14ac:dyDescent="0.3">
      <c r="B62" t="s">
        <v>2743</v>
      </c>
      <c r="C62" t="s">
        <v>174</v>
      </c>
      <c r="D62" t="str">
        <f t="shared" si="4"/>
        <v>Jun-25</v>
      </c>
      <c r="E62" s="242">
        <v>45814</v>
      </c>
      <c r="F62" t="s">
        <v>415</v>
      </c>
      <c r="G62" t="s">
        <v>406</v>
      </c>
      <c r="H62" s="3">
        <v>7750</v>
      </c>
      <c r="I62">
        <v>34.200000000000003</v>
      </c>
      <c r="J62" s="241">
        <f t="shared" si="0"/>
        <v>265050</v>
      </c>
      <c r="K62" s="3">
        <v>0</v>
      </c>
      <c r="L62" s="3">
        <f t="shared" si="1"/>
        <v>265050</v>
      </c>
      <c r="M62" s="3"/>
      <c r="N62" t="s">
        <v>1521</v>
      </c>
      <c r="O62" s="240" t="s">
        <v>226</v>
      </c>
      <c r="P62" t="s">
        <v>174</v>
      </c>
      <c r="Q62" s="242">
        <v>45874</v>
      </c>
      <c r="R62" t="s">
        <v>1525</v>
      </c>
      <c r="S62" t="s">
        <v>1497</v>
      </c>
      <c r="T62" s="3">
        <v>20390</v>
      </c>
      <c r="U62" s="233">
        <v>35.700000000000003</v>
      </c>
      <c r="V62" s="3">
        <f t="shared" si="8"/>
        <v>727923</v>
      </c>
      <c r="W62" s="3">
        <v>0</v>
      </c>
      <c r="X62" s="3">
        <f t="shared" si="9"/>
        <v>727923</v>
      </c>
      <c r="Y62" s="1">
        <f>_xlfn.XLOOKUP(R62,'Details PC'!AA:AA,'Details PC'!AI:AI)-X62</f>
        <v>0</v>
      </c>
      <c r="AA62" t="s">
        <v>174</v>
      </c>
      <c r="AB62" t="str">
        <f t="shared" si="6"/>
        <v>Jul-25</v>
      </c>
      <c r="AC62" s="242">
        <v>45868</v>
      </c>
      <c r="AD62" t="s">
        <v>329</v>
      </c>
      <c r="AE62" t="s">
        <v>330</v>
      </c>
      <c r="AG62" t="s">
        <v>1507</v>
      </c>
      <c r="AI62" t="s">
        <v>1510</v>
      </c>
      <c r="AN62" s="3">
        <v>1</v>
      </c>
      <c r="AO62" s="3">
        <v>4000</v>
      </c>
      <c r="AP62" s="3">
        <f t="shared" si="10"/>
        <v>4000</v>
      </c>
      <c r="AQ62" s="3">
        <v>0</v>
      </c>
      <c r="AR62" s="3">
        <f t="shared" si="7"/>
        <v>4000</v>
      </c>
    </row>
    <row r="63" spans="2:44" x14ac:dyDescent="0.3">
      <c r="B63" t="s">
        <v>2743</v>
      </c>
      <c r="C63" t="s">
        <v>174</v>
      </c>
      <c r="D63" t="str">
        <f t="shared" si="4"/>
        <v>Jun-25</v>
      </c>
      <c r="E63" s="242">
        <v>45815</v>
      </c>
      <c r="F63" t="s">
        <v>416</v>
      </c>
      <c r="G63" t="s">
        <v>406</v>
      </c>
      <c r="H63" s="3">
        <v>9635</v>
      </c>
      <c r="I63" s="233">
        <v>34.200000000000003</v>
      </c>
      <c r="J63" s="241">
        <f t="shared" si="0"/>
        <v>329517</v>
      </c>
      <c r="K63" s="3">
        <v>0</v>
      </c>
      <c r="L63" s="3">
        <f t="shared" si="1"/>
        <v>329517</v>
      </c>
      <c r="M63" s="3"/>
      <c r="N63" t="s">
        <v>1567</v>
      </c>
      <c r="O63" s="240" t="s">
        <v>226</v>
      </c>
      <c r="P63" t="s">
        <v>174</v>
      </c>
      <c r="Q63" s="242">
        <v>45875</v>
      </c>
      <c r="R63" t="s">
        <v>1568</v>
      </c>
      <c r="S63" t="s">
        <v>1497</v>
      </c>
      <c r="T63" s="3">
        <v>23950</v>
      </c>
      <c r="U63" s="233">
        <v>35.9</v>
      </c>
      <c r="V63" s="3">
        <f t="shared" si="8"/>
        <v>859805</v>
      </c>
      <c r="W63" s="3">
        <f>-6462-1916</f>
        <v>-8378</v>
      </c>
      <c r="X63" s="3">
        <f t="shared" si="9"/>
        <v>851427</v>
      </c>
      <c r="Y63" s="1">
        <f>_xlfn.XLOOKUP(R63,'Details PC'!AA:AA,'Details PC'!AI:AI)-X63</f>
        <v>0</v>
      </c>
      <c r="AA63" t="s">
        <v>174</v>
      </c>
      <c r="AB63" t="str">
        <f t="shared" si="6"/>
        <v>Aug-25</v>
      </c>
      <c r="AC63" s="242">
        <v>45877</v>
      </c>
      <c r="AE63" t="s">
        <v>1433</v>
      </c>
      <c r="AG63" t="s">
        <v>1526</v>
      </c>
      <c r="AI63" t="s">
        <v>1591</v>
      </c>
      <c r="AN63" s="3">
        <v>1</v>
      </c>
      <c r="AO63" s="3">
        <f>258301.5-12908</f>
        <v>245393.5</v>
      </c>
      <c r="AP63" s="3">
        <f t="shared" si="10"/>
        <v>245393.5</v>
      </c>
      <c r="AQ63" s="3">
        <v>0</v>
      </c>
      <c r="AR63" s="3">
        <f t="shared" si="7"/>
        <v>245393.5</v>
      </c>
    </row>
    <row r="64" spans="2:44" x14ac:dyDescent="0.3">
      <c r="B64" t="s">
        <v>2743</v>
      </c>
      <c r="C64" t="s">
        <v>174</v>
      </c>
      <c r="D64" t="str">
        <f t="shared" si="4"/>
        <v>Jun-25</v>
      </c>
      <c r="E64" s="242">
        <v>45815</v>
      </c>
      <c r="F64" t="s">
        <v>417</v>
      </c>
      <c r="G64" t="s">
        <v>406</v>
      </c>
      <c r="H64" s="3">
        <v>6285</v>
      </c>
      <c r="I64" s="233">
        <v>34.200000000000003</v>
      </c>
      <c r="J64" s="241">
        <f t="shared" si="0"/>
        <v>214947.00000000003</v>
      </c>
      <c r="K64" s="3">
        <v>0</v>
      </c>
      <c r="L64" s="3">
        <f t="shared" si="1"/>
        <v>214947.00000000003</v>
      </c>
      <c r="M64" s="3"/>
      <c r="N64" t="s">
        <v>1569</v>
      </c>
      <c r="O64" s="240" t="s">
        <v>226</v>
      </c>
      <c r="P64" t="s">
        <v>174</v>
      </c>
      <c r="Q64" s="242">
        <v>45876</v>
      </c>
      <c r="R64" t="s">
        <v>1570</v>
      </c>
      <c r="S64" t="s">
        <v>1465</v>
      </c>
      <c r="T64" s="3">
        <v>25465</v>
      </c>
      <c r="U64" s="233">
        <v>35.700000000000003</v>
      </c>
      <c r="V64" s="3">
        <f t="shared" si="8"/>
        <v>909100.50000000012</v>
      </c>
      <c r="W64" s="3">
        <v>0</v>
      </c>
      <c r="X64" s="3">
        <f t="shared" si="9"/>
        <v>909100.50000000012</v>
      </c>
      <c r="Y64" s="1">
        <f>_xlfn.XLOOKUP(R64,'Details PC'!AA:AA,'Details PC'!AI:AI)-X64</f>
        <v>0</v>
      </c>
      <c r="AA64" t="s">
        <v>174</v>
      </c>
      <c r="AB64" t="str">
        <f t="shared" si="6"/>
        <v>Aug-25</v>
      </c>
      <c r="AC64" s="242">
        <v>45877</v>
      </c>
      <c r="AE64" t="s">
        <v>330</v>
      </c>
      <c r="AG64" t="s">
        <v>1540</v>
      </c>
      <c r="AI64" t="s">
        <v>1592</v>
      </c>
      <c r="AN64" s="3">
        <v>1</v>
      </c>
      <c r="AO64" s="3">
        <v>49532</v>
      </c>
      <c r="AP64" s="3">
        <f t="shared" si="10"/>
        <v>49532</v>
      </c>
      <c r="AQ64" s="3">
        <v>0</v>
      </c>
      <c r="AR64" s="3">
        <f t="shared" si="7"/>
        <v>49532</v>
      </c>
    </row>
    <row r="65" spans="2:44" x14ac:dyDescent="0.3">
      <c r="B65" t="s">
        <v>2743</v>
      </c>
      <c r="C65" t="s">
        <v>174</v>
      </c>
      <c r="D65" t="str">
        <f t="shared" si="4"/>
        <v>Jun-25</v>
      </c>
      <c r="E65" s="242">
        <v>45817</v>
      </c>
      <c r="F65" t="s">
        <v>1375</v>
      </c>
      <c r="G65" t="s">
        <v>406</v>
      </c>
      <c r="H65" s="233">
        <v>6640</v>
      </c>
      <c r="I65" s="233">
        <v>34.200000000000003</v>
      </c>
      <c r="J65" s="241">
        <f t="shared" si="0"/>
        <v>227088.00000000003</v>
      </c>
      <c r="K65" s="3">
        <v>0</v>
      </c>
      <c r="L65" s="3">
        <f t="shared" si="1"/>
        <v>227088.00000000003</v>
      </c>
      <c r="M65" s="3"/>
      <c r="N65" t="s">
        <v>1573</v>
      </c>
      <c r="O65" s="240" t="s">
        <v>226</v>
      </c>
      <c r="P65" t="s">
        <v>174</v>
      </c>
      <c r="Q65" s="242">
        <v>45877</v>
      </c>
      <c r="R65" t="s">
        <v>1579</v>
      </c>
      <c r="S65" t="s">
        <v>1465</v>
      </c>
      <c r="T65" s="3">
        <v>26665</v>
      </c>
      <c r="U65" s="233">
        <v>35.700000000000003</v>
      </c>
      <c r="V65" s="3">
        <f t="shared" si="8"/>
        <v>951940.50000000012</v>
      </c>
      <c r="W65" s="3">
        <v>0</v>
      </c>
      <c r="X65" s="3">
        <f t="shared" si="9"/>
        <v>951940.50000000012</v>
      </c>
      <c r="Y65" s="1">
        <f>_xlfn.XLOOKUP(R65,'Details PC'!AA:AA,'Details PC'!AI:AI)-X65</f>
        <v>0</v>
      </c>
      <c r="AA65" t="s">
        <v>174</v>
      </c>
      <c r="AB65" t="str">
        <f t="shared" si="6"/>
        <v>Aug-25</v>
      </c>
      <c r="AC65" s="242">
        <v>45877</v>
      </c>
      <c r="AE65" t="s">
        <v>330</v>
      </c>
      <c r="AG65" t="s">
        <v>1112</v>
      </c>
      <c r="AI65" t="s">
        <v>1593</v>
      </c>
      <c r="AN65" s="3">
        <v>1</v>
      </c>
      <c r="AO65" s="3">
        <v>117000</v>
      </c>
      <c r="AP65" s="3">
        <f t="shared" si="10"/>
        <v>117000</v>
      </c>
      <c r="AQ65" s="3">
        <v>0</v>
      </c>
      <c r="AR65" s="3">
        <f t="shared" si="7"/>
        <v>117000</v>
      </c>
    </row>
    <row r="66" spans="2:44" x14ac:dyDescent="0.3">
      <c r="B66" t="s">
        <v>2743</v>
      </c>
      <c r="C66" t="s">
        <v>174</v>
      </c>
      <c r="D66" t="str">
        <f t="shared" si="4"/>
        <v>Jun-25</v>
      </c>
      <c r="E66" s="242">
        <v>45818</v>
      </c>
      <c r="F66" t="s">
        <v>433</v>
      </c>
      <c r="G66" t="s">
        <v>406</v>
      </c>
      <c r="H66" s="3">
        <v>6115</v>
      </c>
      <c r="I66">
        <v>34.200000000000003</v>
      </c>
      <c r="J66" s="241">
        <f t="shared" si="0"/>
        <v>209133.00000000003</v>
      </c>
      <c r="K66" s="3">
        <v>0</v>
      </c>
      <c r="L66" s="3">
        <f t="shared" si="1"/>
        <v>209133.00000000003</v>
      </c>
      <c r="M66" s="3"/>
      <c r="N66" t="s">
        <v>1574</v>
      </c>
      <c r="O66" s="240" t="s">
        <v>226</v>
      </c>
      <c r="P66" t="s">
        <v>174</v>
      </c>
      <c r="Q66" s="242">
        <v>45878</v>
      </c>
      <c r="R66" t="s">
        <v>1580</v>
      </c>
      <c r="S66" t="s">
        <v>373</v>
      </c>
      <c r="T66" s="3">
        <v>31310</v>
      </c>
      <c r="U66" s="233">
        <v>33</v>
      </c>
      <c r="V66" s="3">
        <f t="shared" si="8"/>
        <v>1033230</v>
      </c>
      <c r="W66" s="3">
        <v>-31310</v>
      </c>
      <c r="X66" s="3">
        <f t="shared" si="9"/>
        <v>1001920</v>
      </c>
      <c r="Y66" s="1">
        <f>_xlfn.XLOOKUP(R66,'Details PC'!AA:AA,'Details PC'!AI:AI)-X66</f>
        <v>0</v>
      </c>
      <c r="AA66" t="s">
        <v>174</v>
      </c>
      <c r="AB66" t="str">
        <f t="shared" si="6"/>
        <v>Aug-25</v>
      </c>
      <c r="AC66" s="242">
        <v>45877</v>
      </c>
      <c r="AE66" t="s">
        <v>330</v>
      </c>
      <c r="AG66" t="s">
        <v>1589</v>
      </c>
      <c r="AI66" t="s">
        <v>1594</v>
      </c>
      <c r="AN66" s="3">
        <v>1</v>
      </c>
      <c r="AO66" s="3">
        <v>86042</v>
      </c>
      <c r="AP66" s="3">
        <f t="shared" si="10"/>
        <v>86042</v>
      </c>
      <c r="AQ66" s="3">
        <v>0</v>
      </c>
      <c r="AR66" s="3">
        <f t="shared" si="7"/>
        <v>86042</v>
      </c>
    </row>
    <row r="67" spans="2:44" x14ac:dyDescent="0.3">
      <c r="B67" t="s">
        <v>2743</v>
      </c>
      <c r="C67" t="s">
        <v>174</v>
      </c>
      <c r="D67" t="str">
        <f t="shared" si="4"/>
        <v>Jun-25</v>
      </c>
      <c r="E67" s="242">
        <v>45819</v>
      </c>
      <c r="F67" t="s">
        <v>451</v>
      </c>
      <c r="G67" t="s">
        <v>270</v>
      </c>
      <c r="H67" s="233">
        <v>3140</v>
      </c>
      <c r="I67" s="233">
        <v>30.151</v>
      </c>
      <c r="J67" s="241">
        <f t="shared" si="0"/>
        <v>94674.14</v>
      </c>
      <c r="K67" s="3">
        <v>0</v>
      </c>
      <c r="L67" s="3">
        <f t="shared" si="1"/>
        <v>94674.14</v>
      </c>
      <c r="M67" s="3"/>
      <c r="N67" t="s">
        <v>1575</v>
      </c>
      <c r="O67" s="240" t="s">
        <v>226</v>
      </c>
      <c r="P67" t="s">
        <v>174</v>
      </c>
      <c r="Q67" s="242">
        <v>45878</v>
      </c>
      <c r="R67" t="s">
        <v>1581</v>
      </c>
      <c r="S67" t="s">
        <v>1465</v>
      </c>
      <c r="T67" s="3">
        <v>14340</v>
      </c>
      <c r="U67" s="233">
        <v>33.75</v>
      </c>
      <c r="V67" s="3">
        <f t="shared" si="8"/>
        <v>483975</v>
      </c>
      <c r="W67" s="3">
        <v>0</v>
      </c>
      <c r="X67" s="3">
        <f t="shared" si="9"/>
        <v>483975</v>
      </c>
      <c r="Y67" s="1">
        <f>_xlfn.XLOOKUP(R67,'Details PC'!AA:AA,'Details PC'!AI:AI)-X67</f>
        <v>0</v>
      </c>
      <c r="AA67" t="s">
        <v>174</v>
      </c>
      <c r="AB67" t="str">
        <f t="shared" si="6"/>
        <v>Aug-25</v>
      </c>
      <c r="AC67" s="242">
        <v>45878</v>
      </c>
      <c r="AE67" t="s">
        <v>330</v>
      </c>
      <c r="AG67" t="s">
        <v>1590</v>
      </c>
      <c r="AI67" t="s">
        <v>1595</v>
      </c>
      <c r="AN67" s="3">
        <v>1</v>
      </c>
      <c r="AO67" s="3">
        <v>32000</v>
      </c>
      <c r="AP67" s="3">
        <f t="shared" si="10"/>
        <v>32000</v>
      </c>
      <c r="AQ67" s="3">
        <v>0</v>
      </c>
      <c r="AR67" s="3">
        <f t="shared" si="7"/>
        <v>32000</v>
      </c>
    </row>
    <row r="68" spans="2:44" x14ac:dyDescent="0.3">
      <c r="B68" t="s">
        <v>2743</v>
      </c>
      <c r="C68" t="s">
        <v>174</v>
      </c>
      <c r="D68" t="str">
        <f t="shared" si="4"/>
        <v>Jun-25</v>
      </c>
      <c r="E68" s="242">
        <v>45819</v>
      </c>
      <c r="F68" t="s">
        <v>440</v>
      </c>
      <c r="G68" t="s">
        <v>406</v>
      </c>
      <c r="H68" s="3">
        <v>11350</v>
      </c>
      <c r="I68">
        <v>34.200000000000003</v>
      </c>
      <c r="J68" s="241">
        <f t="shared" ref="J68:J131" si="11">H68*I68</f>
        <v>388170.00000000006</v>
      </c>
      <c r="K68" s="3">
        <v>0</v>
      </c>
      <c r="L68" s="3">
        <f t="shared" ref="L68:L131" si="12">J68+K68</f>
        <v>388170.00000000006</v>
      </c>
      <c r="M68" s="3"/>
      <c r="N68" t="s">
        <v>1576</v>
      </c>
      <c r="O68" s="240" t="s">
        <v>226</v>
      </c>
      <c r="P68" t="s">
        <v>174</v>
      </c>
      <c r="Q68" s="242">
        <v>45878</v>
      </c>
      <c r="R68" t="s">
        <v>1582</v>
      </c>
      <c r="S68" t="s">
        <v>1465</v>
      </c>
      <c r="T68" s="3">
        <v>29575</v>
      </c>
      <c r="U68" s="233">
        <v>35.700000000000003</v>
      </c>
      <c r="V68" s="3">
        <f t="shared" ref="V68:V99" si="13">U68*T68</f>
        <v>1055827.5</v>
      </c>
      <c r="W68" s="3">
        <v>0</v>
      </c>
      <c r="X68" s="3">
        <f t="shared" ref="X68:X99" si="14">V68+W68</f>
        <v>1055827.5</v>
      </c>
      <c r="Y68" s="1">
        <f>_xlfn.XLOOKUP(R68,'Details PC'!AA:AA,'Details PC'!AI:AI)-X68</f>
        <v>0</v>
      </c>
      <c r="AA68" t="s">
        <v>174</v>
      </c>
      <c r="AB68" t="str">
        <f t="shared" si="6"/>
        <v>Aug-25</v>
      </c>
      <c r="AC68" s="242">
        <v>45882</v>
      </c>
      <c r="AE68" t="s">
        <v>1610</v>
      </c>
      <c r="AG68" t="s">
        <v>1611</v>
      </c>
      <c r="AI68" t="s">
        <v>1614</v>
      </c>
      <c r="AN68" s="3">
        <v>1</v>
      </c>
      <c r="AO68" s="3">
        <v>29316.41</v>
      </c>
      <c r="AP68" s="3">
        <f t="shared" ref="AP68:AP86" si="15">AN68*AO68</f>
        <v>29316.41</v>
      </c>
      <c r="AQ68" s="3">
        <v>0</v>
      </c>
      <c r="AR68" s="3">
        <f t="shared" si="7"/>
        <v>29316.41</v>
      </c>
    </row>
    <row r="69" spans="2:44" x14ac:dyDescent="0.3">
      <c r="B69" t="s">
        <v>2743</v>
      </c>
      <c r="C69" t="s">
        <v>174</v>
      </c>
      <c r="D69" t="str">
        <f t="shared" ref="D69:D132" si="16">TEXT(E69,"mmm-yy")</f>
        <v>Jun-25</v>
      </c>
      <c r="E69" s="242">
        <v>45819</v>
      </c>
      <c r="F69" t="s">
        <v>439</v>
      </c>
      <c r="G69" t="s">
        <v>406</v>
      </c>
      <c r="H69" s="3">
        <v>6615</v>
      </c>
      <c r="I69">
        <v>34.200000000000003</v>
      </c>
      <c r="J69" s="241">
        <f t="shared" si="11"/>
        <v>226233.00000000003</v>
      </c>
      <c r="K69" s="3">
        <v>0</v>
      </c>
      <c r="L69" s="3">
        <f t="shared" si="12"/>
        <v>226233.00000000003</v>
      </c>
      <c r="M69" s="3"/>
      <c r="N69" t="s">
        <v>1577</v>
      </c>
      <c r="O69" s="240" t="s">
        <v>226</v>
      </c>
      <c r="P69" t="s">
        <v>174</v>
      </c>
      <c r="Q69" s="242">
        <v>45879</v>
      </c>
      <c r="R69" t="s">
        <v>1583</v>
      </c>
      <c r="S69" t="s">
        <v>1465</v>
      </c>
      <c r="T69" s="3">
        <v>18430</v>
      </c>
      <c r="U69" s="233">
        <v>35.700000000000003</v>
      </c>
      <c r="V69" s="3">
        <f t="shared" si="13"/>
        <v>657951</v>
      </c>
      <c r="W69" s="3">
        <v>0</v>
      </c>
      <c r="X69" s="3">
        <f t="shared" si="14"/>
        <v>657951</v>
      </c>
      <c r="Y69" s="1">
        <f>_xlfn.XLOOKUP(R69,'Details PC'!AA:AA,'Details PC'!AI:AI)-X69</f>
        <v>0</v>
      </c>
      <c r="AA69" t="s">
        <v>174</v>
      </c>
      <c r="AB69" t="str">
        <f t="shared" ref="AB69:AB132" si="17">TEXT(AC69,"mmm-yy")</f>
        <v>Aug-25</v>
      </c>
      <c r="AC69" s="242">
        <v>45882</v>
      </c>
      <c r="AE69" t="s">
        <v>1610</v>
      </c>
      <c r="AG69" t="s">
        <v>1612</v>
      </c>
      <c r="AI69" t="s">
        <v>1615</v>
      </c>
      <c r="AN69" s="3">
        <v>1</v>
      </c>
      <c r="AO69" s="3">
        <v>22634.75</v>
      </c>
      <c r="AP69" s="3">
        <f t="shared" si="15"/>
        <v>22634.75</v>
      </c>
      <c r="AQ69" s="3">
        <v>0</v>
      </c>
      <c r="AR69" s="3">
        <f t="shared" ref="AR69:AR132" si="18">AP69-AQ69</f>
        <v>22634.75</v>
      </c>
    </row>
    <row r="70" spans="2:44" x14ac:dyDescent="0.3">
      <c r="B70" t="s">
        <v>2743</v>
      </c>
      <c r="C70" t="s">
        <v>174</v>
      </c>
      <c r="D70" t="str">
        <f t="shared" si="16"/>
        <v>Jun-25</v>
      </c>
      <c r="E70" s="242">
        <v>45819</v>
      </c>
      <c r="F70" t="s">
        <v>441</v>
      </c>
      <c r="G70" t="s">
        <v>406</v>
      </c>
      <c r="H70" s="3">
        <v>9765</v>
      </c>
      <c r="I70">
        <v>34.200000000000003</v>
      </c>
      <c r="J70" s="241">
        <f t="shared" si="11"/>
        <v>333963</v>
      </c>
      <c r="K70" s="3">
        <v>0</v>
      </c>
      <c r="L70" s="3">
        <f t="shared" si="12"/>
        <v>333963</v>
      </c>
      <c r="M70" s="3"/>
      <c r="N70" t="s">
        <v>1578</v>
      </c>
      <c r="O70" s="240" t="s">
        <v>226</v>
      </c>
      <c r="P70" t="s">
        <v>174</v>
      </c>
      <c r="Q70" s="242">
        <v>45879</v>
      </c>
      <c r="R70" t="s">
        <v>1584</v>
      </c>
      <c r="S70" t="s">
        <v>1465</v>
      </c>
      <c r="T70" s="3">
        <v>18580</v>
      </c>
      <c r="U70" s="233">
        <v>33.75</v>
      </c>
      <c r="V70" s="3">
        <f t="shared" si="13"/>
        <v>627075</v>
      </c>
      <c r="W70" s="3">
        <v>-2025</v>
      </c>
      <c r="X70" s="3">
        <f t="shared" si="14"/>
        <v>625050</v>
      </c>
      <c r="Y70" s="1">
        <f>_xlfn.XLOOKUP(R70,'Details PC'!AA:AA,'Details PC'!AI:AI)-X70</f>
        <v>0</v>
      </c>
      <c r="AA70" t="s">
        <v>174</v>
      </c>
      <c r="AB70" t="str">
        <f t="shared" si="17"/>
        <v>Aug-25</v>
      </c>
      <c r="AC70" s="242">
        <v>45882</v>
      </c>
      <c r="AE70" t="s">
        <v>1610</v>
      </c>
      <c r="AG70" t="s">
        <v>1613</v>
      </c>
      <c r="AI70" t="s">
        <v>1616</v>
      </c>
      <c r="AN70" s="3">
        <v>1</v>
      </c>
      <c r="AO70" s="3">
        <v>37834.19</v>
      </c>
      <c r="AP70" s="3">
        <f t="shared" si="15"/>
        <v>37834.19</v>
      </c>
      <c r="AQ70" s="3">
        <v>0</v>
      </c>
      <c r="AR70" s="3">
        <f t="shared" si="18"/>
        <v>37834.19</v>
      </c>
    </row>
    <row r="71" spans="2:44" x14ac:dyDescent="0.3">
      <c r="B71" t="s">
        <v>2743</v>
      </c>
      <c r="C71" t="s">
        <v>174</v>
      </c>
      <c r="D71" t="str">
        <f t="shared" si="16"/>
        <v>Jun-25</v>
      </c>
      <c r="E71" s="242">
        <v>45820</v>
      </c>
      <c r="F71" t="s">
        <v>442</v>
      </c>
      <c r="G71" t="s">
        <v>250</v>
      </c>
      <c r="H71" s="3">
        <v>3960</v>
      </c>
      <c r="I71">
        <v>36.5</v>
      </c>
      <c r="J71" s="241">
        <f t="shared" si="11"/>
        <v>144540</v>
      </c>
      <c r="K71" s="3">
        <v>0</v>
      </c>
      <c r="L71" s="3">
        <f t="shared" si="12"/>
        <v>144540</v>
      </c>
      <c r="M71" s="3"/>
      <c r="N71" t="s">
        <v>1603</v>
      </c>
      <c r="O71" s="240" t="s">
        <v>226</v>
      </c>
      <c r="P71" t="s">
        <v>174</v>
      </c>
      <c r="Q71" s="242">
        <v>45880</v>
      </c>
      <c r="R71" t="s">
        <v>1605</v>
      </c>
      <c r="S71" t="s">
        <v>1465</v>
      </c>
      <c r="T71" s="3">
        <v>17935</v>
      </c>
      <c r="U71" s="233">
        <v>33.75</v>
      </c>
      <c r="V71" s="3">
        <f t="shared" si="13"/>
        <v>605306.25</v>
      </c>
      <c r="W71" s="3">
        <v>0</v>
      </c>
      <c r="X71" s="3">
        <f t="shared" si="14"/>
        <v>605306.25</v>
      </c>
      <c r="Y71" s="1">
        <f>_xlfn.XLOOKUP(R71,'Details PC'!AA:AA,'Details PC'!AI:AI)-X71</f>
        <v>0</v>
      </c>
      <c r="AA71" t="s">
        <v>174</v>
      </c>
      <c r="AB71" t="str">
        <f t="shared" si="17"/>
        <v>Aug-25</v>
      </c>
      <c r="AC71" s="242">
        <v>45874</v>
      </c>
      <c r="AD71" t="s">
        <v>329</v>
      </c>
      <c r="AE71" t="s">
        <v>1610</v>
      </c>
      <c r="AG71" t="s">
        <v>1617</v>
      </c>
      <c r="AI71" t="s">
        <v>1618</v>
      </c>
      <c r="AN71" s="3">
        <v>1</v>
      </c>
      <c r="AO71" s="3">
        <v>30154.02</v>
      </c>
      <c r="AP71" s="3">
        <f t="shared" si="15"/>
        <v>30154.02</v>
      </c>
      <c r="AQ71" s="3">
        <v>0</v>
      </c>
      <c r="AR71" s="3">
        <f t="shared" si="18"/>
        <v>30154.02</v>
      </c>
    </row>
    <row r="72" spans="2:44" x14ac:dyDescent="0.3">
      <c r="B72" t="s">
        <v>2743</v>
      </c>
      <c r="C72" t="s">
        <v>174</v>
      </c>
      <c r="D72" t="str">
        <f t="shared" si="16"/>
        <v>Jun-25</v>
      </c>
      <c r="E72" s="242">
        <v>45820</v>
      </c>
      <c r="F72" t="s">
        <v>445</v>
      </c>
      <c r="G72" t="s">
        <v>250</v>
      </c>
      <c r="H72" s="233">
        <v>4710</v>
      </c>
      <c r="I72" s="233">
        <v>36.5</v>
      </c>
      <c r="J72" s="241">
        <f t="shared" si="11"/>
        <v>171915</v>
      </c>
      <c r="K72" s="3">
        <v>0</v>
      </c>
      <c r="L72" s="3">
        <f t="shared" si="12"/>
        <v>171915</v>
      </c>
      <c r="M72" s="3"/>
      <c r="N72" t="s">
        <v>1604</v>
      </c>
      <c r="O72" s="240" t="s">
        <v>226</v>
      </c>
      <c r="P72" t="s">
        <v>174</v>
      </c>
      <c r="Q72" s="242">
        <v>45881</v>
      </c>
      <c r="R72" t="s">
        <v>1606</v>
      </c>
      <c r="S72" t="s">
        <v>373</v>
      </c>
      <c r="T72" s="3">
        <v>25320</v>
      </c>
      <c r="U72" s="233">
        <v>33</v>
      </c>
      <c r="V72" s="3">
        <f t="shared" si="13"/>
        <v>835560</v>
      </c>
      <c r="W72" s="3">
        <v>-25320</v>
      </c>
      <c r="X72" s="3">
        <f t="shared" si="14"/>
        <v>810240</v>
      </c>
      <c r="Y72" s="1">
        <f>_xlfn.XLOOKUP(R72,'Details PC'!AA:AA,'Details PC'!AI:AI)-X72</f>
        <v>0</v>
      </c>
      <c r="AA72" t="s">
        <v>174</v>
      </c>
      <c r="AB72" t="str">
        <f t="shared" si="17"/>
        <v>Aug-25</v>
      </c>
      <c r="AC72" s="242">
        <v>45875</v>
      </c>
      <c r="AD72" t="s">
        <v>329</v>
      </c>
      <c r="AE72" t="s">
        <v>250</v>
      </c>
      <c r="AG72" t="s">
        <v>1571</v>
      </c>
      <c r="AI72" s="3" t="s">
        <v>1572</v>
      </c>
      <c r="AJ72" s="331"/>
      <c r="AK72" s="3"/>
      <c r="AL72" s="3"/>
      <c r="AM72" s="3"/>
      <c r="AN72" s="3">
        <v>1</v>
      </c>
      <c r="AO72" s="3">
        <v>21991</v>
      </c>
      <c r="AP72" s="3">
        <f t="shared" si="15"/>
        <v>21991</v>
      </c>
      <c r="AQ72" s="3">
        <v>0</v>
      </c>
      <c r="AR72" s="3">
        <f t="shared" si="18"/>
        <v>21991</v>
      </c>
    </row>
    <row r="73" spans="2:44" x14ac:dyDescent="0.3">
      <c r="B73" t="s">
        <v>2743</v>
      </c>
      <c r="C73" t="s">
        <v>174</v>
      </c>
      <c r="D73" t="str">
        <f t="shared" si="16"/>
        <v>Jun-25</v>
      </c>
      <c r="E73" s="242">
        <v>45820</v>
      </c>
      <c r="F73" t="s">
        <v>446</v>
      </c>
      <c r="G73" t="s">
        <v>250</v>
      </c>
      <c r="H73" s="233">
        <v>3960</v>
      </c>
      <c r="I73" s="233">
        <v>36.5</v>
      </c>
      <c r="J73" s="241">
        <f t="shared" si="11"/>
        <v>144540</v>
      </c>
      <c r="K73" s="3">
        <v>0</v>
      </c>
      <c r="L73" s="3">
        <f t="shared" si="12"/>
        <v>144540</v>
      </c>
      <c r="M73" s="3"/>
      <c r="N73" t="s">
        <v>1607</v>
      </c>
      <c r="O73" s="240" t="s">
        <v>226</v>
      </c>
      <c r="P73" t="s">
        <v>174</v>
      </c>
      <c r="Q73" s="242">
        <v>45882</v>
      </c>
      <c r="R73" t="s">
        <v>1608</v>
      </c>
      <c r="S73" t="s">
        <v>1497</v>
      </c>
      <c r="T73" s="3">
        <v>25480</v>
      </c>
      <c r="U73" s="233">
        <v>35.700000000000003</v>
      </c>
      <c r="V73" s="3">
        <f t="shared" si="13"/>
        <v>909636.00000000012</v>
      </c>
      <c r="W73" s="3">
        <v>-3927</v>
      </c>
      <c r="X73" s="3">
        <f t="shared" si="14"/>
        <v>905709.00000000012</v>
      </c>
      <c r="Y73" s="1">
        <f>_xlfn.XLOOKUP(R73,'Details PC'!AA:AA,'Details PC'!AI:AI)-X73</f>
        <v>0</v>
      </c>
      <c r="AA73" t="s">
        <v>174</v>
      </c>
      <c r="AB73" t="str">
        <f t="shared" si="17"/>
        <v>Sep-25</v>
      </c>
      <c r="AC73" s="242">
        <v>45901</v>
      </c>
      <c r="AE73" t="s">
        <v>330</v>
      </c>
      <c r="AG73" t="s">
        <v>1660</v>
      </c>
      <c r="AI73" t="s">
        <v>1662</v>
      </c>
      <c r="AN73" s="3">
        <v>1</v>
      </c>
      <c r="AO73" s="3">
        <v>131232</v>
      </c>
      <c r="AP73" s="3">
        <f t="shared" si="15"/>
        <v>131232</v>
      </c>
      <c r="AQ73" s="3">
        <v>0</v>
      </c>
      <c r="AR73" s="3">
        <f t="shared" si="18"/>
        <v>131232</v>
      </c>
    </row>
    <row r="74" spans="2:44" x14ac:dyDescent="0.3">
      <c r="B74" t="s">
        <v>2743</v>
      </c>
      <c r="C74" t="s">
        <v>174</v>
      </c>
      <c r="D74" t="str">
        <f t="shared" si="16"/>
        <v>Jun-25</v>
      </c>
      <c r="E74" s="242">
        <v>45820</v>
      </c>
      <c r="F74" t="s">
        <v>447</v>
      </c>
      <c r="G74" t="s">
        <v>250</v>
      </c>
      <c r="H74" s="233">
        <v>3900</v>
      </c>
      <c r="I74" s="233">
        <v>36.5</v>
      </c>
      <c r="J74" s="241">
        <f t="shared" si="11"/>
        <v>142350</v>
      </c>
      <c r="K74" s="3">
        <v>0</v>
      </c>
      <c r="L74" s="3">
        <f t="shared" si="12"/>
        <v>142350</v>
      </c>
      <c r="M74" s="3"/>
      <c r="N74" t="s">
        <v>1623</v>
      </c>
      <c r="O74" s="240" t="s">
        <v>226</v>
      </c>
      <c r="P74" t="s">
        <v>174</v>
      </c>
      <c r="Q74" s="242">
        <v>45888</v>
      </c>
      <c r="R74" t="s">
        <v>1628</v>
      </c>
      <c r="S74" t="s">
        <v>1497</v>
      </c>
      <c r="T74" s="3">
        <v>25670</v>
      </c>
      <c r="U74" s="233">
        <v>35.700000000000003</v>
      </c>
      <c r="V74" s="3">
        <f t="shared" si="13"/>
        <v>916419.00000000012</v>
      </c>
      <c r="W74" s="3">
        <v>-4641</v>
      </c>
      <c r="X74" s="3">
        <f t="shared" si="14"/>
        <v>911778.00000000012</v>
      </c>
      <c r="Y74" s="1">
        <f>_xlfn.XLOOKUP(R74,'Details PC'!AA:AA,'Details PC'!AI:AI)-X74</f>
        <v>0</v>
      </c>
      <c r="AA74" t="s">
        <v>174</v>
      </c>
      <c r="AB74" t="str">
        <f t="shared" si="17"/>
        <v>Sep-25</v>
      </c>
      <c r="AC74" s="242">
        <v>45901</v>
      </c>
      <c r="AE74" t="s">
        <v>330</v>
      </c>
      <c r="AG74" t="s">
        <v>1113</v>
      </c>
      <c r="AI74" t="s">
        <v>1663</v>
      </c>
      <c r="AN74" s="3">
        <v>1</v>
      </c>
      <c r="AO74" s="3">
        <v>96096</v>
      </c>
      <c r="AP74" s="3">
        <f t="shared" si="15"/>
        <v>96096</v>
      </c>
      <c r="AQ74" s="3">
        <v>0</v>
      </c>
      <c r="AR74" s="3">
        <f t="shared" si="18"/>
        <v>96096</v>
      </c>
    </row>
    <row r="75" spans="2:44" x14ac:dyDescent="0.3">
      <c r="B75" t="s">
        <v>2743</v>
      </c>
      <c r="C75" t="s">
        <v>174</v>
      </c>
      <c r="D75" t="str">
        <f t="shared" si="16"/>
        <v>Jun-25</v>
      </c>
      <c r="E75" s="242">
        <v>45820</v>
      </c>
      <c r="F75" t="s">
        <v>448</v>
      </c>
      <c r="G75" t="s">
        <v>250</v>
      </c>
      <c r="H75" s="233">
        <v>7590</v>
      </c>
      <c r="I75" s="233">
        <v>36.5</v>
      </c>
      <c r="J75" s="241">
        <f t="shared" si="11"/>
        <v>277035</v>
      </c>
      <c r="K75" s="3">
        <v>0</v>
      </c>
      <c r="L75" s="3">
        <f t="shared" si="12"/>
        <v>277035</v>
      </c>
      <c r="M75" s="3"/>
      <c r="N75" t="s">
        <v>1624</v>
      </c>
      <c r="O75" s="240" t="s">
        <v>226</v>
      </c>
      <c r="P75" t="s">
        <v>174</v>
      </c>
      <c r="Q75" s="242">
        <v>45890</v>
      </c>
      <c r="R75" t="s">
        <v>1629</v>
      </c>
      <c r="S75" t="s">
        <v>250</v>
      </c>
      <c r="T75" s="3">
        <v>4210</v>
      </c>
      <c r="U75" s="233">
        <v>28</v>
      </c>
      <c r="V75" s="3">
        <f t="shared" si="13"/>
        <v>117880</v>
      </c>
      <c r="W75" s="3">
        <v>0</v>
      </c>
      <c r="X75" s="3">
        <f t="shared" si="14"/>
        <v>117880</v>
      </c>
      <c r="Y75" s="1">
        <f>_xlfn.XLOOKUP(R75,'Details PC'!AA:AA,'Details PC'!AI:AI)-X75</f>
        <v>0</v>
      </c>
      <c r="AA75" t="s">
        <v>174</v>
      </c>
      <c r="AB75" t="str">
        <f t="shared" si="17"/>
        <v>Sep-25</v>
      </c>
      <c r="AC75" s="242">
        <v>45901</v>
      </c>
      <c r="AE75" t="s">
        <v>250</v>
      </c>
      <c r="AG75" t="s">
        <v>1661</v>
      </c>
      <c r="AI75" t="s">
        <v>1664</v>
      </c>
      <c r="AN75" s="3">
        <v>1</v>
      </c>
      <c r="AO75" s="3">
        <v>54751</v>
      </c>
      <c r="AP75" s="3">
        <f t="shared" si="15"/>
        <v>54751</v>
      </c>
      <c r="AQ75" s="3">
        <v>0</v>
      </c>
      <c r="AR75" s="3">
        <f t="shared" si="18"/>
        <v>54751</v>
      </c>
    </row>
    <row r="76" spans="2:44" x14ac:dyDescent="0.3">
      <c r="B76" t="s">
        <v>2743</v>
      </c>
      <c r="C76" t="s">
        <v>174</v>
      </c>
      <c r="D76" t="str">
        <f t="shared" si="16"/>
        <v>Jun-25</v>
      </c>
      <c r="E76" s="242">
        <v>45820</v>
      </c>
      <c r="F76" t="s">
        <v>443</v>
      </c>
      <c r="G76" t="s">
        <v>250</v>
      </c>
      <c r="H76">
        <v>6360</v>
      </c>
      <c r="I76">
        <v>36.5</v>
      </c>
      <c r="J76" s="241">
        <f t="shared" si="11"/>
        <v>232140</v>
      </c>
      <c r="K76" s="3">
        <v>0</v>
      </c>
      <c r="L76" s="3">
        <f t="shared" si="12"/>
        <v>232140</v>
      </c>
      <c r="M76" s="3"/>
      <c r="N76" t="s">
        <v>1625</v>
      </c>
      <c r="O76" s="240" t="s">
        <v>226</v>
      </c>
      <c r="P76" t="s">
        <v>174</v>
      </c>
      <c r="Q76" s="242">
        <v>45890</v>
      </c>
      <c r="R76" t="s">
        <v>1630</v>
      </c>
      <c r="S76" t="s">
        <v>250</v>
      </c>
      <c r="T76" s="3">
        <v>4300</v>
      </c>
      <c r="U76" s="233">
        <v>28</v>
      </c>
      <c r="V76" s="3">
        <f t="shared" si="13"/>
        <v>120400</v>
      </c>
      <c r="W76" s="3">
        <v>0</v>
      </c>
      <c r="X76" s="3">
        <f t="shared" si="14"/>
        <v>120400</v>
      </c>
      <c r="Y76" s="1">
        <f>_xlfn.XLOOKUP(R76,'Details PC'!AA:AA,'Details PC'!AI:AI)-X76</f>
        <v>0</v>
      </c>
      <c r="AA76" t="s">
        <v>174</v>
      </c>
      <c r="AB76" t="str">
        <f t="shared" si="17"/>
        <v>Sep-25</v>
      </c>
      <c r="AC76" s="242">
        <v>45911</v>
      </c>
      <c r="AE76" t="s">
        <v>1433</v>
      </c>
      <c r="AG76" t="s">
        <v>1702</v>
      </c>
      <c r="AI76" t="s">
        <v>1703</v>
      </c>
      <c r="AN76" s="3">
        <v>1</v>
      </c>
      <c r="AO76" s="3">
        <v>261758.5</v>
      </c>
      <c r="AP76" s="3">
        <f t="shared" si="15"/>
        <v>261758.5</v>
      </c>
      <c r="AQ76" s="3">
        <v>0</v>
      </c>
      <c r="AR76" s="3">
        <f t="shared" si="18"/>
        <v>261758.5</v>
      </c>
    </row>
    <row r="77" spans="2:44" x14ac:dyDescent="0.3">
      <c r="B77" t="s">
        <v>2743</v>
      </c>
      <c r="C77" t="s">
        <v>174</v>
      </c>
      <c r="D77" t="str">
        <f t="shared" si="16"/>
        <v>Jun-25</v>
      </c>
      <c r="E77" s="242">
        <v>45820</v>
      </c>
      <c r="F77" t="s">
        <v>444</v>
      </c>
      <c r="G77" t="s">
        <v>250</v>
      </c>
      <c r="H77" s="233">
        <v>8960</v>
      </c>
      <c r="I77" s="233">
        <v>36.5</v>
      </c>
      <c r="J77" s="241">
        <f t="shared" si="11"/>
        <v>327040</v>
      </c>
      <c r="K77" s="3">
        <v>0</v>
      </c>
      <c r="L77" s="3">
        <f t="shared" si="12"/>
        <v>327040</v>
      </c>
      <c r="M77" s="3"/>
      <c r="N77" t="s">
        <v>1626</v>
      </c>
      <c r="O77" s="240" t="s">
        <v>226</v>
      </c>
      <c r="P77" t="s">
        <v>174</v>
      </c>
      <c r="Q77" s="242">
        <v>45890</v>
      </c>
      <c r="R77" t="s">
        <v>1631</v>
      </c>
      <c r="S77" t="s">
        <v>250</v>
      </c>
      <c r="T77" s="3">
        <v>4030</v>
      </c>
      <c r="U77" s="233">
        <v>28</v>
      </c>
      <c r="V77" s="3">
        <f t="shared" si="13"/>
        <v>112840</v>
      </c>
      <c r="W77" s="3">
        <v>0</v>
      </c>
      <c r="X77" s="3">
        <f t="shared" si="14"/>
        <v>112840</v>
      </c>
      <c r="Y77" s="1">
        <f>_xlfn.XLOOKUP(R77,'Details PC'!AA:AA,'Details PC'!AI:AI)-X77</f>
        <v>0</v>
      </c>
      <c r="AA77" t="s">
        <v>174</v>
      </c>
      <c r="AB77" t="str">
        <f t="shared" si="17"/>
        <v>Sep-25</v>
      </c>
      <c r="AC77" s="242">
        <v>45916</v>
      </c>
      <c r="AE77" t="s">
        <v>330</v>
      </c>
      <c r="AG77" t="s">
        <v>1114</v>
      </c>
      <c r="AI77" t="s">
        <v>1838</v>
      </c>
      <c r="AN77" s="3">
        <v>1</v>
      </c>
      <c r="AO77" s="3">
        <v>55000</v>
      </c>
      <c r="AP77" s="3">
        <f t="shared" si="15"/>
        <v>55000</v>
      </c>
      <c r="AQ77" s="3">
        <v>0</v>
      </c>
      <c r="AR77" s="3">
        <f t="shared" si="18"/>
        <v>55000</v>
      </c>
    </row>
    <row r="78" spans="2:44" x14ac:dyDescent="0.3">
      <c r="B78" t="s">
        <v>2743</v>
      </c>
      <c r="C78" t="s">
        <v>174</v>
      </c>
      <c r="D78" t="str">
        <f t="shared" si="16"/>
        <v>Jun-25</v>
      </c>
      <c r="E78" s="242">
        <v>45820</v>
      </c>
      <c r="F78" t="s">
        <v>449</v>
      </c>
      <c r="G78" t="s">
        <v>253</v>
      </c>
      <c r="H78" s="233">
        <v>2870</v>
      </c>
      <c r="I78" s="233">
        <v>31.120999999999999</v>
      </c>
      <c r="J78" s="241">
        <f t="shared" si="11"/>
        <v>89317.26999999999</v>
      </c>
      <c r="K78" s="3">
        <v>0</v>
      </c>
      <c r="L78" s="3">
        <f t="shared" si="12"/>
        <v>89317.26999999999</v>
      </c>
      <c r="M78" s="3"/>
      <c r="N78" t="s">
        <v>1627</v>
      </c>
      <c r="O78" s="240" t="s">
        <v>226</v>
      </c>
      <c r="P78" t="s">
        <v>174</v>
      </c>
      <c r="Q78" s="242">
        <v>45890</v>
      </c>
      <c r="R78" t="s">
        <v>1632</v>
      </c>
      <c r="S78" t="s">
        <v>250</v>
      </c>
      <c r="T78" s="3">
        <v>6070</v>
      </c>
      <c r="U78" s="233">
        <v>28</v>
      </c>
      <c r="V78" s="3">
        <f t="shared" si="13"/>
        <v>169960</v>
      </c>
      <c r="W78" s="3">
        <v>0</v>
      </c>
      <c r="X78" s="3">
        <f t="shared" si="14"/>
        <v>169960</v>
      </c>
      <c r="Y78" s="1">
        <f>_xlfn.XLOOKUP(R78,'Details PC'!AA:AA,'Details PC'!AI:AI)-X78</f>
        <v>0</v>
      </c>
      <c r="AA78" t="s">
        <v>174</v>
      </c>
      <c r="AB78" t="str">
        <f t="shared" si="17"/>
        <v>Sep-25</v>
      </c>
      <c r="AC78" s="242">
        <v>45916</v>
      </c>
      <c r="AE78" t="s">
        <v>330</v>
      </c>
      <c r="AG78" t="s">
        <v>1836</v>
      </c>
      <c r="AI78" t="s">
        <v>1839</v>
      </c>
      <c r="AN78" s="3">
        <v>1</v>
      </c>
      <c r="AO78" s="3">
        <v>75439</v>
      </c>
      <c r="AP78" s="3">
        <f t="shared" si="15"/>
        <v>75439</v>
      </c>
      <c r="AQ78" s="3">
        <v>0</v>
      </c>
      <c r="AR78" s="3">
        <f t="shared" si="18"/>
        <v>75439</v>
      </c>
    </row>
    <row r="79" spans="2:44" x14ac:dyDescent="0.3">
      <c r="B79" t="s">
        <v>2743</v>
      </c>
      <c r="C79" t="s">
        <v>174</v>
      </c>
      <c r="D79" t="str">
        <f t="shared" si="16"/>
        <v>Jun-25</v>
      </c>
      <c r="E79" s="242">
        <v>45820</v>
      </c>
      <c r="F79" t="s">
        <v>438</v>
      </c>
      <c r="G79" t="s">
        <v>406</v>
      </c>
      <c r="H79" s="3">
        <v>9310</v>
      </c>
      <c r="I79" s="233">
        <v>34.200000000000003</v>
      </c>
      <c r="J79" s="241">
        <f t="shared" si="11"/>
        <v>318402</v>
      </c>
      <c r="K79" s="3">
        <v>0</v>
      </c>
      <c r="L79" s="3">
        <f t="shared" si="12"/>
        <v>318402</v>
      </c>
      <c r="M79" s="3"/>
      <c r="N79" t="s">
        <v>1645</v>
      </c>
      <c r="O79" s="240" t="s">
        <v>226</v>
      </c>
      <c r="P79" t="s">
        <v>174</v>
      </c>
      <c r="Q79" s="242">
        <v>45892</v>
      </c>
      <c r="R79" t="s">
        <v>1649</v>
      </c>
      <c r="S79" t="s">
        <v>250</v>
      </c>
      <c r="T79" s="3">
        <v>3290</v>
      </c>
      <c r="U79" s="233">
        <v>28</v>
      </c>
      <c r="V79" s="3">
        <f t="shared" si="13"/>
        <v>92120</v>
      </c>
      <c r="W79" s="3">
        <v>0</v>
      </c>
      <c r="X79" s="3">
        <f t="shared" si="14"/>
        <v>92120</v>
      </c>
      <c r="Y79" s="1">
        <f>_xlfn.XLOOKUP(R79,'Details PC'!AA:AA,'Details PC'!AI:AI)-X79</f>
        <v>0</v>
      </c>
      <c r="AA79" t="s">
        <v>174</v>
      </c>
      <c r="AB79" t="str">
        <f t="shared" si="17"/>
        <v>Sep-25</v>
      </c>
      <c r="AC79" s="242">
        <v>45916</v>
      </c>
      <c r="AE79" t="s">
        <v>330</v>
      </c>
      <c r="AG79" t="s">
        <v>1837</v>
      </c>
      <c r="AI79" t="s">
        <v>1840</v>
      </c>
      <c r="AN79" s="3">
        <v>1</v>
      </c>
      <c r="AO79" s="3">
        <v>40000</v>
      </c>
      <c r="AP79" s="3">
        <f t="shared" si="15"/>
        <v>40000</v>
      </c>
      <c r="AQ79" s="3">
        <v>0</v>
      </c>
      <c r="AR79" s="3">
        <f t="shared" si="18"/>
        <v>40000</v>
      </c>
    </row>
    <row r="80" spans="2:44" x14ac:dyDescent="0.3">
      <c r="B80" t="s">
        <v>2743</v>
      </c>
      <c r="C80" t="s">
        <v>174</v>
      </c>
      <c r="D80" t="str">
        <f t="shared" si="16"/>
        <v>Jun-25</v>
      </c>
      <c r="E80" s="242">
        <v>45820</v>
      </c>
      <c r="F80" t="s">
        <v>450</v>
      </c>
      <c r="G80" t="s">
        <v>406</v>
      </c>
      <c r="H80" s="233">
        <v>6550</v>
      </c>
      <c r="I80" s="233">
        <v>34.200000000000003</v>
      </c>
      <c r="J80" s="241">
        <f t="shared" si="11"/>
        <v>224010.00000000003</v>
      </c>
      <c r="K80" s="3">
        <v>0</v>
      </c>
      <c r="L80" s="3">
        <f t="shared" si="12"/>
        <v>224010.00000000003</v>
      </c>
      <c r="M80" s="3"/>
      <c r="N80" t="s">
        <v>1646</v>
      </c>
      <c r="O80" s="240" t="s">
        <v>226</v>
      </c>
      <c r="P80" t="s">
        <v>174</v>
      </c>
      <c r="Q80" s="242">
        <v>45892</v>
      </c>
      <c r="R80" t="s">
        <v>1650</v>
      </c>
      <c r="S80" t="s">
        <v>250</v>
      </c>
      <c r="T80" s="3">
        <v>3280</v>
      </c>
      <c r="U80" s="233">
        <v>28</v>
      </c>
      <c r="V80" s="3">
        <f t="shared" si="13"/>
        <v>91840</v>
      </c>
      <c r="W80" s="3">
        <v>0</v>
      </c>
      <c r="X80" s="3">
        <f t="shared" si="14"/>
        <v>91840</v>
      </c>
      <c r="Y80" s="1">
        <f>_xlfn.XLOOKUP(R80,'Details PC'!AA:AA,'Details PC'!AI:AI)-X80</f>
        <v>0</v>
      </c>
      <c r="AA80" t="s">
        <v>174</v>
      </c>
      <c r="AB80" t="str">
        <f t="shared" si="17"/>
        <v>Sep-25</v>
      </c>
      <c r="AC80" s="242">
        <v>45916</v>
      </c>
      <c r="AE80" t="s">
        <v>330</v>
      </c>
      <c r="AG80" t="s">
        <v>1837</v>
      </c>
      <c r="AI80" t="s">
        <v>1840</v>
      </c>
      <c r="AN80" s="3">
        <v>1</v>
      </c>
      <c r="AO80" s="3">
        <v>52800</v>
      </c>
      <c r="AP80" s="3">
        <f t="shared" si="15"/>
        <v>52800</v>
      </c>
      <c r="AQ80" s="3">
        <v>0</v>
      </c>
      <c r="AR80" s="3">
        <f t="shared" si="18"/>
        <v>52800</v>
      </c>
    </row>
    <row r="81" spans="2:44" x14ac:dyDescent="0.3">
      <c r="B81" t="s">
        <v>2743</v>
      </c>
      <c r="C81" t="s">
        <v>174</v>
      </c>
      <c r="D81" t="str">
        <f t="shared" si="16"/>
        <v>Jun-25</v>
      </c>
      <c r="E81" s="242">
        <v>45821</v>
      </c>
      <c r="F81" t="s">
        <v>459</v>
      </c>
      <c r="G81" t="s">
        <v>406</v>
      </c>
      <c r="H81" s="233">
        <v>6540</v>
      </c>
      <c r="I81" s="233">
        <v>34.200000000000003</v>
      </c>
      <c r="J81" s="241">
        <f t="shared" si="11"/>
        <v>223668.00000000003</v>
      </c>
      <c r="K81" s="3">
        <v>0</v>
      </c>
      <c r="L81" s="3">
        <f t="shared" si="12"/>
        <v>223668.00000000003</v>
      </c>
      <c r="M81" s="3"/>
      <c r="N81" t="s">
        <v>1647</v>
      </c>
      <c r="O81" s="240" t="s">
        <v>226</v>
      </c>
      <c r="P81" t="s">
        <v>174</v>
      </c>
      <c r="Q81" s="242">
        <v>45892</v>
      </c>
      <c r="R81" t="s">
        <v>1651</v>
      </c>
      <c r="S81" t="s">
        <v>1497</v>
      </c>
      <c r="T81" s="3">
        <v>24295</v>
      </c>
      <c r="U81" s="233">
        <v>35.700000000000003</v>
      </c>
      <c r="V81" s="3">
        <f t="shared" si="13"/>
        <v>867331.50000000012</v>
      </c>
      <c r="W81" s="3">
        <v>0</v>
      </c>
      <c r="X81" s="3">
        <f t="shared" si="14"/>
        <v>867331.50000000012</v>
      </c>
      <c r="Y81" s="1">
        <f>_xlfn.XLOOKUP(R81,'Details PC'!AA:AA,'Details PC'!AI:AI)-X81</f>
        <v>0</v>
      </c>
      <c r="AA81" t="s">
        <v>174</v>
      </c>
      <c r="AB81" t="str">
        <f t="shared" si="17"/>
        <v>Sep-25</v>
      </c>
      <c r="AC81" s="242">
        <v>45926</v>
      </c>
      <c r="AE81" t="s">
        <v>330</v>
      </c>
      <c r="AG81" t="s">
        <v>1117</v>
      </c>
      <c r="AI81" t="s">
        <v>1918</v>
      </c>
      <c r="AN81" s="3">
        <v>1</v>
      </c>
      <c r="AO81" s="3">
        <v>17000</v>
      </c>
      <c r="AP81" s="3">
        <f t="shared" si="15"/>
        <v>17000</v>
      </c>
      <c r="AQ81" s="3">
        <v>0</v>
      </c>
      <c r="AR81" s="3">
        <f t="shared" si="18"/>
        <v>17000</v>
      </c>
    </row>
    <row r="82" spans="2:44" x14ac:dyDescent="0.3">
      <c r="B82" t="s">
        <v>2743</v>
      </c>
      <c r="C82" t="s">
        <v>174</v>
      </c>
      <c r="D82" t="str">
        <f t="shared" si="16"/>
        <v>Jun-25</v>
      </c>
      <c r="E82" s="242">
        <v>45821</v>
      </c>
      <c r="F82" t="s">
        <v>457</v>
      </c>
      <c r="G82" t="s">
        <v>406</v>
      </c>
      <c r="H82" s="233">
        <v>6285</v>
      </c>
      <c r="I82" s="233">
        <v>34.200000000000003</v>
      </c>
      <c r="J82" s="241">
        <f t="shared" si="11"/>
        <v>214947.00000000003</v>
      </c>
      <c r="K82" s="3">
        <v>0</v>
      </c>
      <c r="L82" s="3">
        <f t="shared" si="12"/>
        <v>214947.00000000003</v>
      </c>
      <c r="M82" s="3"/>
      <c r="N82" t="s">
        <v>1648</v>
      </c>
      <c r="O82" s="240" t="s">
        <v>226</v>
      </c>
      <c r="P82" t="s">
        <v>174</v>
      </c>
      <c r="Q82" s="242">
        <v>45892</v>
      </c>
      <c r="R82" t="s">
        <v>1652</v>
      </c>
      <c r="S82" t="s">
        <v>250</v>
      </c>
      <c r="T82" s="3">
        <v>2890</v>
      </c>
      <c r="U82" s="233">
        <v>28</v>
      </c>
      <c r="V82" s="3">
        <f t="shared" si="13"/>
        <v>80920</v>
      </c>
      <c r="W82" s="3">
        <v>0</v>
      </c>
      <c r="X82" s="3">
        <f t="shared" si="14"/>
        <v>80920</v>
      </c>
      <c r="Y82" s="1">
        <f>_xlfn.XLOOKUP(R82,'Details PC'!AA:AA,'Details PC'!AI:AI)-X82</f>
        <v>0</v>
      </c>
      <c r="AA82" t="s">
        <v>174</v>
      </c>
      <c r="AB82" t="str">
        <f t="shared" si="17"/>
        <v>Sep-25</v>
      </c>
      <c r="AC82" s="242">
        <v>45926</v>
      </c>
      <c r="AE82" t="s">
        <v>330</v>
      </c>
      <c r="AG82" t="s">
        <v>1917</v>
      </c>
      <c r="AI82" t="s">
        <v>1919</v>
      </c>
      <c r="AN82" s="3">
        <v>1</v>
      </c>
      <c r="AO82" s="3">
        <v>58210</v>
      </c>
      <c r="AP82" s="3">
        <f t="shared" si="15"/>
        <v>58210</v>
      </c>
      <c r="AQ82" s="3">
        <v>0</v>
      </c>
      <c r="AR82" s="3">
        <f t="shared" si="18"/>
        <v>58210</v>
      </c>
    </row>
    <row r="83" spans="2:44" x14ac:dyDescent="0.3">
      <c r="B83" t="s">
        <v>1365</v>
      </c>
      <c r="C83" t="s">
        <v>174</v>
      </c>
      <c r="D83" t="str">
        <f t="shared" si="16"/>
        <v>Jun-25</v>
      </c>
      <c r="E83" s="242">
        <v>45821</v>
      </c>
      <c r="G83" t="s">
        <v>462</v>
      </c>
      <c r="H83" s="233">
        <v>19</v>
      </c>
      <c r="I83" s="233">
        <v>190</v>
      </c>
      <c r="J83" s="241">
        <f t="shared" si="11"/>
        <v>3610</v>
      </c>
      <c r="K83" s="3">
        <v>0</v>
      </c>
      <c r="L83" s="3">
        <f t="shared" si="12"/>
        <v>3610</v>
      </c>
      <c r="M83" s="3"/>
      <c r="N83" t="s">
        <v>1657</v>
      </c>
      <c r="O83" s="240" t="s">
        <v>226</v>
      </c>
      <c r="P83" t="s">
        <v>174</v>
      </c>
      <c r="Q83" s="242">
        <v>45895</v>
      </c>
      <c r="R83" t="s">
        <v>1654</v>
      </c>
      <c r="S83" t="s">
        <v>1465</v>
      </c>
      <c r="T83" s="3">
        <v>23490</v>
      </c>
      <c r="U83" s="233">
        <v>33.75</v>
      </c>
      <c r="V83" s="3">
        <f t="shared" si="13"/>
        <v>792787.5</v>
      </c>
      <c r="W83" s="3">
        <v>0</v>
      </c>
      <c r="X83" s="3">
        <f t="shared" si="14"/>
        <v>792787.5</v>
      </c>
      <c r="Y83" s="1">
        <f>_xlfn.XLOOKUP(R83,'Details PC'!AA:AA,'Details PC'!AI:AI)-X83</f>
        <v>0</v>
      </c>
      <c r="AA83" t="s">
        <v>174</v>
      </c>
      <c r="AB83" t="str">
        <f t="shared" si="17"/>
        <v>Oct-25</v>
      </c>
      <c r="AC83" s="242">
        <v>45931</v>
      </c>
      <c r="AD83" t="s">
        <v>329</v>
      </c>
      <c r="AE83" t="s">
        <v>1433</v>
      </c>
      <c r="AG83" t="s">
        <v>1972</v>
      </c>
      <c r="AI83" s="3" t="s">
        <v>1973</v>
      </c>
      <c r="AJ83" s="331"/>
      <c r="AK83" s="3"/>
      <c r="AL83" s="3"/>
      <c r="AM83" s="3"/>
      <c r="AN83" s="3">
        <v>1</v>
      </c>
      <c r="AO83" s="3">
        <v>392128.75</v>
      </c>
      <c r="AP83" s="3">
        <f t="shared" si="15"/>
        <v>392128.75</v>
      </c>
      <c r="AQ83" s="3">
        <v>0</v>
      </c>
      <c r="AR83" s="3">
        <f t="shared" si="18"/>
        <v>392128.75</v>
      </c>
    </row>
    <row r="84" spans="2:44" x14ac:dyDescent="0.3">
      <c r="B84" t="s">
        <v>1365</v>
      </c>
      <c r="C84" t="s">
        <v>174</v>
      </c>
      <c r="D84" t="str">
        <f t="shared" si="16"/>
        <v>Jun-25</v>
      </c>
      <c r="E84" s="242">
        <v>45821</v>
      </c>
      <c r="G84" t="s">
        <v>462</v>
      </c>
      <c r="H84" s="233">
        <v>1</v>
      </c>
      <c r="I84" s="233">
        <v>1850</v>
      </c>
      <c r="J84" s="241">
        <f t="shared" si="11"/>
        <v>1850</v>
      </c>
      <c r="K84" s="3">
        <v>0</v>
      </c>
      <c r="L84" s="3">
        <f t="shared" si="12"/>
        <v>1850</v>
      </c>
      <c r="M84" s="3"/>
      <c r="N84" t="s">
        <v>1658</v>
      </c>
      <c r="O84" s="240" t="s">
        <v>226</v>
      </c>
      <c r="P84" t="s">
        <v>174</v>
      </c>
      <c r="Q84" s="242">
        <v>45895</v>
      </c>
      <c r="R84" t="s">
        <v>1655</v>
      </c>
      <c r="S84" t="s">
        <v>250</v>
      </c>
      <c r="T84" s="3">
        <v>2870</v>
      </c>
      <c r="U84" s="233">
        <v>90</v>
      </c>
      <c r="V84" s="3">
        <f t="shared" si="13"/>
        <v>258300</v>
      </c>
      <c r="W84" s="3">
        <v>0</v>
      </c>
      <c r="X84" s="3">
        <f t="shared" si="14"/>
        <v>258300</v>
      </c>
      <c r="Y84" s="1">
        <f>_xlfn.XLOOKUP(R84,'Details PC'!AA:AA,'Details PC'!AI:AI)-X84</f>
        <v>0</v>
      </c>
      <c r="AA84" t="s">
        <v>174</v>
      </c>
      <c r="AB84" t="str">
        <f t="shared" si="17"/>
        <v>Oct-25</v>
      </c>
      <c r="AC84" s="242">
        <v>45931</v>
      </c>
      <c r="AD84" t="s">
        <v>329</v>
      </c>
      <c r="AE84" t="s">
        <v>1433</v>
      </c>
      <c r="AG84" t="s">
        <v>1974</v>
      </c>
      <c r="AI84" s="3" t="s">
        <v>1975</v>
      </c>
      <c r="AJ84" s="331"/>
      <c r="AK84" s="3"/>
      <c r="AL84" s="3"/>
      <c r="AM84" s="3"/>
      <c r="AN84" s="3">
        <v>1</v>
      </c>
      <c r="AO84" s="3">
        <v>296282.75</v>
      </c>
      <c r="AP84" s="3">
        <f t="shared" si="15"/>
        <v>296282.75</v>
      </c>
      <c r="AQ84" s="3">
        <v>0</v>
      </c>
      <c r="AR84" s="3">
        <f t="shared" si="18"/>
        <v>296282.75</v>
      </c>
    </row>
    <row r="85" spans="2:44" x14ac:dyDescent="0.3">
      <c r="B85" t="s">
        <v>2743</v>
      </c>
      <c r="C85" t="s">
        <v>174</v>
      </c>
      <c r="D85" t="str">
        <f t="shared" si="16"/>
        <v>Jun-25</v>
      </c>
      <c r="E85" s="242">
        <v>45822</v>
      </c>
      <c r="F85" t="s">
        <v>458</v>
      </c>
      <c r="G85" t="s">
        <v>406</v>
      </c>
      <c r="H85" s="233">
        <v>7805</v>
      </c>
      <c r="I85" s="233">
        <v>34.200000000000003</v>
      </c>
      <c r="J85" s="241">
        <f t="shared" si="11"/>
        <v>266931</v>
      </c>
      <c r="K85" s="3">
        <v>0</v>
      </c>
      <c r="L85" s="3">
        <f t="shared" si="12"/>
        <v>266931</v>
      </c>
      <c r="M85" s="3"/>
      <c r="N85" t="s">
        <v>1659</v>
      </c>
      <c r="O85" s="240" t="s">
        <v>226</v>
      </c>
      <c r="P85" t="s">
        <v>174</v>
      </c>
      <c r="Q85" s="242">
        <v>45896</v>
      </c>
      <c r="R85" t="s">
        <v>1656</v>
      </c>
      <c r="S85" t="s">
        <v>1465</v>
      </c>
      <c r="T85" s="3">
        <v>21510</v>
      </c>
      <c r="U85" s="233">
        <v>33.75</v>
      </c>
      <c r="V85" s="3">
        <f t="shared" si="13"/>
        <v>725962.5</v>
      </c>
      <c r="W85" s="3">
        <v>0</v>
      </c>
      <c r="X85" s="3">
        <f t="shared" si="14"/>
        <v>725962.5</v>
      </c>
      <c r="Y85" s="1">
        <f>_xlfn.XLOOKUP(R85,'Details PC'!AA:AA,'Details PC'!AI:AI)-X85</f>
        <v>0</v>
      </c>
      <c r="AA85" t="s">
        <v>174</v>
      </c>
      <c r="AB85" t="str">
        <f t="shared" si="17"/>
        <v>Oct-25</v>
      </c>
      <c r="AC85" s="242">
        <v>45943</v>
      </c>
      <c r="AE85" t="s">
        <v>250</v>
      </c>
      <c r="AG85" t="s">
        <v>2130</v>
      </c>
      <c r="AI85" t="s">
        <v>2134</v>
      </c>
      <c r="AN85" s="3">
        <v>1</v>
      </c>
      <c r="AO85" s="3">
        <v>286838</v>
      </c>
      <c r="AP85" s="3">
        <f t="shared" si="15"/>
        <v>286838</v>
      </c>
      <c r="AQ85" s="3">
        <v>0</v>
      </c>
      <c r="AR85" s="3">
        <f t="shared" si="18"/>
        <v>286838</v>
      </c>
    </row>
    <row r="86" spans="2:44" x14ac:dyDescent="0.3">
      <c r="B86" t="s">
        <v>2743</v>
      </c>
      <c r="C86" t="s">
        <v>174</v>
      </c>
      <c r="D86" t="str">
        <f t="shared" si="16"/>
        <v>Jun-25</v>
      </c>
      <c r="E86" s="242">
        <v>45823</v>
      </c>
      <c r="F86" t="s">
        <v>461</v>
      </c>
      <c r="G86" t="s">
        <v>400</v>
      </c>
      <c r="H86" s="233">
        <v>31700</v>
      </c>
      <c r="I86" s="233">
        <v>34.299999999999997</v>
      </c>
      <c r="J86" s="241">
        <f t="shared" si="11"/>
        <v>1087310</v>
      </c>
      <c r="K86" s="3">
        <v>0</v>
      </c>
      <c r="L86" s="3">
        <f t="shared" si="12"/>
        <v>1087310</v>
      </c>
      <c r="M86" s="3"/>
      <c r="N86" t="s">
        <v>1682</v>
      </c>
      <c r="O86" s="240" t="s">
        <v>226</v>
      </c>
      <c r="P86" t="s">
        <v>174</v>
      </c>
      <c r="Q86" s="242">
        <v>45906</v>
      </c>
      <c r="R86" t="s">
        <v>1685</v>
      </c>
      <c r="S86" t="s">
        <v>1497</v>
      </c>
      <c r="T86" s="3">
        <v>30730</v>
      </c>
      <c r="U86" s="233">
        <v>35.9</v>
      </c>
      <c r="V86" s="3">
        <f t="shared" si="13"/>
        <v>1103207</v>
      </c>
      <c r="W86" s="3">
        <v>-2458</v>
      </c>
      <c r="X86" s="3">
        <f t="shared" si="14"/>
        <v>1100749</v>
      </c>
      <c r="Y86" s="1">
        <f>_xlfn.XLOOKUP(R86,'Details PC'!AA:AA,'Details PC'!AI:AI)-X86</f>
        <v>0</v>
      </c>
      <c r="AA86" t="s">
        <v>174</v>
      </c>
      <c r="AB86" t="str">
        <f t="shared" si="17"/>
        <v>Oct-25</v>
      </c>
      <c r="AC86" s="242">
        <v>45943</v>
      </c>
      <c r="AE86" t="s">
        <v>330</v>
      </c>
      <c r="AG86" t="s">
        <v>2131</v>
      </c>
      <c r="AI86" t="s">
        <v>2135</v>
      </c>
      <c r="AN86" s="3">
        <v>1</v>
      </c>
      <c r="AO86" s="3">
        <v>38570</v>
      </c>
      <c r="AP86" s="3">
        <f t="shared" si="15"/>
        <v>38570</v>
      </c>
      <c r="AQ86" s="3">
        <v>0</v>
      </c>
      <c r="AR86" s="3">
        <f t="shared" si="18"/>
        <v>38570</v>
      </c>
    </row>
    <row r="87" spans="2:44" x14ac:dyDescent="0.3">
      <c r="B87" t="s">
        <v>2743</v>
      </c>
      <c r="C87" t="s">
        <v>174</v>
      </c>
      <c r="D87" t="str">
        <f t="shared" si="16"/>
        <v>Jun-25</v>
      </c>
      <c r="E87" s="242">
        <v>45823</v>
      </c>
      <c r="F87" t="s">
        <v>460</v>
      </c>
      <c r="G87" t="s">
        <v>400</v>
      </c>
      <c r="H87" s="233">
        <v>11820</v>
      </c>
      <c r="I87" s="233">
        <v>34.299999999999997</v>
      </c>
      <c r="J87" s="241">
        <f t="shared" si="11"/>
        <v>405425.99999999994</v>
      </c>
      <c r="K87" s="3">
        <v>0</v>
      </c>
      <c r="L87" s="3">
        <f t="shared" si="12"/>
        <v>405425.99999999994</v>
      </c>
      <c r="M87" s="3"/>
      <c r="N87" t="s">
        <v>1683</v>
      </c>
      <c r="O87" s="240" t="s">
        <v>226</v>
      </c>
      <c r="P87" t="s">
        <v>174</v>
      </c>
      <c r="Q87" s="242">
        <v>45907</v>
      </c>
      <c r="R87" t="s">
        <v>1686</v>
      </c>
      <c r="S87" t="s">
        <v>1497</v>
      </c>
      <c r="T87" s="3">
        <v>25060</v>
      </c>
      <c r="U87" s="233">
        <v>35.9</v>
      </c>
      <c r="V87" s="3">
        <f t="shared" si="13"/>
        <v>899654</v>
      </c>
      <c r="W87" s="3">
        <f>-1753-359</f>
        <v>-2112</v>
      </c>
      <c r="X87" s="3">
        <f t="shared" si="14"/>
        <v>897542</v>
      </c>
      <c r="Y87" s="1">
        <f>_xlfn.XLOOKUP(R87,'Details PC'!AA:AA,'Details PC'!AI:AI)-X87</f>
        <v>0</v>
      </c>
      <c r="AA87" t="s">
        <v>174</v>
      </c>
      <c r="AB87" t="str">
        <f t="shared" si="17"/>
        <v>Oct-25</v>
      </c>
      <c r="AC87" s="242">
        <v>45943</v>
      </c>
      <c r="AE87" t="s">
        <v>330</v>
      </c>
      <c r="AG87" t="s">
        <v>2132</v>
      </c>
      <c r="AI87" t="s">
        <v>2136</v>
      </c>
      <c r="AN87" s="3">
        <v>1</v>
      </c>
      <c r="AO87" s="3">
        <v>101125</v>
      </c>
      <c r="AP87" s="3">
        <f>AN87*AO87</f>
        <v>101125</v>
      </c>
      <c r="AQ87" s="3">
        <v>0</v>
      </c>
      <c r="AR87" s="3">
        <f t="shared" si="18"/>
        <v>101125</v>
      </c>
    </row>
    <row r="88" spans="2:44" x14ac:dyDescent="0.3">
      <c r="B88" t="s">
        <v>2743</v>
      </c>
      <c r="C88" t="s">
        <v>174</v>
      </c>
      <c r="D88" t="str">
        <f t="shared" si="16"/>
        <v>Jun-25</v>
      </c>
      <c r="E88" s="242">
        <v>45824</v>
      </c>
      <c r="F88" t="s">
        <v>463</v>
      </c>
      <c r="G88" t="s">
        <v>253</v>
      </c>
      <c r="H88" s="233">
        <v>2980</v>
      </c>
      <c r="I88" s="233">
        <v>31.120999999999999</v>
      </c>
      <c r="J88" s="241">
        <f t="shared" si="11"/>
        <v>92740.58</v>
      </c>
      <c r="K88" s="3">
        <v>0</v>
      </c>
      <c r="L88" s="3">
        <f t="shared" si="12"/>
        <v>92740.58</v>
      </c>
      <c r="M88" s="3"/>
      <c r="N88" t="s">
        <v>1684</v>
      </c>
      <c r="O88" s="240" t="s">
        <v>226</v>
      </c>
      <c r="P88" t="s">
        <v>174</v>
      </c>
      <c r="Q88" s="242">
        <v>45907</v>
      </c>
      <c r="R88" t="s">
        <v>1687</v>
      </c>
      <c r="S88" t="s">
        <v>1497</v>
      </c>
      <c r="T88" s="3">
        <v>30870</v>
      </c>
      <c r="U88" s="233">
        <v>35.700000000000003</v>
      </c>
      <c r="V88" s="3">
        <f t="shared" si="13"/>
        <v>1102059</v>
      </c>
      <c r="W88" s="3">
        <v>-3570</v>
      </c>
      <c r="X88" s="3">
        <f t="shared" si="14"/>
        <v>1098489</v>
      </c>
      <c r="Y88" s="1">
        <f>_xlfn.XLOOKUP(R88,'Details PC'!AA:AA,'Details PC'!AI:AI)-X88</f>
        <v>0</v>
      </c>
      <c r="AA88" t="s">
        <v>174</v>
      </c>
      <c r="AB88" t="str">
        <f t="shared" si="17"/>
        <v>Oct-25</v>
      </c>
      <c r="AC88" s="242">
        <v>45943</v>
      </c>
      <c r="AE88" t="s">
        <v>330</v>
      </c>
      <c r="AG88" t="s">
        <v>1748</v>
      </c>
      <c r="AI88" t="s">
        <v>2137</v>
      </c>
      <c r="AN88" s="3">
        <v>1</v>
      </c>
      <c r="AO88" s="3">
        <v>20000</v>
      </c>
      <c r="AP88" s="3">
        <f t="shared" ref="AP88:AP108" si="19">AN88*AO88</f>
        <v>20000</v>
      </c>
      <c r="AQ88" s="3">
        <v>0</v>
      </c>
      <c r="AR88" s="3">
        <f t="shared" si="18"/>
        <v>20000</v>
      </c>
    </row>
    <row r="89" spans="2:44" x14ac:dyDescent="0.3">
      <c r="B89" t="s">
        <v>2743</v>
      </c>
      <c r="C89" t="s">
        <v>174</v>
      </c>
      <c r="D89" t="str">
        <f t="shared" si="16"/>
        <v>Jun-25</v>
      </c>
      <c r="E89" s="242">
        <v>45824</v>
      </c>
      <c r="F89" t="s">
        <v>464</v>
      </c>
      <c r="G89" t="s">
        <v>406</v>
      </c>
      <c r="H89" s="233">
        <v>8940</v>
      </c>
      <c r="I89" s="233">
        <v>34.200000000000003</v>
      </c>
      <c r="J89" s="241">
        <f t="shared" si="11"/>
        <v>305748</v>
      </c>
      <c r="K89" s="3">
        <v>0</v>
      </c>
      <c r="L89" s="3">
        <f t="shared" si="12"/>
        <v>305748</v>
      </c>
      <c r="M89" s="3"/>
      <c r="N89" t="s">
        <v>1698</v>
      </c>
      <c r="O89" s="240" t="s">
        <v>226</v>
      </c>
      <c r="P89" t="s">
        <v>174</v>
      </c>
      <c r="Q89" s="242">
        <v>45909</v>
      </c>
      <c r="R89" t="s">
        <v>1700</v>
      </c>
      <c r="S89" t="s">
        <v>1497</v>
      </c>
      <c r="T89" s="3">
        <v>30260</v>
      </c>
      <c r="U89" s="233">
        <v>35.5</v>
      </c>
      <c r="V89" s="3">
        <f t="shared" si="13"/>
        <v>1074230</v>
      </c>
      <c r="W89" s="3">
        <v>0</v>
      </c>
      <c r="X89" s="3">
        <f t="shared" si="14"/>
        <v>1074230</v>
      </c>
      <c r="Y89" s="1">
        <f>_xlfn.XLOOKUP(R89,'Details PC'!AA:AA,'Details PC'!AI:AI)-X89</f>
        <v>0</v>
      </c>
      <c r="AA89" t="s">
        <v>174</v>
      </c>
      <c r="AB89" t="str">
        <f t="shared" si="17"/>
        <v>Oct-25</v>
      </c>
      <c r="AC89" s="242">
        <v>45943</v>
      </c>
      <c r="AE89" t="s">
        <v>330</v>
      </c>
      <c r="AG89" t="s">
        <v>1434</v>
      </c>
      <c r="AI89" t="s">
        <v>2138</v>
      </c>
      <c r="AN89" s="3">
        <v>1</v>
      </c>
      <c r="AO89" s="3">
        <v>109000</v>
      </c>
      <c r="AP89" s="3">
        <f t="shared" si="19"/>
        <v>109000</v>
      </c>
      <c r="AQ89" s="3">
        <v>0</v>
      </c>
      <c r="AR89" s="3">
        <f t="shared" si="18"/>
        <v>109000</v>
      </c>
    </row>
    <row r="90" spans="2:44" x14ac:dyDescent="0.3">
      <c r="B90" t="s">
        <v>2743</v>
      </c>
      <c r="C90" t="s">
        <v>174</v>
      </c>
      <c r="D90" t="str">
        <f t="shared" si="16"/>
        <v>Jun-25</v>
      </c>
      <c r="E90" s="242">
        <v>45824</v>
      </c>
      <c r="F90" t="s">
        <v>466</v>
      </c>
      <c r="G90" t="s">
        <v>400</v>
      </c>
      <c r="H90" s="233">
        <v>30390</v>
      </c>
      <c r="I90" s="233">
        <v>34.299999999999997</v>
      </c>
      <c r="J90" s="241">
        <f t="shared" si="11"/>
        <v>1042376.9999999999</v>
      </c>
      <c r="K90" s="3">
        <v>0</v>
      </c>
      <c r="L90" s="3">
        <f t="shared" si="12"/>
        <v>1042376.9999999999</v>
      </c>
      <c r="M90" s="3"/>
      <c r="N90" t="s">
        <v>1699</v>
      </c>
      <c r="O90" s="240" t="s">
        <v>226</v>
      </c>
      <c r="P90" t="s">
        <v>174</v>
      </c>
      <c r="Q90" s="242">
        <v>45910</v>
      </c>
      <c r="R90" t="s">
        <v>1701</v>
      </c>
      <c r="S90" t="s">
        <v>250</v>
      </c>
      <c r="T90" s="3">
        <v>31340</v>
      </c>
      <c r="U90" s="233">
        <v>28</v>
      </c>
      <c r="V90" s="3">
        <f t="shared" si="13"/>
        <v>877520</v>
      </c>
      <c r="W90" s="3">
        <v>0</v>
      </c>
      <c r="X90" s="3">
        <f t="shared" si="14"/>
        <v>877520</v>
      </c>
      <c r="Y90" s="1">
        <f>_xlfn.XLOOKUP(R90,'Details PC'!AA:AA,'Details PC'!AI:AI)-X90</f>
        <v>0</v>
      </c>
      <c r="AA90" t="s">
        <v>174</v>
      </c>
      <c r="AB90" t="str">
        <f t="shared" si="17"/>
        <v>Oct-25</v>
      </c>
      <c r="AC90" s="242">
        <v>45943</v>
      </c>
      <c r="AE90" t="s">
        <v>330</v>
      </c>
      <c r="AG90" t="s">
        <v>2133</v>
      </c>
      <c r="AI90" t="s">
        <v>2139</v>
      </c>
      <c r="AN90" s="3">
        <v>1</v>
      </c>
      <c r="AO90" s="3">
        <v>54394</v>
      </c>
      <c r="AP90" s="3">
        <f t="shared" si="19"/>
        <v>54394</v>
      </c>
      <c r="AQ90" s="3">
        <v>0</v>
      </c>
      <c r="AR90" s="3">
        <f t="shared" si="18"/>
        <v>54394</v>
      </c>
    </row>
    <row r="91" spans="2:44" x14ac:dyDescent="0.3">
      <c r="B91" t="s">
        <v>2743</v>
      </c>
      <c r="C91" t="s">
        <v>174</v>
      </c>
      <c r="D91" t="str">
        <f t="shared" si="16"/>
        <v>Jun-25</v>
      </c>
      <c r="E91" s="242">
        <v>45824</v>
      </c>
      <c r="F91" t="s">
        <v>465</v>
      </c>
      <c r="G91" t="s">
        <v>400</v>
      </c>
      <c r="H91" s="233">
        <v>21080</v>
      </c>
      <c r="I91" s="233">
        <v>34.299999999999997</v>
      </c>
      <c r="J91" s="241">
        <f t="shared" si="11"/>
        <v>723043.99999999988</v>
      </c>
      <c r="K91" s="3">
        <v>0</v>
      </c>
      <c r="L91" s="3">
        <f t="shared" si="12"/>
        <v>723043.99999999988</v>
      </c>
      <c r="M91" s="3"/>
      <c r="N91" t="s">
        <v>1722</v>
      </c>
      <c r="O91" s="240" t="s">
        <v>226</v>
      </c>
      <c r="P91" t="s">
        <v>174</v>
      </c>
      <c r="Q91" s="242">
        <v>45912</v>
      </c>
      <c r="R91" t="s">
        <v>1726</v>
      </c>
      <c r="S91" t="s">
        <v>1465</v>
      </c>
      <c r="T91" s="3">
        <v>24670</v>
      </c>
      <c r="U91" s="233">
        <v>35.450000000000003</v>
      </c>
      <c r="V91" s="3">
        <f t="shared" si="13"/>
        <v>874551.50000000012</v>
      </c>
      <c r="W91" s="3">
        <v>-2836</v>
      </c>
      <c r="X91" s="3">
        <f t="shared" si="14"/>
        <v>871715.50000000012</v>
      </c>
      <c r="Y91" s="1">
        <f>_xlfn.XLOOKUP(R91,'Details PC'!AA:AA,'Details PC'!AI:AI)-X91</f>
        <v>0</v>
      </c>
      <c r="AA91" t="s">
        <v>174</v>
      </c>
      <c r="AB91" t="str">
        <f t="shared" si="17"/>
        <v>Nov-25</v>
      </c>
      <c r="AC91" s="242">
        <v>45963</v>
      </c>
      <c r="AE91" t="s">
        <v>1433</v>
      </c>
      <c r="AG91" t="s">
        <v>2279</v>
      </c>
      <c r="AI91" t="s">
        <v>2281</v>
      </c>
      <c r="AN91" s="3">
        <v>1</v>
      </c>
      <c r="AO91" s="3">
        <v>318829</v>
      </c>
      <c r="AP91" s="3">
        <f t="shared" si="19"/>
        <v>318829</v>
      </c>
      <c r="AQ91" s="3">
        <v>0</v>
      </c>
      <c r="AR91" s="3">
        <f t="shared" si="18"/>
        <v>318829</v>
      </c>
    </row>
    <row r="92" spans="2:44" x14ac:dyDescent="0.3">
      <c r="B92" t="s">
        <v>2743</v>
      </c>
      <c r="C92" t="s">
        <v>174</v>
      </c>
      <c r="D92" t="str">
        <f t="shared" si="16"/>
        <v>Jun-25</v>
      </c>
      <c r="E92" s="242">
        <v>45825</v>
      </c>
      <c r="F92" t="s">
        <v>468</v>
      </c>
      <c r="G92" t="s">
        <v>406</v>
      </c>
      <c r="H92" s="233">
        <v>5360</v>
      </c>
      <c r="I92" s="233">
        <v>34.200000000000003</v>
      </c>
      <c r="J92" s="241">
        <f t="shared" si="11"/>
        <v>183312.00000000003</v>
      </c>
      <c r="K92" s="3">
        <v>0</v>
      </c>
      <c r="L92" s="3">
        <f t="shared" si="12"/>
        <v>183312.00000000003</v>
      </c>
      <c r="M92" s="3"/>
      <c r="N92" t="s">
        <v>1723</v>
      </c>
      <c r="O92" s="240" t="s">
        <v>226</v>
      </c>
      <c r="P92" t="s">
        <v>174</v>
      </c>
      <c r="Q92" s="242">
        <v>45912</v>
      </c>
      <c r="R92" t="s">
        <v>1727</v>
      </c>
      <c r="S92" t="s">
        <v>1465</v>
      </c>
      <c r="T92" s="3">
        <v>28075</v>
      </c>
      <c r="U92" s="233">
        <v>35.450000000000003</v>
      </c>
      <c r="V92" s="3">
        <f t="shared" si="13"/>
        <v>995258.75000000012</v>
      </c>
      <c r="W92" s="3">
        <v>0</v>
      </c>
      <c r="X92" s="3">
        <f t="shared" si="14"/>
        <v>995258.75000000012</v>
      </c>
      <c r="Y92" s="1">
        <f>_xlfn.XLOOKUP(R92,'Details PC'!AA:AA,'Details PC'!AI:AI)-X92</f>
        <v>0</v>
      </c>
      <c r="AA92" t="s">
        <v>174</v>
      </c>
      <c r="AB92" t="str">
        <f t="shared" si="17"/>
        <v>Nov-25</v>
      </c>
      <c r="AC92" s="242">
        <v>45963</v>
      </c>
      <c r="AE92" t="s">
        <v>1433</v>
      </c>
      <c r="AG92" t="s">
        <v>2280</v>
      </c>
      <c r="AI92" t="s">
        <v>2282</v>
      </c>
      <c r="AN92" s="3">
        <v>1</v>
      </c>
      <c r="AO92" s="3">
        <v>71222.5</v>
      </c>
      <c r="AP92" s="3">
        <f t="shared" si="19"/>
        <v>71222.5</v>
      </c>
      <c r="AQ92" s="3">
        <v>0</v>
      </c>
      <c r="AR92" s="3">
        <f t="shared" si="18"/>
        <v>71222.5</v>
      </c>
    </row>
    <row r="93" spans="2:44" x14ac:dyDescent="0.3">
      <c r="B93" t="s">
        <v>2743</v>
      </c>
      <c r="C93" t="s">
        <v>174</v>
      </c>
      <c r="D93" t="str">
        <f t="shared" si="16"/>
        <v>Jun-25</v>
      </c>
      <c r="E93" s="242">
        <v>45825</v>
      </c>
      <c r="F93" t="s">
        <v>467</v>
      </c>
      <c r="G93" t="s">
        <v>406</v>
      </c>
      <c r="H93" s="233">
        <v>4835</v>
      </c>
      <c r="I93" s="233">
        <v>34.200000000000003</v>
      </c>
      <c r="J93" s="241">
        <f t="shared" si="11"/>
        <v>165357</v>
      </c>
      <c r="K93" s="3">
        <v>0</v>
      </c>
      <c r="L93" s="3">
        <f t="shared" si="12"/>
        <v>165357</v>
      </c>
      <c r="M93" s="3"/>
      <c r="N93" t="s">
        <v>1724</v>
      </c>
      <c r="O93" s="240" t="s">
        <v>226</v>
      </c>
      <c r="P93" t="s">
        <v>174</v>
      </c>
      <c r="Q93" s="242">
        <v>45912</v>
      </c>
      <c r="R93" t="s">
        <v>1728</v>
      </c>
      <c r="S93" t="s">
        <v>1465</v>
      </c>
      <c r="T93" s="3">
        <v>28125</v>
      </c>
      <c r="U93" s="233">
        <v>35.450000000000003</v>
      </c>
      <c r="V93" s="3">
        <f t="shared" si="13"/>
        <v>997031.25000000012</v>
      </c>
      <c r="W93" s="3">
        <v>0</v>
      </c>
      <c r="X93" s="3">
        <f t="shared" si="14"/>
        <v>997031.25000000012</v>
      </c>
      <c r="Y93" s="1">
        <f>_xlfn.XLOOKUP(R93,'Details PC'!AA:AA,'Details PC'!AI:AI)-X93</f>
        <v>0</v>
      </c>
      <c r="AA93" t="s">
        <v>174</v>
      </c>
      <c r="AB93" t="str">
        <f t="shared" si="17"/>
        <v>Nov-25</v>
      </c>
      <c r="AC93" s="242">
        <v>45979</v>
      </c>
      <c r="AD93" t="s">
        <v>329</v>
      </c>
      <c r="AE93" t="s">
        <v>330</v>
      </c>
      <c r="AG93" t="s">
        <v>1082</v>
      </c>
      <c r="AI93" t="s">
        <v>2314</v>
      </c>
      <c r="AN93" s="3">
        <v>1</v>
      </c>
      <c r="AO93" s="3">
        <v>63688</v>
      </c>
      <c r="AP93" s="3">
        <f t="shared" si="19"/>
        <v>63688</v>
      </c>
      <c r="AQ93" s="3">
        <v>0</v>
      </c>
      <c r="AR93" s="3">
        <f t="shared" si="18"/>
        <v>63688</v>
      </c>
    </row>
    <row r="94" spans="2:44" x14ac:dyDescent="0.3">
      <c r="B94" t="s">
        <v>2743</v>
      </c>
      <c r="C94" t="s">
        <v>174</v>
      </c>
      <c r="D94" t="str">
        <f t="shared" si="16"/>
        <v>Jun-25</v>
      </c>
      <c r="E94" s="245">
        <v>45825</v>
      </c>
      <c r="F94" t="s">
        <v>474</v>
      </c>
      <c r="G94" t="s">
        <v>400</v>
      </c>
      <c r="H94" s="233">
        <v>15990</v>
      </c>
      <c r="I94" s="233">
        <v>34.299999999999997</v>
      </c>
      <c r="J94" s="241">
        <f t="shared" si="11"/>
        <v>548457</v>
      </c>
      <c r="K94" s="3">
        <v>0</v>
      </c>
      <c r="L94" s="3">
        <f t="shared" si="12"/>
        <v>548457</v>
      </c>
      <c r="M94" s="3"/>
      <c r="N94" t="s">
        <v>1725</v>
      </c>
      <c r="O94" s="240" t="s">
        <v>226</v>
      </c>
      <c r="P94" t="s">
        <v>174</v>
      </c>
      <c r="Q94" s="242">
        <v>45912</v>
      </c>
      <c r="R94" t="s">
        <v>1729</v>
      </c>
      <c r="S94" t="s">
        <v>1497</v>
      </c>
      <c r="T94" s="3">
        <v>24460</v>
      </c>
      <c r="U94" s="233">
        <v>35.5</v>
      </c>
      <c r="V94" s="3">
        <f t="shared" si="13"/>
        <v>868330</v>
      </c>
      <c r="W94" s="3">
        <v>0</v>
      </c>
      <c r="X94" s="3">
        <f t="shared" si="14"/>
        <v>868330</v>
      </c>
      <c r="Y94" s="1">
        <f>_xlfn.XLOOKUP(R94,'Details PC'!AA:AA,'Details PC'!AI:AI)-X94</f>
        <v>0</v>
      </c>
      <c r="AA94" t="s">
        <v>174</v>
      </c>
      <c r="AB94" t="str">
        <f t="shared" si="17"/>
        <v>Nov-25</v>
      </c>
      <c r="AC94" s="242">
        <v>45979</v>
      </c>
      <c r="AD94" t="s">
        <v>329</v>
      </c>
      <c r="AE94" t="s">
        <v>330</v>
      </c>
      <c r="AG94" t="s">
        <v>2309</v>
      </c>
      <c r="AI94" t="s">
        <v>2315</v>
      </c>
      <c r="AN94" s="3">
        <v>1</v>
      </c>
      <c r="AO94" s="3">
        <v>30205</v>
      </c>
      <c r="AP94" s="3">
        <f t="shared" si="19"/>
        <v>30205</v>
      </c>
      <c r="AQ94" s="3">
        <v>0</v>
      </c>
      <c r="AR94" s="3">
        <f t="shared" si="18"/>
        <v>30205</v>
      </c>
    </row>
    <row r="95" spans="2:44" x14ac:dyDescent="0.3">
      <c r="B95" t="s">
        <v>2743</v>
      </c>
      <c r="C95" t="s">
        <v>174</v>
      </c>
      <c r="D95" t="str">
        <f t="shared" si="16"/>
        <v>Jun-25</v>
      </c>
      <c r="E95" s="245">
        <v>45825</v>
      </c>
      <c r="F95" t="s">
        <v>475</v>
      </c>
      <c r="G95" t="s">
        <v>400</v>
      </c>
      <c r="H95" s="233">
        <v>34510</v>
      </c>
      <c r="I95" s="233">
        <v>34.299999999999997</v>
      </c>
      <c r="J95" s="241">
        <f t="shared" si="11"/>
        <v>1183693</v>
      </c>
      <c r="K95" s="3">
        <v>0</v>
      </c>
      <c r="L95" s="3">
        <f t="shared" si="12"/>
        <v>1183693</v>
      </c>
      <c r="M95" s="3"/>
      <c r="N95" t="s">
        <v>1820</v>
      </c>
      <c r="O95" s="240" t="s">
        <v>226</v>
      </c>
      <c r="P95" t="s">
        <v>174</v>
      </c>
      <c r="Q95" s="242">
        <v>45915</v>
      </c>
      <c r="R95" t="s">
        <v>1827</v>
      </c>
      <c r="S95" t="s">
        <v>1465</v>
      </c>
      <c r="T95" s="3">
        <v>31510</v>
      </c>
      <c r="U95" s="233">
        <v>35.450000000000003</v>
      </c>
      <c r="V95" s="3">
        <f t="shared" si="13"/>
        <v>1117029.5</v>
      </c>
      <c r="W95" s="3">
        <v>-4254</v>
      </c>
      <c r="X95" s="3">
        <f t="shared" si="14"/>
        <v>1112775.5</v>
      </c>
      <c r="Y95" s="1">
        <f>_xlfn.XLOOKUP(R95,'Details PC'!AA:AA,'Details PC'!AI:AI)-X95</f>
        <v>0</v>
      </c>
      <c r="AA95" t="s">
        <v>174</v>
      </c>
      <c r="AB95" t="str">
        <f t="shared" si="17"/>
        <v>Nov-25</v>
      </c>
      <c r="AC95" s="242">
        <v>45979</v>
      </c>
      <c r="AD95" t="s">
        <v>329</v>
      </c>
      <c r="AE95" t="s">
        <v>330</v>
      </c>
      <c r="AG95" t="s">
        <v>2310</v>
      </c>
      <c r="AI95" t="s">
        <v>2316</v>
      </c>
      <c r="AN95" s="3">
        <v>1</v>
      </c>
      <c r="AO95" s="3">
        <v>5000</v>
      </c>
      <c r="AP95" s="3">
        <f t="shared" si="19"/>
        <v>5000</v>
      </c>
      <c r="AQ95" s="3">
        <v>0</v>
      </c>
      <c r="AR95" s="3">
        <f t="shared" si="18"/>
        <v>5000</v>
      </c>
    </row>
    <row r="96" spans="2:44" x14ac:dyDescent="0.3">
      <c r="B96" t="s">
        <v>1365</v>
      </c>
      <c r="C96" t="s">
        <v>174</v>
      </c>
      <c r="D96" t="str">
        <f t="shared" si="16"/>
        <v>Jun-25</v>
      </c>
      <c r="E96" s="245">
        <v>45826</v>
      </c>
      <c r="F96" t="s">
        <v>329</v>
      </c>
      <c r="G96" t="s">
        <v>395</v>
      </c>
      <c r="H96" s="233">
        <v>1</v>
      </c>
      <c r="I96" s="233">
        <v>50000</v>
      </c>
      <c r="J96" s="241">
        <f t="shared" si="11"/>
        <v>50000</v>
      </c>
      <c r="K96" s="3">
        <v>0</v>
      </c>
      <c r="L96" s="3">
        <f t="shared" si="12"/>
        <v>50000</v>
      </c>
      <c r="M96" s="3"/>
      <c r="N96" t="s">
        <v>1821</v>
      </c>
      <c r="O96" s="240" t="s">
        <v>226</v>
      </c>
      <c r="P96" t="s">
        <v>174</v>
      </c>
      <c r="Q96" s="242">
        <v>45916</v>
      </c>
      <c r="R96" t="s">
        <v>1828</v>
      </c>
      <c r="S96" t="s">
        <v>1497</v>
      </c>
      <c r="T96" s="3">
        <v>23885</v>
      </c>
      <c r="U96" s="233">
        <v>35.5</v>
      </c>
      <c r="V96" s="3">
        <f t="shared" si="13"/>
        <v>847917.5</v>
      </c>
      <c r="W96" s="3">
        <v>-3727.5</v>
      </c>
      <c r="X96" s="3">
        <f t="shared" si="14"/>
        <v>844190</v>
      </c>
      <c r="Y96" s="1">
        <f>_xlfn.XLOOKUP(R96,'Details PC'!AA:AA,'Details PC'!AI:AI)-X96</f>
        <v>0</v>
      </c>
      <c r="AA96" t="s">
        <v>174</v>
      </c>
      <c r="AB96" t="str">
        <f t="shared" si="17"/>
        <v>Nov-25</v>
      </c>
      <c r="AC96" s="242">
        <v>45979</v>
      </c>
      <c r="AD96" t="s">
        <v>329</v>
      </c>
      <c r="AE96" t="s">
        <v>330</v>
      </c>
      <c r="AG96" t="s">
        <v>2311</v>
      </c>
      <c r="AI96" t="s">
        <v>2317</v>
      </c>
      <c r="AN96" s="3">
        <v>1</v>
      </c>
      <c r="AO96" s="3">
        <v>86331</v>
      </c>
      <c r="AP96" s="3">
        <f t="shared" si="19"/>
        <v>86331</v>
      </c>
      <c r="AQ96" s="3">
        <v>0</v>
      </c>
      <c r="AR96" s="3">
        <f t="shared" si="18"/>
        <v>86331</v>
      </c>
    </row>
    <row r="97" spans="2:44" x14ac:dyDescent="0.3">
      <c r="B97" t="s">
        <v>2743</v>
      </c>
      <c r="C97" t="s">
        <v>174</v>
      </c>
      <c r="D97" t="str">
        <f t="shared" si="16"/>
        <v>Jun-25</v>
      </c>
      <c r="E97" s="245">
        <v>45826</v>
      </c>
      <c r="F97" t="s">
        <v>476</v>
      </c>
      <c r="G97" t="s">
        <v>400</v>
      </c>
      <c r="H97" s="233">
        <v>29760</v>
      </c>
      <c r="I97" s="233">
        <v>34.299999999999997</v>
      </c>
      <c r="J97" s="241">
        <f t="shared" si="11"/>
        <v>1020767.9999999999</v>
      </c>
      <c r="K97" s="3">
        <v>0</v>
      </c>
      <c r="L97" s="3">
        <f t="shared" si="12"/>
        <v>1020767.9999999999</v>
      </c>
      <c r="M97" s="3"/>
      <c r="N97" t="s">
        <v>1822</v>
      </c>
      <c r="O97" s="240" t="s">
        <v>226</v>
      </c>
      <c r="P97" t="s">
        <v>174</v>
      </c>
      <c r="Q97" s="242">
        <v>45917</v>
      </c>
      <c r="R97" t="s">
        <v>1829</v>
      </c>
      <c r="S97" t="s">
        <v>1497</v>
      </c>
      <c r="T97" s="3">
        <v>25415</v>
      </c>
      <c r="U97" s="233">
        <v>35.9</v>
      </c>
      <c r="V97" s="3">
        <f t="shared" si="13"/>
        <v>912398.5</v>
      </c>
      <c r="W97" s="3">
        <v>-2692.5</v>
      </c>
      <c r="X97" s="3">
        <f t="shared" si="14"/>
        <v>909706</v>
      </c>
      <c r="Y97" s="1">
        <f>_xlfn.XLOOKUP(R97,'Details PC'!AA:AA,'Details PC'!AI:AI)-X97</f>
        <v>0</v>
      </c>
      <c r="AA97" t="s">
        <v>174</v>
      </c>
      <c r="AB97" t="str">
        <f t="shared" si="17"/>
        <v>Nov-25</v>
      </c>
      <c r="AC97" s="242">
        <v>45979</v>
      </c>
      <c r="AD97" t="s">
        <v>329</v>
      </c>
      <c r="AE97" t="s">
        <v>330</v>
      </c>
      <c r="AG97" t="s">
        <v>2312</v>
      </c>
      <c r="AI97" t="s">
        <v>2318</v>
      </c>
      <c r="AN97" s="3">
        <v>1</v>
      </c>
      <c r="AO97" s="3">
        <v>118500</v>
      </c>
      <c r="AP97" s="3">
        <f t="shared" si="19"/>
        <v>118500</v>
      </c>
      <c r="AQ97" s="3">
        <v>0</v>
      </c>
      <c r="AR97" s="3">
        <f t="shared" si="18"/>
        <v>118500</v>
      </c>
    </row>
    <row r="98" spans="2:44" x14ac:dyDescent="0.3">
      <c r="B98" t="s">
        <v>2743</v>
      </c>
      <c r="C98" t="s">
        <v>174</v>
      </c>
      <c r="D98" t="str">
        <f t="shared" si="16"/>
        <v>Jun-25</v>
      </c>
      <c r="E98" s="245">
        <v>45828</v>
      </c>
      <c r="F98" t="s">
        <v>479</v>
      </c>
      <c r="G98" t="s">
        <v>400</v>
      </c>
      <c r="H98" s="233">
        <v>16250</v>
      </c>
      <c r="I98" s="233">
        <v>34.299999999999997</v>
      </c>
      <c r="J98" s="241">
        <f t="shared" si="11"/>
        <v>557375</v>
      </c>
      <c r="K98" s="3">
        <v>0</v>
      </c>
      <c r="L98" s="3">
        <f t="shared" si="12"/>
        <v>557375</v>
      </c>
      <c r="M98" s="3"/>
      <c r="N98" t="s">
        <v>1823</v>
      </c>
      <c r="O98" s="240" t="s">
        <v>226</v>
      </c>
      <c r="P98" t="s">
        <v>174</v>
      </c>
      <c r="Q98" s="242">
        <v>45917</v>
      </c>
      <c r="R98" t="s">
        <v>1830</v>
      </c>
      <c r="S98" t="s">
        <v>1465</v>
      </c>
      <c r="T98" s="3">
        <v>24425</v>
      </c>
      <c r="U98" s="233">
        <v>35.450000000000003</v>
      </c>
      <c r="V98" s="3">
        <f t="shared" si="13"/>
        <v>865866.25000000012</v>
      </c>
      <c r="W98" s="3">
        <v>-3367.75</v>
      </c>
      <c r="X98" s="3">
        <f t="shared" si="14"/>
        <v>862498.50000000012</v>
      </c>
      <c r="Y98" s="1">
        <f>_xlfn.XLOOKUP(R98,'Details PC'!AA:AA,'Details PC'!AI:AI)-X98</f>
        <v>0</v>
      </c>
      <c r="AA98" t="s">
        <v>174</v>
      </c>
      <c r="AB98" t="str">
        <f t="shared" si="17"/>
        <v>Nov-25</v>
      </c>
      <c r="AC98" s="242">
        <v>45979</v>
      </c>
      <c r="AD98" t="s">
        <v>329</v>
      </c>
      <c r="AE98" t="s">
        <v>330</v>
      </c>
      <c r="AG98" t="s">
        <v>2313</v>
      </c>
      <c r="AI98" t="s">
        <v>2319</v>
      </c>
      <c r="AN98" s="3">
        <v>1</v>
      </c>
      <c r="AO98" s="3">
        <v>28555</v>
      </c>
      <c r="AP98" s="3">
        <f t="shared" si="19"/>
        <v>28555</v>
      </c>
      <c r="AQ98" s="3">
        <v>0</v>
      </c>
      <c r="AR98" s="3">
        <f t="shared" si="18"/>
        <v>28555</v>
      </c>
    </row>
    <row r="99" spans="2:44" x14ac:dyDescent="0.3">
      <c r="B99" t="s">
        <v>2743</v>
      </c>
      <c r="C99" t="s">
        <v>174</v>
      </c>
      <c r="D99" t="str">
        <f t="shared" si="16"/>
        <v>Jun-25</v>
      </c>
      <c r="E99" s="245">
        <v>45828</v>
      </c>
      <c r="F99" t="s">
        <v>480</v>
      </c>
      <c r="G99" t="s">
        <v>253</v>
      </c>
      <c r="H99" s="233">
        <v>5070</v>
      </c>
      <c r="I99" s="233">
        <v>31.120999999999999</v>
      </c>
      <c r="J99" s="241">
        <f t="shared" si="11"/>
        <v>157783.47</v>
      </c>
      <c r="K99" s="3">
        <v>0</v>
      </c>
      <c r="L99" s="3">
        <f t="shared" si="12"/>
        <v>157783.47</v>
      </c>
      <c r="M99" s="3"/>
      <c r="N99" t="s">
        <v>1824</v>
      </c>
      <c r="O99" s="240" t="s">
        <v>226</v>
      </c>
      <c r="P99" t="s">
        <v>174</v>
      </c>
      <c r="Q99" s="242">
        <v>45917</v>
      </c>
      <c r="R99" t="s">
        <v>1831</v>
      </c>
      <c r="S99" t="s">
        <v>1465</v>
      </c>
      <c r="T99" s="3">
        <v>25485</v>
      </c>
      <c r="U99" s="233">
        <v>35.450000000000003</v>
      </c>
      <c r="V99" s="3">
        <f t="shared" si="13"/>
        <v>903443.25000000012</v>
      </c>
      <c r="W99" s="3">
        <v>0</v>
      </c>
      <c r="X99" s="3">
        <f t="shared" si="14"/>
        <v>903443.25000000012</v>
      </c>
      <c r="Y99" s="1">
        <f>_xlfn.XLOOKUP(R99,'Details PC'!AA:AA,'Details PC'!AI:AI)-X99</f>
        <v>0</v>
      </c>
      <c r="AA99" t="s">
        <v>174</v>
      </c>
      <c r="AB99" t="str">
        <f t="shared" si="17"/>
        <v>Nov-25</v>
      </c>
      <c r="AC99" s="242">
        <v>45979</v>
      </c>
      <c r="AD99" t="s">
        <v>329</v>
      </c>
      <c r="AE99" t="s">
        <v>330</v>
      </c>
      <c r="AG99" t="s">
        <v>1749</v>
      </c>
      <c r="AI99" t="s">
        <v>2320</v>
      </c>
      <c r="AN99" s="3">
        <v>1</v>
      </c>
      <c r="AO99" s="3">
        <v>73770</v>
      </c>
      <c r="AP99" s="3">
        <f t="shared" si="19"/>
        <v>73770</v>
      </c>
      <c r="AQ99" s="3">
        <v>0</v>
      </c>
      <c r="AR99" s="3">
        <f t="shared" si="18"/>
        <v>73770</v>
      </c>
    </row>
    <row r="100" spans="2:44" x14ac:dyDescent="0.3">
      <c r="B100" t="s">
        <v>2743</v>
      </c>
      <c r="C100" t="s">
        <v>174</v>
      </c>
      <c r="D100" t="str">
        <f t="shared" si="16"/>
        <v>Jun-25</v>
      </c>
      <c r="E100" s="245">
        <v>45828</v>
      </c>
      <c r="F100" t="s">
        <v>481</v>
      </c>
      <c r="G100" t="s">
        <v>253</v>
      </c>
      <c r="H100" s="233">
        <v>2740</v>
      </c>
      <c r="I100" s="233">
        <v>31.120999999999999</v>
      </c>
      <c r="J100" s="241">
        <f t="shared" si="11"/>
        <v>85271.54</v>
      </c>
      <c r="K100" s="3">
        <v>0</v>
      </c>
      <c r="L100" s="3">
        <f t="shared" si="12"/>
        <v>85271.54</v>
      </c>
      <c r="M100" s="3"/>
      <c r="N100" t="s">
        <v>1825</v>
      </c>
      <c r="O100" s="240" t="s">
        <v>226</v>
      </c>
      <c r="P100" t="s">
        <v>174</v>
      </c>
      <c r="Q100" s="242">
        <v>45919</v>
      </c>
      <c r="R100" t="s">
        <v>1832</v>
      </c>
      <c r="S100" t="s">
        <v>1465</v>
      </c>
      <c r="T100" s="3">
        <v>37280</v>
      </c>
      <c r="U100" s="233">
        <v>33.6</v>
      </c>
      <c r="V100" s="3">
        <f t="shared" ref="V100:V108" si="20">U100*T100</f>
        <v>1252608</v>
      </c>
      <c r="W100" s="3">
        <v>0</v>
      </c>
      <c r="X100" s="3">
        <f t="shared" ref="X100:X108" si="21">V100+W100</f>
        <v>1252608</v>
      </c>
      <c r="Y100" s="1">
        <f>_xlfn.XLOOKUP(R100,'Details PC'!AA:AA,'Details PC'!AI:AI)-X100</f>
        <v>0</v>
      </c>
      <c r="AA100" t="s">
        <v>174</v>
      </c>
      <c r="AB100" t="str">
        <f t="shared" si="17"/>
        <v>Nov-25</v>
      </c>
      <c r="AC100" s="242">
        <v>45976</v>
      </c>
      <c r="AE100" t="s">
        <v>2325</v>
      </c>
      <c r="AG100" t="s">
        <v>2323</v>
      </c>
      <c r="AI100" t="s">
        <v>2321</v>
      </c>
      <c r="AN100" s="3">
        <v>25140</v>
      </c>
      <c r="AO100" s="3">
        <v>0.2</v>
      </c>
      <c r="AP100" s="3">
        <f t="shared" si="19"/>
        <v>5028</v>
      </c>
      <c r="AQ100" s="3">
        <v>0</v>
      </c>
      <c r="AR100" s="3">
        <f t="shared" si="18"/>
        <v>5028</v>
      </c>
    </row>
    <row r="101" spans="2:44" x14ac:dyDescent="0.3">
      <c r="B101" t="s">
        <v>2743</v>
      </c>
      <c r="C101" t="s">
        <v>174</v>
      </c>
      <c r="D101" t="str">
        <f t="shared" si="16"/>
        <v>Jun-25</v>
      </c>
      <c r="E101" s="245">
        <v>45828</v>
      </c>
      <c r="F101" t="s">
        <v>482</v>
      </c>
      <c r="G101" t="s">
        <v>406</v>
      </c>
      <c r="H101" s="233">
        <v>7995</v>
      </c>
      <c r="I101" s="233">
        <v>34.200000000000003</v>
      </c>
      <c r="J101" s="241">
        <f t="shared" si="11"/>
        <v>273429</v>
      </c>
      <c r="K101" s="3">
        <v>0</v>
      </c>
      <c r="L101" s="3">
        <f t="shared" si="12"/>
        <v>273429</v>
      </c>
      <c r="M101" s="3"/>
      <c r="N101" t="s">
        <v>1826</v>
      </c>
      <c r="O101" s="240" t="s">
        <v>226</v>
      </c>
      <c r="P101" t="s">
        <v>174</v>
      </c>
      <c r="Q101" s="242">
        <v>45919</v>
      </c>
      <c r="R101" t="s">
        <v>1833</v>
      </c>
      <c r="S101" t="s">
        <v>1497</v>
      </c>
      <c r="T101" s="3">
        <v>24815</v>
      </c>
      <c r="U101" s="233">
        <v>35.5</v>
      </c>
      <c r="V101" s="3">
        <f t="shared" si="20"/>
        <v>880932.5</v>
      </c>
      <c r="W101" s="3">
        <v>0</v>
      </c>
      <c r="X101" s="3">
        <f t="shared" si="21"/>
        <v>880932.5</v>
      </c>
      <c r="Y101" s="1">
        <f>_xlfn.XLOOKUP(R101,'Details PC'!AA:AA,'Details PC'!AI:AI)-X101</f>
        <v>0</v>
      </c>
      <c r="AA101" t="s">
        <v>174</v>
      </c>
      <c r="AB101" t="str">
        <f t="shared" si="17"/>
        <v>Nov-25</v>
      </c>
      <c r="AC101" s="242">
        <v>45978</v>
      </c>
      <c r="AE101" t="s">
        <v>250</v>
      </c>
      <c r="AG101" t="s">
        <v>2324</v>
      </c>
      <c r="AI101" t="s">
        <v>2322</v>
      </c>
      <c r="AN101" s="3">
        <v>1</v>
      </c>
      <c r="AO101" s="3">
        <v>251683</v>
      </c>
      <c r="AP101" s="3">
        <f t="shared" si="19"/>
        <v>251683</v>
      </c>
      <c r="AQ101" s="3">
        <v>0</v>
      </c>
      <c r="AR101" s="3">
        <f t="shared" si="18"/>
        <v>251683</v>
      </c>
    </row>
    <row r="102" spans="2:44" x14ac:dyDescent="0.3">
      <c r="B102" t="s">
        <v>2743</v>
      </c>
      <c r="C102" t="s">
        <v>174</v>
      </c>
      <c r="D102" t="str">
        <f t="shared" si="16"/>
        <v>Jun-25</v>
      </c>
      <c r="E102" s="245">
        <v>45828</v>
      </c>
      <c r="F102" t="s">
        <v>484</v>
      </c>
      <c r="G102" t="s">
        <v>406</v>
      </c>
      <c r="H102" s="233">
        <v>9115</v>
      </c>
      <c r="I102" s="233">
        <v>34.200000000000003</v>
      </c>
      <c r="J102" s="241">
        <f t="shared" si="11"/>
        <v>311733</v>
      </c>
      <c r="K102" s="3">
        <v>0</v>
      </c>
      <c r="L102" s="3">
        <f t="shared" si="12"/>
        <v>311733</v>
      </c>
      <c r="M102" s="3"/>
      <c r="N102" t="s">
        <v>1834</v>
      </c>
      <c r="O102" s="240" t="s">
        <v>226</v>
      </c>
      <c r="P102" t="s">
        <v>174</v>
      </c>
      <c r="Q102" s="242">
        <v>45921</v>
      </c>
      <c r="R102" t="s">
        <v>1835</v>
      </c>
      <c r="S102" t="s">
        <v>1465</v>
      </c>
      <c r="T102" s="3">
        <v>24000</v>
      </c>
      <c r="U102" s="233">
        <v>35.450000000000003</v>
      </c>
      <c r="V102" s="3">
        <f t="shared" si="20"/>
        <v>850800.00000000012</v>
      </c>
      <c r="W102" s="3">
        <v>0</v>
      </c>
      <c r="X102" s="3">
        <f t="shared" si="21"/>
        <v>850800.00000000012</v>
      </c>
      <c r="Y102" s="1">
        <f>_xlfn.XLOOKUP(R102,'Details PC'!AA:AA,'Details PC'!AI:AI)-X102</f>
        <v>0</v>
      </c>
      <c r="AA102" t="s">
        <v>174</v>
      </c>
      <c r="AB102" t="str">
        <f t="shared" si="17"/>
        <v>Dec-25</v>
      </c>
      <c r="AC102" s="242">
        <v>46006</v>
      </c>
      <c r="AE102" t="s">
        <v>1433</v>
      </c>
      <c r="AI102" t="s">
        <v>2359</v>
      </c>
      <c r="AN102" s="3">
        <v>1</v>
      </c>
      <c r="AO102" s="3">
        <v>435832</v>
      </c>
      <c r="AP102" s="3">
        <f t="shared" si="19"/>
        <v>435832</v>
      </c>
      <c r="AQ102" s="3">
        <v>0</v>
      </c>
      <c r="AR102" s="3">
        <f t="shared" si="18"/>
        <v>435832</v>
      </c>
    </row>
    <row r="103" spans="2:44" x14ac:dyDescent="0.3">
      <c r="B103" t="s">
        <v>2743</v>
      </c>
      <c r="C103" t="s">
        <v>174</v>
      </c>
      <c r="D103" t="str">
        <f t="shared" si="16"/>
        <v>Jun-25</v>
      </c>
      <c r="E103" s="245">
        <v>45829</v>
      </c>
      <c r="F103" t="s">
        <v>483</v>
      </c>
      <c r="G103" t="s">
        <v>270</v>
      </c>
      <c r="H103" s="233">
        <v>3240</v>
      </c>
      <c r="I103" s="233">
        <v>30.151</v>
      </c>
      <c r="J103" s="241">
        <f t="shared" si="11"/>
        <v>97689.24</v>
      </c>
      <c r="K103" s="3">
        <v>0</v>
      </c>
      <c r="L103" s="3">
        <f t="shared" si="12"/>
        <v>97689.24</v>
      </c>
      <c r="M103" s="3"/>
      <c r="N103" t="s">
        <v>1882</v>
      </c>
      <c r="O103" s="240" t="s">
        <v>226</v>
      </c>
      <c r="P103" t="s">
        <v>174</v>
      </c>
      <c r="Q103" s="242">
        <v>45922</v>
      </c>
      <c r="R103" t="s">
        <v>1873</v>
      </c>
      <c r="S103" t="s">
        <v>1465</v>
      </c>
      <c r="T103" s="3">
        <v>22100</v>
      </c>
      <c r="U103" s="233">
        <v>35.450000000000003</v>
      </c>
      <c r="V103" s="3">
        <f t="shared" si="20"/>
        <v>783445.00000000012</v>
      </c>
      <c r="W103" s="3">
        <v>0</v>
      </c>
      <c r="X103" s="3">
        <f t="shared" si="21"/>
        <v>783445.00000000012</v>
      </c>
      <c r="Y103" s="1">
        <f>_xlfn.XLOOKUP(R103,'Details PC'!AA:AA,'Details PC'!AI:AI)-X103</f>
        <v>0</v>
      </c>
      <c r="AA103" t="s">
        <v>174</v>
      </c>
      <c r="AB103" t="str">
        <f t="shared" si="17"/>
        <v>Dec-25</v>
      </c>
      <c r="AC103" s="242">
        <v>46010</v>
      </c>
      <c r="AE103" t="s">
        <v>2358</v>
      </c>
      <c r="AI103" t="s">
        <v>2360</v>
      </c>
      <c r="AN103" s="3">
        <v>1</v>
      </c>
      <c r="AO103" s="3">
        <v>6314</v>
      </c>
      <c r="AP103" s="3">
        <f t="shared" si="19"/>
        <v>6314</v>
      </c>
      <c r="AQ103" s="3">
        <v>0</v>
      </c>
      <c r="AR103" s="3">
        <f t="shared" si="18"/>
        <v>6314</v>
      </c>
    </row>
    <row r="104" spans="2:44" x14ac:dyDescent="0.3">
      <c r="B104" t="s">
        <v>2743</v>
      </c>
      <c r="C104" t="s">
        <v>174</v>
      </c>
      <c r="D104" t="str">
        <f t="shared" si="16"/>
        <v>Jun-25</v>
      </c>
      <c r="E104" s="245">
        <v>45830</v>
      </c>
      <c r="F104" t="s">
        <v>485</v>
      </c>
      <c r="G104" t="s">
        <v>400</v>
      </c>
      <c r="H104" s="233">
        <v>13150</v>
      </c>
      <c r="I104" s="233">
        <v>34.299999999999997</v>
      </c>
      <c r="J104" s="241">
        <f t="shared" si="11"/>
        <v>451044.99999999994</v>
      </c>
      <c r="K104" s="3">
        <v>0</v>
      </c>
      <c r="L104" s="3">
        <f t="shared" si="12"/>
        <v>451044.99999999994</v>
      </c>
      <c r="M104" s="3"/>
      <c r="N104" t="s">
        <v>1883</v>
      </c>
      <c r="O104" s="240" t="s">
        <v>226</v>
      </c>
      <c r="P104" t="s">
        <v>174</v>
      </c>
      <c r="Q104" s="242">
        <v>45923</v>
      </c>
      <c r="R104" t="s">
        <v>1874</v>
      </c>
      <c r="S104" t="s">
        <v>1497</v>
      </c>
      <c r="T104" s="3">
        <v>28850</v>
      </c>
      <c r="U104" s="233">
        <v>35.5</v>
      </c>
      <c r="V104" s="3">
        <f t="shared" si="20"/>
        <v>1024175</v>
      </c>
      <c r="W104" s="3">
        <v>-1775</v>
      </c>
      <c r="X104" s="3">
        <f t="shared" si="21"/>
        <v>1022400</v>
      </c>
      <c r="Y104" s="1">
        <f>_xlfn.XLOOKUP(R104,'Details PC'!AA:AA,'Details PC'!AI:AI)-X104</f>
        <v>0</v>
      </c>
      <c r="AA104" t="s">
        <v>174</v>
      </c>
      <c r="AB104" t="str">
        <f t="shared" si="17"/>
        <v>Dec-25</v>
      </c>
      <c r="AC104" s="242">
        <v>46018</v>
      </c>
      <c r="AD104" t="s">
        <v>2349</v>
      </c>
      <c r="AE104" t="s">
        <v>2390</v>
      </c>
      <c r="AG104" t="s">
        <v>2392</v>
      </c>
      <c r="AI104" t="s">
        <v>2393</v>
      </c>
      <c r="AN104" s="3">
        <v>1</v>
      </c>
      <c r="AO104" s="3">
        <v>27500</v>
      </c>
      <c r="AP104" s="3">
        <f t="shared" si="19"/>
        <v>27500</v>
      </c>
      <c r="AQ104" s="3">
        <v>0</v>
      </c>
      <c r="AR104" s="3">
        <f t="shared" si="18"/>
        <v>27500</v>
      </c>
    </row>
    <row r="105" spans="2:44" x14ac:dyDescent="0.3">
      <c r="B105" t="s">
        <v>2743</v>
      </c>
      <c r="C105" t="s">
        <v>174</v>
      </c>
      <c r="D105" t="str">
        <f t="shared" si="16"/>
        <v>Jun-25</v>
      </c>
      <c r="E105" s="242">
        <v>45830</v>
      </c>
      <c r="F105" t="s">
        <v>508</v>
      </c>
      <c r="G105" t="s">
        <v>400</v>
      </c>
      <c r="H105" s="233">
        <v>27050</v>
      </c>
      <c r="I105" s="233">
        <v>34.299999999999997</v>
      </c>
      <c r="J105" s="241">
        <f t="shared" si="11"/>
        <v>927814.99999999988</v>
      </c>
      <c r="K105" s="3">
        <v>0</v>
      </c>
      <c r="L105" s="3">
        <f t="shared" si="12"/>
        <v>927814.99999999988</v>
      </c>
      <c r="M105" s="3"/>
      <c r="N105" t="s">
        <v>1884</v>
      </c>
      <c r="O105" s="240" t="s">
        <v>226</v>
      </c>
      <c r="P105" t="s">
        <v>174</v>
      </c>
      <c r="Q105" s="242">
        <v>45925</v>
      </c>
      <c r="R105" t="s">
        <v>1875</v>
      </c>
      <c r="S105" t="s">
        <v>1465</v>
      </c>
      <c r="T105" s="3">
        <v>17250</v>
      </c>
      <c r="U105" s="233">
        <v>35.450000000000003</v>
      </c>
      <c r="V105" s="3">
        <f t="shared" si="20"/>
        <v>611512.5</v>
      </c>
      <c r="W105" s="3">
        <v>0</v>
      </c>
      <c r="X105" s="3">
        <f t="shared" si="21"/>
        <v>611512.5</v>
      </c>
      <c r="Y105" s="1">
        <f>_xlfn.XLOOKUP(R105,'Details PC'!AA:AA,'Details PC'!AI:AI)-X105</f>
        <v>0</v>
      </c>
      <c r="AA105" t="s">
        <v>174</v>
      </c>
      <c r="AB105" t="str">
        <f t="shared" si="17"/>
        <v>Dec-25</v>
      </c>
      <c r="AC105" s="242">
        <v>46017</v>
      </c>
      <c r="AD105" t="s">
        <v>329</v>
      </c>
      <c r="AE105" t="s">
        <v>2391</v>
      </c>
      <c r="AG105" t="s">
        <v>1067</v>
      </c>
      <c r="AI105" t="s">
        <v>2394</v>
      </c>
      <c r="AN105" s="3">
        <v>1</v>
      </c>
      <c r="AO105" s="3">
        <v>11600</v>
      </c>
      <c r="AP105" s="3">
        <f t="shared" si="19"/>
        <v>11600</v>
      </c>
      <c r="AQ105" s="3">
        <v>0</v>
      </c>
      <c r="AR105" s="3">
        <f t="shared" si="18"/>
        <v>11600</v>
      </c>
    </row>
    <row r="106" spans="2:44" x14ac:dyDescent="0.3">
      <c r="B106" t="s">
        <v>2743</v>
      </c>
      <c r="C106" t="s">
        <v>174</v>
      </c>
      <c r="D106" t="str">
        <f t="shared" si="16"/>
        <v>Jun-25</v>
      </c>
      <c r="E106" s="242">
        <v>45831</v>
      </c>
      <c r="F106" t="s">
        <v>509</v>
      </c>
      <c r="G106" t="s">
        <v>406</v>
      </c>
      <c r="H106" s="233">
        <v>7760</v>
      </c>
      <c r="I106" s="233">
        <v>34.200000000000003</v>
      </c>
      <c r="J106" s="241">
        <f t="shared" si="11"/>
        <v>265392</v>
      </c>
      <c r="K106" s="3">
        <v>0</v>
      </c>
      <c r="L106" s="3">
        <f t="shared" si="12"/>
        <v>265392</v>
      </c>
      <c r="M106" s="3"/>
      <c r="N106" t="s">
        <v>1885</v>
      </c>
      <c r="O106" s="240" t="s">
        <v>226</v>
      </c>
      <c r="P106" t="s">
        <v>174</v>
      </c>
      <c r="Q106" s="242">
        <v>45926</v>
      </c>
      <c r="R106" t="s">
        <v>1876</v>
      </c>
      <c r="S106" t="s">
        <v>1497</v>
      </c>
      <c r="T106" s="3">
        <v>25445</v>
      </c>
      <c r="U106" s="233">
        <v>35.5</v>
      </c>
      <c r="V106" s="3">
        <f t="shared" si="20"/>
        <v>903297.5</v>
      </c>
      <c r="W106" s="3">
        <v>0</v>
      </c>
      <c r="X106" s="3">
        <f t="shared" si="21"/>
        <v>903297.5</v>
      </c>
      <c r="Y106" s="1">
        <f>_xlfn.XLOOKUP(R106,'Details PC'!AA:AA,'Details PC'!AI:AI)-X106</f>
        <v>0</v>
      </c>
      <c r="AA106" t="s">
        <v>174</v>
      </c>
      <c r="AB106" t="str">
        <f t="shared" si="17"/>
        <v>Dec-25</v>
      </c>
      <c r="AC106" s="242">
        <v>46020</v>
      </c>
      <c r="AD106" t="s">
        <v>2368</v>
      </c>
      <c r="AE106" t="s">
        <v>2415</v>
      </c>
      <c r="AG106" t="s">
        <v>2416</v>
      </c>
      <c r="AI106" t="s">
        <v>2418</v>
      </c>
      <c r="AN106" s="3">
        <v>1</v>
      </c>
      <c r="AO106" s="3">
        <v>30000</v>
      </c>
      <c r="AP106" s="3">
        <f t="shared" si="19"/>
        <v>30000</v>
      </c>
      <c r="AQ106" s="3">
        <v>0</v>
      </c>
      <c r="AR106" s="3">
        <f t="shared" si="18"/>
        <v>30000</v>
      </c>
    </row>
    <row r="107" spans="2:44" x14ac:dyDescent="0.3">
      <c r="B107" t="s">
        <v>2743</v>
      </c>
      <c r="C107" t="s">
        <v>174</v>
      </c>
      <c r="D107" t="str">
        <f t="shared" si="16"/>
        <v>Jun-25</v>
      </c>
      <c r="E107" s="242">
        <v>45831</v>
      </c>
      <c r="F107" t="s">
        <v>510</v>
      </c>
      <c r="G107" t="s">
        <v>406</v>
      </c>
      <c r="H107" s="233">
        <v>8625</v>
      </c>
      <c r="I107" s="233">
        <v>34.200000000000003</v>
      </c>
      <c r="J107" s="241">
        <f t="shared" si="11"/>
        <v>294975</v>
      </c>
      <c r="K107" s="3">
        <v>0</v>
      </c>
      <c r="L107" s="3">
        <f t="shared" si="12"/>
        <v>294975</v>
      </c>
      <c r="M107" s="3"/>
      <c r="N107" t="s">
        <v>1886</v>
      </c>
      <c r="O107" s="240" t="s">
        <v>226</v>
      </c>
      <c r="P107" t="s">
        <v>174</v>
      </c>
      <c r="Q107" s="242">
        <v>45927</v>
      </c>
      <c r="R107" t="s">
        <v>1877</v>
      </c>
      <c r="S107" t="s">
        <v>1497</v>
      </c>
      <c r="T107" s="3">
        <v>23265</v>
      </c>
      <c r="U107" s="233">
        <v>35.5</v>
      </c>
      <c r="V107" s="3">
        <f t="shared" si="20"/>
        <v>825907.5</v>
      </c>
      <c r="W107" s="3">
        <v>-1860.8</v>
      </c>
      <c r="X107" s="3">
        <f t="shared" si="21"/>
        <v>824046.7</v>
      </c>
      <c r="Y107" s="1">
        <f>_xlfn.XLOOKUP(R107,'Details PC'!AA:AA,'Details PC'!AI:AI)-X107</f>
        <v>-0.19999999995343387</v>
      </c>
      <c r="AA107" t="s">
        <v>174</v>
      </c>
      <c r="AB107" t="str">
        <f t="shared" si="17"/>
        <v>Dec-25</v>
      </c>
      <c r="AC107" s="242">
        <v>46022</v>
      </c>
      <c r="AD107" t="s">
        <v>329</v>
      </c>
      <c r="AE107" t="s">
        <v>2391</v>
      </c>
      <c r="AG107" t="s">
        <v>1073</v>
      </c>
      <c r="AI107" t="s">
        <v>2419</v>
      </c>
      <c r="AN107" s="3">
        <v>1</v>
      </c>
      <c r="AO107" s="3">
        <v>21600</v>
      </c>
      <c r="AP107" s="3">
        <f t="shared" si="19"/>
        <v>21600</v>
      </c>
      <c r="AQ107" s="3">
        <v>0</v>
      </c>
      <c r="AR107" s="3">
        <f t="shared" si="18"/>
        <v>21600</v>
      </c>
    </row>
    <row r="108" spans="2:44" x14ac:dyDescent="0.3">
      <c r="B108" t="s">
        <v>2743</v>
      </c>
      <c r="C108" t="s">
        <v>174</v>
      </c>
      <c r="D108" t="str">
        <f t="shared" si="16"/>
        <v>Jun-25</v>
      </c>
      <c r="E108" s="242">
        <v>45831</v>
      </c>
      <c r="F108" t="s">
        <v>513</v>
      </c>
      <c r="G108" t="s">
        <v>400</v>
      </c>
      <c r="H108" s="233">
        <v>18490</v>
      </c>
      <c r="I108" s="233">
        <v>34.299999999999997</v>
      </c>
      <c r="J108" s="241">
        <f t="shared" si="11"/>
        <v>634207</v>
      </c>
      <c r="K108" s="3">
        <v>0</v>
      </c>
      <c r="L108" s="3">
        <f t="shared" si="12"/>
        <v>634207</v>
      </c>
      <c r="M108" s="3"/>
      <c r="N108" t="s">
        <v>1887</v>
      </c>
      <c r="O108" s="240" t="s">
        <v>226</v>
      </c>
      <c r="P108" t="s">
        <v>174</v>
      </c>
      <c r="Q108" s="242">
        <v>45927</v>
      </c>
      <c r="R108" t="s">
        <v>1878</v>
      </c>
      <c r="S108" t="s">
        <v>1465</v>
      </c>
      <c r="T108" s="3">
        <v>25490</v>
      </c>
      <c r="U108" s="233">
        <v>33.5</v>
      </c>
      <c r="V108" s="3">
        <f t="shared" si="20"/>
        <v>853915</v>
      </c>
      <c r="W108" s="3">
        <v>-3015</v>
      </c>
      <c r="X108" s="3">
        <f t="shared" si="21"/>
        <v>850900</v>
      </c>
      <c r="Y108" s="1">
        <f>_xlfn.XLOOKUP(R108,'Details PC'!AA:AA,'Details PC'!AI:AI)-X108</f>
        <v>0</v>
      </c>
      <c r="AA108" t="s">
        <v>174</v>
      </c>
      <c r="AB108" t="str">
        <f t="shared" si="17"/>
        <v>Dec-25</v>
      </c>
      <c r="AC108" s="242">
        <v>46022</v>
      </c>
      <c r="AD108" t="s">
        <v>2414</v>
      </c>
      <c r="AE108" t="s">
        <v>196</v>
      </c>
      <c r="AG108" t="s">
        <v>2417</v>
      </c>
      <c r="AI108" t="s">
        <v>2420</v>
      </c>
      <c r="AN108" s="3">
        <v>35215</v>
      </c>
      <c r="AO108" s="3">
        <v>3.2730000000000001</v>
      </c>
      <c r="AP108" s="3">
        <f t="shared" si="19"/>
        <v>115258.69500000001</v>
      </c>
      <c r="AQ108" s="3">
        <v>0</v>
      </c>
      <c r="AR108" s="3">
        <f t="shared" si="18"/>
        <v>115258.69500000001</v>
      </c>
    </row>
    <row r="109" spans="2:44" x14ac:dyDescent="0.3">
      <c r="B109" t="s">
        <v>2743</v>
      </c>
      <c r="C109" t="s">
        <v>174</v>
      </c>
      <c r="D109" t="str">
        <f t="shared" si="16"/>
        <v>Jun-25</v>
      </c>
      <c r="E109" s="242">
        <v>45834</v>
      </c>
      <c r="F109" t="s">
        <v>949</v>
      </c>
      <c r="G109" t="s">
        <v>406</v>
      </c>
      <c r="H109" s="233">
        <v>11505</v>
      </c>
      <c r="I109" s="233">
        <v>34.200000000000003</v>
      </c>
      <c r="J109" s="241">
        <f t="shared" ref="J109:J125" si="22">H109*I109</f>
        <v>393471.00000000006</v>
      </c>
      <c r="K109" s="3">
        <v>0</v>
      </c>
      <c r="L109" s="3">
        <f t="shared" ref="L109:L125" si="23">J109+K109</f>
        <v>393471.00000000006</v>
      </c>
      <c r="M109" s="3"/>
      <c r="N109" t="s">
        <v>1965</v>
      </c>
      <c r="O109" s="240" t="s">
        <v>226</v>
      </c>
      <c r="P109" t="s">
        <v>174</v>
      </c>
      <c r="Q109" s="242">
        <v>45933</v>
      </c>
      <c r="R109" t="s">
        <v>1970</v>
      </c>
      <c r="S109" t="s">
        <v>1497</v>
      </c>
      <c r="T109" s="3">
        <v>30475</v>
      </c>
      <c r="U109" s="233">
        <v>35.5</v>
      </c>
      <c r="V109" s="3">
        <f t="shared" ref="V109:V125" si="24">U109*T109</f>
        <v>1081862.5</v>
      </c>
      <c r="W109" s="3">
        <v>-3372</v>
      </c>
      <c r="X109" s="3">
        <f t="shared" ref="X109:X125" si="25">V109+W109</f>
        <v>1078490.5</v>
      </c>
      <c r="Y109" s="1">
        <f>_xlfn.XLOOKUP(R109,'Details PC'!AA:AA,'Details PC'!AI:AI)-X109</f>
        <v>0</v>
      </c>
      <c r="AA109" t="s">
        <v>174</v>
      </c>
      <c r="AB109" t="str">
        <f t="shared" si="17"/>
        <v>Jan-26</v>
      </c>
      <c r="AC109" s="242">
        <v>46029</v>
      </c>
      <c r="AD109" t="s">
        <v>329</v>
      </c>
      <c r="AE109" t="s">
        <v>2391</v>
      </c>
      <c r="AG109" t="s">
        <v>922</v>
      </c>
      <c r="AI109" t="s">
        <v>2563</v>
      </c>
      <c r="AN109" s="3">
        <v>1</v>
      </c>
      <c r="AO109" s="3">
        <v>17600</v>
      </c>
      <c r="AP109" s="3">
        <f t="shared" ref="AP109:AP134" si="26">AN109*AO109</f>
        <v>17600</v>
      </c>
      <c r="AQ109" s="3">
        <v>0</v>
      </c>
      <c r="AR109" s="3">
        <f t="shared" si="18"/>
        <v>17600</v>
      </c>
    </row>
    <row r="110" spans="2:44" x14ac:dyDescent="0.3">
      <c r="B110" t="s">
        <v>2743</v>
      </c>
      <c r="C110" t="s">
        <v>174</v>
      </c>
      <c r="D110" t="str">
        <f t="shared" si="16"/>
        <v>Jun-25</v>
      </c>
      <c r="E110" s="242">
        <v>45835</v>
      </c>
      <c r="F110" t="s">
        <v>958</v>
      </c>
      <c r="G110" t="s">
        <v>400</v>
      </c>
      <c r="H110" s="233">
        <v>26060</v>
      </c>
      <c r="I110" s="233">
        <v>34.299999999999997</v>
      </c>
      <c r="J110" s="241">
        <f t="shared" si="22"/>
        <v>893857.99999999988</v>
      </c>
      <c r="K110" s="3">
        <v>0</v>
      </c>
      <c r="L110" s="3">
        <f t="shared" si="23"/>
        <v>893857.99999999988</v>
      </c>
      <c r="M110" s="3"/>
      <c r="N110" t="s">
        <v>2047</v>
      </c>
      <c r="O110" s="240" t="s">
        <v>226</v>
      </c>
      <c r="P110" t="s">
        <v>174</v>
      </c>
      <c r="Q110" s="242">
        <v>45942</v>
      </c>
      <c r="R110" t="s">
        <v>2053</v>
      </c>
      <c r="S110" t="s">
        <v>1465</v>
      </c>
      <c r="T110" s="3">
        <v>18380</v>
      </c>
      <c r="U110" s="233">
        <v>33.5</v>
      </c>
      <c r="V110" s="3">
        <f t="shared" si="24"/>
        <v>615730</v>
      </c>
      <c r="W110" s="3">
        <v>0</v>
      </c>
      <c r="X110" s="3">
        <f t="shared" si="25"/>
        <v>615730</v>
      </c>
      <c r="Y110" s="1">
        <f>_xlfn.XLOOKUP(R110,'Details PC'!AA:AA,'Details PC'!AI:AI)-X110</f>
        <v>0</v>
      </c>
      <c r="AA110" t="s">
        <v>174</v>
      </c>
      <c r="AB110" t="str">
        <f t="shared" si="17"/>
        <v>Jan-26</v>
      </c>
      <c r="AC110" s="242">
        <v>46035</v>
      </c>
      <c r="AD110" t="s">
        <v>329</v>
      </c>
      <c r="AE110" t="s">
        <v>2391</v>
      </c>
      <c r="AG110" t="s">
        <v>1531</v>
      </c>
      <c r="AI110" t="s">
        <v>2588</v>
      </c>
      <c r="AN110" s="3">
        <v>1</v>
      </c>
      <c r="AO110" s="3">
        <v>13200</v>
      </c>
      <c r="AP110" s="3">
        <f t="shared" si="26"/>
        <v>13200</v>
      </c>
      <c r="AQ110" s="3">
        <v>0</v>
      </c>
      <c r="AR110" s="3">
        <f t="shared" si="18"/>
        <v>13200</v>
      </c>
    </row>
    <row r="111" spans="2:44" x14ac:dyDescent="0.3">
      <c r="B111" t="s">
        <v>2743</v>
      </c>
      <c r="C111" t="s">
        <v>174</v>
      </c>
      <c r="D111" t="str">
        <f t="shared" si="16"/>
        <v>Jun-25</v>
      </c>
      <c r="E111" s="242">
        <v>45832</v>
      </c>
      <c r="F111" t="s">
        <v>512</v>
      </c>
      <c r="G111" t="s">
        <v>406</v>
      </c>
      <c r="H111" s="233">
        <v>8065</v>
      </c>
      <c r="I111" s="233">
        <v>34.200000000000003</v>
      </c>
      <c r="J111" s="241">
        <f t="shared" si="22"/>
        <v>275823</v>
      </c>
      <c r="K111" s="3">
        <v>0</v>
      </c>
      <c r="L111" s="3">
        <f t="shared" si="23"/>
        <v>275823</v>
      </c>
      <c r="M111" s="3"/>
      <c r="N111" t="s">
        <v>1890</v>
      </c>
      <c r="O111" s="240" t="s">
        <v>226</v>
      </c>
      <c r="P111" t="s">
        <v>174</v>
      </c>
      <c r="Q111" s="242">
        <v>45928</v>
      </c>
      <c r="R111" t="s">
        <v>1881</v>
      </c>
      <c r="S111" t="s">
        <v>1465</v>
      </c>
      <c r="T111" s="3">
        <v>19370</v>
      </c>
      <c r="U111" s="233">
        <v>33.5</v>
      </c>
      <c r="V111" s="3">
        <f t="shared" si="24"/>
        <v>648895</v>
      </c>
      <c r="W111" s="3">
        <v>0</v>
      </c>
      <c r="X111" s="3">
        <f t="shared" si="25"/>
        <v>648895</v>
      </c>
      <c r="Y111" s="1">
        <f>_xlfn.XLOOKUP(R111,'Details PC'!AA:AA,'Details PC'!AI:AI)-X111</f>
        <v>0</v>
      </c>
      <c r="AA111" t="s">
        <v>174</v>
      </c>
      <c r="AB111" t="str">
        <f t="shared" si="17"/>
        <v>Dec-25</v>
      </c>
      <c r="AC111" s="242">
        <v>46010</v>
      </c>
      <c r="AD111" t="s">
        <v>2352</v>
      </c>
      <c r="AE111" t="s">
        <v>2415</v>
      </c>
      <c r="AG111" s="361" t="s">
        <v>2430</v>
      </c>
      <c r="AH111" s="553"/>
      <c r="AI111" t="s">
        <v>2431</v>
      </c>
      <c r="AN111" s="3">
        <v>1</v>
      </c>
      <c r="AO111" s="3">
        <v>30000</v>
      </c>
      <c r="AP111" s="3">
        <f t="shared" si="26"/>
        <v>30000</v>
      </c>
      <c r="AQ111" s="3">
        <v>0</v>
      </c>
      <c r="AR111" s="3">
        <f t="shared" si="18"/>
        <v>30000</v>
      </c>
    </row>
    <row r="112" spans="2:44" x14ac:dyDescent="0.3">
      <c r="B112" t="s">
        <v>2743</v>
      </c>
      <c r="C112" t="s">
        <v>174</v>
      </c>
      <c r="D112" t="str">
        <f t="shared" si="16"/>
        <v>Jun-25</v>
      </c>
      <c r="E112" s="242">
        <v>45835</v>
      </c>
      <c r="F112" t="s">
        <v>954</v>
      </c>
      <c r="G112" t="s">
        <v>406</v>
      </c>
      <c r="H112" s="233">
        <v>8060</v>
      </c>
      <c r="I112" s="233">
        <v>34.200000000000003</v>
      </c>
      <c r="J112" s="241">
        <f t="shared" si="22"/>
        <v>275652</v>
      </c>
      <c r="K112" s="3">
        <v>0</v>
      </c>
      <c r="L112" s="3">
        <f t="shared" si="23"/>
        <v>275652</v>
      </c>
      <c r="M112" s="3"/>
      <c r="N112" t="s">
        <v>2046</v>
      </c>
      <c r="O112" s="240" t="s">
        <v>226</v>
      </c>
      <c r="P112" t="s">
        <v>174</v>
      </c>
      <c r="Q112" s="242">
        <v>45942</v>
      </c>
      <c r="R112" t="s">
        <v>2052</v>
      </c>
      <c r="S112" t="s">
        <v>220</v>
      </c>
      <c r="T112" s="3">
        <v>12190</v>
      </c>
      <c r="U112" s="233">
        <v>41.5</v>
      </c>
      <c r="V112" s="3">
        <f t="shared" si="24"/>
        <v>505885</v>
      </c>
      <c r="W112" s="3">
        <v>0</v>
      </c>
      <c r="X112" s="3">
        <f t="shared" si="25"/>
        <v>505885</v>
      </c>
      <c r="Y112" s="1">
        <f>_xlfn.XLOOKUP(R112,'Details PC'!AA:AA,'Details PC'!AI:AI)-X112</f>
        <v>0</v>
      </c>
      <c r="AA112" t="s">
        <v>174</v>
      </c>
      <c r="AB112" t="str">
        <f t="shared" si="17"/>
        <v>Jan-26</v>
      </c>
      <c r="AC112" s="242">
        <v>46035</v>
      </c>
      <c r="AD112" t="s">
        <v>2581</v>
      </c>
      <c r="AE112" t="s">
        <v>196</v>
      </c>
      <c r="AG112" t="s">
        <v>2583</v>
      </c>
      <c r="AI112" t="s">
        <v>2587</v>
      </c>
      <c r="AN112" s="3">
        <v>10510</v>
      </c>
      <c r="AO112" s="3">
        <v>2.39</v>
      </c>
      <c r="AP112" s="3">
        <f t="shared" si="26"/>
        <v>25118.9</v>
      </c>
      <c r="AQ112" s="3">
        <v>0</v>
      </c>
      <c r="AR112" s="3">
        <f t="shared" si="18"/>
        <v>25118.9</v>
      </c>
    </row>
    <row r="113" spans="2:44" x14ac:dyDescent="0.3">
      <c r="B113" t="s">
        <v>2743</v>
      </c>
      <c r="C113" t="s">
        <v>174</v>
      </c>
      <c r="D113" t="str">
        <f t="shared" si="16"/>
        <v>Jun-25</v>
      </c>
      <c r="E113" s="242">
        <v>45833</v>
      </c>
      <c r="F113" t="s">
        <v>945</v>
      </c>
      <c r="G113" t="s">
        <v>400</v>
      </c>
      <c r="H113" s="233">
        <v>8360</v>
      </c>
      <c r="I113" s="233">
        <v>34.299999999999997</v>
      </c>
      <c r="J113" s="241">
        <f t="shared" si="22"/>
        <v>286748</v>
      </c>
      <c r="K113" s="3">
        <v>0</v>
      </c>
      <c r="L113" s="3">
        <f t="shared" si="23"/>
        <v>286748</v>
      </c>
      <c r="M113" s="3"/>
      <c r="N113" t="s">
        <v>1920</v>
      </c>
      <c r="O113" s="240" t="s">
        <v>226</v>
      </c>
      <c r="P113" t="s">
        <v>174</v>
      </c>
      <c r="Q113" s="242">
        <v>45930</v>
      </c>
      <c r="R113" t="s">
        <v>1921</v>
      </c>
      <c r="S113" t="s">
        <v>1465</v>
      </c>
      <c r="T113" s="3">
        <v>29195</v>
      </c>
      <c r="U113" s="233">
        <v>35.450000000000003</v>
      </c>
      <c r="V113" s="3">
        <f t="shared" si="24"/>
        <v>1034962.7500000001</v>
      </c>
      <c r="W113" s="3">
        <v>-3013.25</v>
      </c>
      <c r="X113" s="3">
        <f t="shared" si="25"/>
        <v>1031949.5000000001</v>
      </c>
      <c r="Y113" s="1">
        <f>_xlfn.XLOOKUP(R113,'Details PC'!AA:AA,'Details PC'!AI:AI)-X113</f>
        <v>0</v>
      </c>
      <c r="AA113" t="s">
        <v>174</v>
      </c>
      <c r="AB113" t="str">
        <f t="shared" si="17"/>
        <v>Jan-26</v>
      </c>
      <c r="AC113" s="242">
        <v>46027</v>
      </c>
      <c r="AD113" t="s">
        <v>329</v>
      </c>
      <c r="AE113" t="s">
        <v>2358</v>
      </c>
      <c r="AG113" t="s">
        <v>2553</v>
      </c>
      <c r="AI113" t="s">
        <v>2559</v>
      </c>
      <c r="AN113" s="3">
        <v>1</v>
      </c>
      <c r="AO113" s="3">
        <v>402</v>
      </c>
      <c r="AP113" s="3">
        <f t="shared" si="26"/>
        <v>402</v>
      </c>
      <c r="AQ113" s="3">
        <v>0</v>
      </c>
      <c r="AR113" s="3">
        <f t="shared" si="18"/>
        <v>402</v>
      </c>
    </row>
    <row r="114" spans="2:44" x14ac:dyDescent="0.3">
      <c r="B114" t="s">
        <v>2743</v>
      </c>
      <c r="C114" t="s">
        <v>174</v>
      </c>
      <c r="D114" t="str">
        <f t="shared" si="16"/>
        <v>Jun-25</v>
      </c>
      <c r="E114" s="242">
        <v>45833</v>
      </c>
      <c r="F114" t="s">
        <v>946</v>
      </c>
      <c r="G114" t="s">
        <v>406</v>
      </c>
      <c r="H114" s="233">
        <v>5660</v>
      </c>
      <c r="I114" s="233">
        <v>34.200000000000003</v>
      </c>
      <c r="J114" s="241">
        <f t="shared" si="22"/>
        <v>193572.00000000003</v>
      </c>
      <c r="K114" s="3">
        <v>0</v>
      </c>
      <c r="L114" s="3">
        <f t="shared" si="23"/>
        <v>193572.00000000003</v>
      </c>
      <c r="M114" s="3"/>
      <c r="N114" t="s">
        <v>1962</v>
      </c>
      <c r="O114" s="240" t="s">
        <v>226</v>
      </c>
      <c r="P114" t="s">
        <v>174</v>
      </c>
      <c r="Q114" s="242">
        <v>45931</v>
      </c>
      <c r="R114" t="s">
        <v>1967</v>
      </c>
      <c r="S114" t="s">
        <v>1465</v>
      </c>
      <c r="T114" s="3">
        <v>16755</v>
      </c>
      <c r="U114" s="233">
        <v>33.5</v>
      </c>
      <c r="V114" s="3">
        <f t="shared" si="24"/>
        <v>561292.5</v>
      </c>
      <c r="W114" s="3">
        <v>0</v>
      </c>
      <c r="X114" s="3">
        <f t="shared" si="25"/>
        <v>561292.5</v>
      </c>
      <c r="Y114" s="1">
        <f>_xlfn.XLOOKUP(R114,'Details PC'!AA:AA,'Details PC'!AI:AI)-X114</f>
        <v>0</v>
      </c>
      <c r="AA114" t="s">
        <v>174</v>
      </c>
      <c r="AB114" t="str">
        <f t="shared" si="17"/>
        <v>Jan-26</v>
      </c>
      <c r="AC114" s="242">
        <v>46027</v>
      </c>
      <c r="AD114" t="s">
        <v>329</v>
      </c>
      <c r="AE114" t="s">
        <v>2358</v>
      </c>
      <c r="AG114" t="s">
        <v>2554</v>
      </c>
      <c r="AI114" t="s">
        <v>2560</v>
      </c>
      <c r="AN114" s="3">
        <v>1</v>
      </c>
      <c r="AO114" s="3">
        <v>1050</v>
      </c>
      <c r="AP114" s="3">
        <f t="shared" si="26"/>
        <v>1050</v>
      </c>
      <c r="AQ114" s="3">
        <v>0</v>
      </c>
      <c r="AR114" s="3">
        <f t="shared" si="18"/>
        <v>1050</v>
      </c>
    </row>
    <row r="115" spans="2:44" x14ac:dyDescent="0.3">
      <c r="B115" t="s">
        <v>1365</v>
      </c>
      <c r="C115" t="s">
        <v>174</v>
      </c>
      <c r="D115" t="str">
        <f t="shared" si="16"/>
        <v>Jun-25</v>
      </c>
      <c r="E115" s="242">
        <v>45831</v>
      </c>
      <c r="G115" t="s">
        <v>395</v>
      </c>
      <c r="H115" s="233">
        <v>1</v>
      </c>
      <c r="I115" s="233">
        <v>50000</v>
      </c>
      <c r="J115" s="241">
        <f t="shared" si="22"/>
        <v>50000</v>
      </c>
      <c r="K115" s="3">
        <v>0</v>
      </c>
      <c r="L115" s="3">
        <f t="shared" si="23"/>
        <v>50000</v>
      </c>
      <c r="M115" s="3"/>
      <c r="N115" t="s">
        <v>1888</v>
      </c>
      <c r="O115" s="240" t="s">
        <v>226</v>
      </c>
      <c r="P115" t="s">
        <v>174</v>
      </c>
      <c r="Q115" s="242">
        <v>45927</v>
      </c>
      <c r="R115" t="s">
        <v>1879</v>
      </c>
      <c r="S115" t="s">
        <v>1465</v>
      </c>
      <c r="T115" s="3">
        <v>28750</v>
      </c>
      <c r="U115" s="233">
        <v>33.5</v>
      </c>
      <c r="V115" s="3">
        <f t="shared" si="24"/>
        <v>963125</v>
      </c>
      <c r="W115" s="3">
        <v>0</v>
      </c>
      <c r="X115" s="3">
        <f t="shared" si="25"/>
        <v>963125</v>
      </c>
      <c r="Y115" s="1">
        <f>_xlfn.XLOOKUP(R115,'Details PC'!AA:AA,'Details PC'!AI:AI)-X115</f>
        <v>0</v>
      </c>
      <c r="AA115" t="s">
        <v>174</v>
      </c>
      <c r="AB115" t="str">
        <f t="shared" si="17"/>
        <v>Jan-26</v>
      </c>
      <c r="AC115" s="242">
        <v>46024</v>
      </c>
      <c r="AD115" t="s">
        <v>2366</v>
      </c>
      <c r="AE115" t="s">
        <v>2415</v>
      </c>
      <c r="AG115" t="s">
        <v>2426</v>
      </c>
      <c r="AI115" t="s">
        <v>2428</v>
      </c>
      <c r="AN115" s="3">
        <v>1</v>
      </c>
      <c r="AO115" s="3">
        <v>30000</v>
      </c>
      <c r="AP115" s="3">
        <f t="shared" si="26"/>
        <v>30000</v>
      </c>
      <c r="AQ115" s="3">
        <v>0</v>
      </c>
      <c r="AR115" s="3">
        <f t="shared" si="18"/>
        <v>30000</v>
      </c>
    </row>
    <row r="116" spans="2:44" x14ac:dyDescent="0.3">
      <c r="B116" t="s">
        <v>2743</v>
      </c>
      <c r="C116" t="s">
        <v>174</v>
      </c>
      <c r="D116" t="str">
        <f t="shared" si="16"/>
        <v>Jun-25</v>
      </c>
      <c r="E116" s="242">
        <v>45832</v>
      </c>
      <c r="F116" t="s">
        <v>511</v>
      </c>
      <c r="G116" t="s">
        <v>406</v>
      </c>
      <c r="H116" s="233">
        <v>7170</v>
      </c>
      <c r="I116" s="233">
        <v>34.200000000000003</v>
      </c>
      <c r="J116" s="241">
        <f t="shared" si="22"/>
        <v>245214.00000000003</v>
      </c>
      <c r="K116" s="3">
        <v>0</v>
      </c>
      <c r="L116" s="3">
        <f t="shared" si="23"/>
        <v>245214.00000000003</v>
      </c>
      <c r="M116" s="3"/>
      <c r="N116" t="s">
        <v>1889</v>
      </c>
      <c r="O116" s="240" t="s">
        <v>226</v>
      </c>
      <c r="P116" t="s">
        <v>174</v>
      </c>
      <c r="Q116" s="242">
        <v>45928</v>
      </c>
      <c r="R116" t="s">
        <v>1880</v>
      </c>
      <c r="S116" t="s">
        <v>1465</v>
      </c>
      <c r="T116" s="3">
        <v>34235</v>
      </c>
      <c r="U116" s="233">
        <v>35.450000000000003</v>
      </c>
      <c r="V116" s="3">
        <f t="shared" si="24"/>
        <v>1213630.75</v>
      </c>
      <c r="W116" s="3">
        <v>0</v>
      </c>
      <c r="X116" s="3">
        <f t="shared" si="25"/>
        <v>1213630.75</v>
      </c>
      <c r="Y116" s="1">
        <f>_xlfn.XLOOKUP(R116,'Details PC'!AA:AA,'Details PC'!AI:AI)-X116</f>
        <v>0</v>
      </c>
      <c r="AA116" t="s">
        <v>174</v>
      </c>
      <c r="AB116" t="str">
        <f t="shared" si="17"/>
        <v>Jan-26</v>
      </c>
      <c r="AC116" s="242">
        <v>46024</v>
      </c>
      <c r="AD116" t="s">
        <v>2367</v>
      </c>
      <c r="AE116" t="s">
        <v>2415</v>
      </c>
      <c r="AG116" t="s">
        <v>2427</v>
      </c>
      <c r="AI116" t="s">
        <v>2429</v>
      </c>
      <c r="AN116" s="3">
        <v>1</v>
      </c>
      <c r="AO116" s="3">
        <v>30000</v>
      </c>
      <c r="AP116" s="3">
        <f t="shared" si="26"/>
        <v>30000</v>
      </c>
      <c r="AQ116" s="3">
        <v>0</v>
      </c>
      <c r="AR116" s="3">
        <f t="shared" si="18"/>
        <v>30000</v>
      </c>
    </row>
    <row r="117" spans="2:44" x14ac:dyDescent="0.3">
      <c r="B117" t="s">
        <v>2743</v>
      </c>
      <c r="C117" t="s">
        <v>174</v>
      </c>
      <c r="D117" t="str">
        <f t="shared" si="16"/>
        <v>Jun-25</v>
      </c>
      <c r="E117" s="242">
        <v>45833</v>
      </c>
      <c r="F117" t="s">
        <v>948</v>
      </c>
      <c r="G117" t="s">
        <v>406</v>
      </c>
      <c r="H117" s="233">
        <v>14530</v>
      </c>
      <c r="I117" s="233">
        <v>34.200000000000003</v>
      </c>
      <c r="J117" s="241">
        <f t="shared" si="22"/>
        <v>496926.00000000006</v>
      </c>
      <c r="K117" s="3">
        <v>0</v>
      </c>
      <c r="L117" s="3">
        <f t="shared" si="23"/>
        <v>496926.00000000006</v>
      </c>
      <c r="M117" s="3"/>
      <c r="N117" t="s">
        <v>1964</v>
      </c>
      <c r="O117" s="240" t="s">
        <v>226</v>
      </c>
      <c r="P117" t="s">
        <v>174</v>
      </c>
      <c r="Q117" s="242">
        <v>45933</v>
      </c>
      <c r="R117" t="s">
        <v>1969</v>
      </c>
      <c r="S117" t="s">
        <v>1497</v>
      </c>
      <c r="T117" s="3">
        <v>25990</v>
      </c>
      <c r="U117" s="233">
        <v>35.5</v>
      </c>
      <c r="V117" s="3">
        <f t="shared" si="24"/>
        <v>922645</v>
      </c>
      <c r="W117" s="3">
        <v>-710</v>
      </c>
      <c r="X117" s="3">
        <f t="shared" si="25"/>
        <v>921935</v>
      </c>
      <c r="Y117" s="1">
        <f>_xlfn.XLOOKUP(R117,'Details PC'!AA:AA,'Details PC'!AI:AI)-X117</f>
        <v>0</v>
      </c>
      <c r="AA117" t="s">
        <v>174</v>
      </c>
      <c r="AB117" t="str">
        <f t="shared" si="17"/>
        <v>Jan-26</v>
      </c>
      <c r="AC117" s="242">
        <v>46029</v>
      </c>
      <c r="AD117" t="s">
        <v>2395</v>
      </c>
      <c r="AE117" t="s">
        <v>2415</v>
      </c>
      <c r="AG117" t="s">
        <v>2555</v>
      </c>
      <c r="AI117" t="s">
        <v>2562</v>
      </c>
      <c r="AN117" s="3">
        <v>1</v>
      </c>
      <c r="AO117" s="3">
        <v>30000</v>
      </c>
      <c r="AP117" s="3">
        <f t="shared" si="26"/>
        <v>30000</v>
      </c>
      <c r="AQ117" s="3">
        <v>5160</v>
      </c>
      <c r="AR117" s="3">
        <f t="shared" si="18"/>
        <v>24840</v>
      </c>
    </row>
    <row r="118" spans="2:44" x14ac:dyDescent="0.3">
      <c r="B118" t="s">
        <v>2743</v>
      </c>
      <c r="C118" t="s">
        <v>174</v>
      </c>
      <c r="D118" t="str">
        <f t="shared" si="16"/>
        <v>Jun-25</v>
      </c>
      <c r="E118" s="242">
        <v>45834</v>
      </c>
      <c r="F118" t="s">
        <v>950</v>
      </c>
      <c r="G118" t="s">
        <v>406</v>
      </c>
      <c r="H118" s="233">
        <v>7595</v>
      </c>
      <c r="I118" s="233">
        <v>34.200000000000003</v>
      </c>
      <c r="J118" s="241">
        <f t="shared" si="22"/>
        <v>259749.00000000003</v>
      </c>
      <c r="K118" s="3">
        <v>0</v>
      </c>
      <c r="L118" s="3">
        <f t="shared" si="23"/>
        <v>259749.00000000003</v>
      </c>
      <c r="M118" s="3"/>
      <c r="N118" t="s">
        <v>1966</v>
      </c>
      <c r="O118" s="240" t="s">
        <v>226</v>
      </c>
      <c r="P118" t="s">
        <v>174</v>
      </c>
      <c r="Q118" s="242">
        <v>45934</v>
      </c>
      <c r="R118" t="s">
        <v>1971</v>
      </c>
      <c r="S118" t="s">
        <v>1465</v>
      </c>
      <c r="T118" s="3">
        <v>14410</v>
      </c>
      <c r="U118" s="233">
        <v>33.5</v>
      </c>
      <c r="V118" s="3">
        <f t="shared" si="24"/>
        <v>482735</v>
      </c>
      <c r="W118" s="3">
        <v>-2680</v>
      </c>
      <c r="X118" s="3">
        <f t="shared" si="25"/>
        <v>480055</v>
      </c>
      <c r="Y118" s="1">
        <f>_xlfn.XLOOKUP(R118,'Details PC'!AA:AA,'Details PC'!AI:AI)-X118</f>
        <v>0</v>
      </c>
      <c r="AA118" t="s">
        <v>174</v>
      </c>
      <c r="AB118" t="str">
        <f t="shared" si="17"/>
        <v>Jan-26</v>
      </c>
      <c r="AC118" s="242">
        <v>46029</v>
      </c>
      <c r="AD118" t="s">
        <v>2383</v>
      </c>
      <c r="AE118" t="s">
        <v>2415</v>
      </c>
      <c r="AG118" t="s">
        <v>2556</v>
      </c>
      <c r="AI118" t="s">
        <v>2564</v>
      </c>
      <c r="AN118" s="3">
        <v>1</v>
      </c>
      <c r="AO118" s="3">
        <v>30000</v>
      </c>
      <c r="AP118" s="3">
        <f t="shared" si="26"/>
        <v>30000</v>
      </c>
      <c r="AQ118" s="3">
        <v>4353.75</v>
      </c>
      <c r="AR118" s="3">
        <f t="shared" si="18"/>
        <v>25646.25</v>
      </c>
    </row>
    <row r="119" spans="2:44" x14ac:dyDescent="0.3">
      <c r="B119" t="s">
        <v>2743</v>
      </c>
      <c r="C119" t="s">
        <v>174</v>
      </c>
      <c r="D119" t="str">
        <f t="shared" si="16"/>
        <v>Jun-25</v>
      </c>
      <c r="E119" s="242">
        <v>45834</v>
      </c>
      <c r="F119" t="s">
        <v>1366</v>
      </c>
      <c r="G119" t="s">
        <v>406</v>
      </c>
      <c r="H119" s="233">
        <v>8675</v>
      </c>
      <c r="I119" s="233">
        <v>34.200000000000003</v>
      </c>
      <c r="J119" s="241">
        <f t="shared" si="22"/>
        <v>296685</v>
      </c>
      <c r="K119" s="3">
        <v>0</v>
      </c>
      <c r="L119" s="3">
        <f t="shared" si="23"/>
        <v>296685</v>
      </c>
      <c r="M119" s="3"/>
      <c r="N119" t="s">
        <v>2043</v>
      </c>
      <c r="O119" s="240" t="s">
        <v>226</v>
      </c>
      <c r="P119" t="s">
        <v>174</v>
      </c>
      <c r="Q119" s="242">
        <v>45936</v>
      </c>
      <c r="R119" t="s">
        <v>2049</v>
      </c>
      <c r="S119" t="s">
        <v>1465</v>
      </c>
      <c r="T119" s="3">
        <v>20270</v>
      </c>
      <c r="U119" s="233">
        <v>33.5</v>
      </c>
      <c r="V119" s="3">
        <f t="shared" si="24"/>
        <v>679045</v>
      </c>
      <c r="W119" s="3">
        <v>0</v>
      </c>
      <c r="X119" s="3">
        <f t="shared" si="25"/>
        <v>679045</v>
      </c>
      <c r="Y119" s="1">
        <f>_xlfn.XLOOKUP(R119,'Details PC'!AA:AA,'Details PC'!AI:AI)-X119</f>
        <v>0</v>
      </c>
      <c r="AA119" t="s">
        <v>174</v>
      </c>
      <c r="AB119" t="str">
        <f t="shared" si="17"/>
        <v>Jan-26</v>
      </c>
      <c r="AC119" s="242">
        <v>46030</v>
      </c>
      <c r="AD119" t="s">
        <v>2396</v>
      </c>
      <c r="AE119" t="s">
        <v>2415</v>
      </c>
      <c r="AG119" t="s">
        <v>2557</v>
      </c>
      <c r="AI119" t="s">
        <v>2566</v>
      </c>
      <c r="AN119" s="3">
        <v>1</v>
      </c>
      <c r="AO119" s="3">
        <v>30000</v>
      </c>
      <c r="AP119" s="3">
        <f t="shared" si="26"/>
        <v>30000</v>
      </c>
      <c r="AQ119" s="3">
        <v>0</v>
      </c>
      <c r="AR119" s="3">
        <f t="shared" si="18"/>
        <v>30000</v>
      </c>
    </row>
    <row r="120" spans="2:44" x14ac:dyDescent="0.3">
      <c r="B120" t="s">
        <v>2743</v>
      </c>
      <c r="C120" t="s">
        <v>174</v>
      </c>
      <c r="D120" t="str">
        <f t="shared" si="16"/>
        <v>Jun-25</v>
      </c>
      <c r="E120" s="242">
        <v>45835</v>
      </c>
      <c r="F120" t="s">
        <v>952</v>
      </c>
      <c r="G120" t="s">
        <v>253</v>
      </c>
      <c r="H120" s="233">
        <v>4640</v>
      </c>
      <c r="I120" s="233">
        <v>31.120999999999999</v>
      </c>
      <c r="J120" s="241">
        <f t="shared" si="22"/>
        <v>144401.44</v>
      </c>
      <c r="K120" s="3">
        <v>0</v>
      </c>
      <c r="L120" s="3">
        <f t="shared" si="23"/>
        <v>144401.44</v>
      </c>
      <c r="M120" s="3"/>
      <c r="N120" t="s">
        <v>2044</v>
      </c>
      <c r="O120" s="240" t="s">
        <v>226</v>
      </c>
      <c r="P120" t="s">
        <v>174</v>
      </c>
      <c r="Q120" s="242">
        <v>45939</v>
      </c>
      <c r="R120" t="s">
        <v>2050</v>
      </c>
      <c r="S120" t="s">
        <v>1465</v>
      </c>
      <c r="T120" s="3">
        <v>22900</v>
      </c>
      <c r="U120" s="233">
        <v>33.5</v>
      </c>
      <c r="V120" s="3">
        <f t="shared" si="24"/>
        <v>767150</v>
      </c>
      <c r="W120" s="3">
        <v>-2680</v>
      </c>
      <c r="X120" s="3">
        <f t="shared" si="25"/>
        <v>764470</v>
      </c>
      <c r="Y120" s="1">
        <f>_xlfn.XLOOKUP(R120,'Details PC'!AA:AA,'Details PC'!AI:AI)-X120</f>
        <v>0</v>
      </c>
      <c r="AA120" t="s">
        <v>174</v>
      </c>
      <c r="AB120" t="str">
        <f t="shared" si="17"/>
        <v>Jan-26</v>
      </c>
      <c r="AC120" s="242">
        <v>46030</v>
      </c>
      <c r="AD120" t="s">
        <v>2397</v>
      </c>
      <c r="AE120" t="s">
        <v>2415</v>
      </c>
      <c r="AG120" t="s">
        <v>2558</v>
      </c>
      <c r="AI120" t="s">
        <v>2567</v>
      </c>
      <c r="AN120" s="3">
        <v>1</v>
      </c>
      <c r="AO120" s="3">
        <v>30000</v>
      </c>
      <c r="AP120" s="3">
        <f t="shared" si="26"/>
        <v>30000</v>
      </c>
      <c r="AQ120" s="3">
        <v>0</v>
      </c>
      <c r="AR120" s="3">
        <f t="shared" si="18"/>
        <v>30000</v>
      </c>
    </row>
    <row r="121" spans="2:44" x14ac:dyDescent="0.3">
      <c r="B121" t="s">
        <v>2743</v>
      </c>
      <c r="C121" t="s">
        <v>174</v>
      </c>
      <c r="D121" t="str">
        <f t="shared" si="16"/>
        <v>Jun-25</v>
      </c>
      <c r="E121" s="242">
        <v>45835</v>
      </c>
      <c r="F121" t="s">
        <v>953</v>
      </c>
      <c r="G121" t="s">
        <v>253</v>
      </c>
      <c r="H121" s="233">
        <v>3900</v>
      </c>
      <c r="I121" s="233">
        <v>31.120999999999999</v>
      </c>
      <c r="J121" s="241">
        <f t="shared" si="22"/>
        <v>121371.9</v>
      </c>
      <c r="K121" s="3">
        <v>0</v>
      </c>
      <c r="L121" s="3">
        <f t="shared" si="23"/>
        <v>121371.9</v>
      </c>
      <c r="M121" s="3"/>
      <c r="N121" t="s">
        <v>2045</v>
      </c>
      <c r="O121" s="240" t="s">
        <v>226</v>
      </c>
      <c r="P121" t="s">
        <v>174</v>
      </c>
      <c r="Q121" s="242">
        <v>45939</v>
      </c>
      <c r="R121" t="s">
        <v>2051</v>
      </c>
      <c r="S121" t="s">
        <v>1497</v>
      </c>
      <c r="T121" s="3">
        <v>30725</v>
      </c>
      <c r="U121" s="233">
        <v>35.5</v>
      </c>
      <c r="V121" s="3">
        <f t="shared" si="24"/>
        <v>1090737.5</v>
      </c>
      <c r="W121" s="3">
        <f>-4082-2150</f>
        <v>-6232</v>
      </c>
      <c r="X121" s="3">
        <f t="shared" si="25"/>
        <v>1084505.5</v>
      </c>
      <c r="Y121" s="1">
        <f>_xlfn.XLOOKUP(R121,'Details PC'!AA:AA,'Details PC'!AI:AI)-X121</f>
        <v>-0.5</v>
      </c>
      <c r="AA121" t="s">
        <v>174</v>
      </c>
      <c r="AB121" t="str">
        <f t="shared" si="17"/>
        <v>Jan-26</v>
      </c>
      <c r="AC121" s="242">
        <v>46035</v>
      </c>
      <c r="AD121" t="s">
        <v>2382</v>
      </c>
      <c r="AE121" t="s">
        <v>2415</v>
      </c>
      <c r="AG121" t="s">
        <v>2582</v>
      </c>
      <c r="AI121" t="s">
        <v>2586</v>
      </c>
      <c r="AN121" s="3">
        <v>1</v>
      </c>
      <c r="AO121" s="3">
        <v>30000</v>
      </c>
      <c r="AP121" s="3">
        <f t="shared" si="26"/>
        <v>30000</v>
      </c>
      <c r="AQ121" s="3">
        <v>7417.5</v>
      </c>
      <c r="AR121" s="3">
        <f t="shared" si="18"/>
        <v>22582.5</v>
      </c>
    </row>
    <row r="122" spans="2:44" x14ac:dyDescent="0.3">
      <c r="B122" t="s">
        <v>2743</v>
      </c>
      <c r="C122" t="s">
        <v>174</v>
      </c>
      <c r="D122" t="str">
        <f t="shared" si="16"/>
        <v>Jun-25</v>
      </c>
      <c r="E122" s="242">
        <v>45835</v>
      </c>
      <c r="F122" t="s">
        <v>959</v>
      </c>
      <c r="G122" t="s">
        <v>406</v>
      </c>
      <c r="H122" s="233">
        <v>8280</v>
      </c>
      <c r="I122" s="233">
        <v>34.200000000000003</v>
      </c>
      <c r="J122" s="241">
        <f t="shared" si="22"/>
        <v>283176</v>
      </c>
      <c r="K122" s="3">
        <v>0</v>
      </c>
      <c r="L122" s="3">
        <f t="shared" si="23"/>
        <v>283176</v>
      </c>
      <c r="M122" s="3"/>
      <c r="N122" t="s">
        <v>2117</v>
      </c>
      <c r="O122" s="240" t="s">
        <v>226</v>
      </c>
      <c r="P122" t="s">
        <v>174</v>
      </c>
      <c r="Q122" s="242">
        <v>45945</v>
      </c>
      <c r="R122" t="s">
        <v>2119</v>
      </c>
      <c r="S122" t="s">
        <v>1465</v>
      </c>
      <c r="T122" s="3">
        <v>16665</v>
      </c>
      <c r="U122" s="233">
        <v>33.5</v>
      </c>
      <c r="V122" s="3">
        <f t="shared" si="24"/>
        <v>558277.5</v>
      </c>
      <c r="W122" s="3">
        <v>0</v>
      </c>
      <c r="X122" s="3">
        <f t="shared" si="25"/>
        <v>558277.5</v>
      </c>
      <c r="Y122" s="1">
        <f>_xlfn.XLOOKUP(R122,'Details PC'!AA:AA,'Details PC'!AI:AI)-X122</f>
        <v>0</v>
      </c>
      <c r="AA122" t="s">
        <v>174</v>
      </c>
      <c r="AB122" t="str">
        <f t="shared" si="17"/>
        <v>Jan-26</v>
      </c>
      <c r="AC122" s="242">
        <v>46036</v>
      </c>
      <c r="AD122" t="s">
        <v>2398</v>
      </c>
      <c r="AE122" t="s">
        <v>2415</v>
      </c>
      <c r="AG122" t="s">
        <v>2584</v>
      </c>
      <c r="AI122" t="s">
        <v>2589</v>
      </c>
      <c r="AN122" s="3">
        <v>1</v>
      </c>
      <c r="AO122" s="3">
        <v>30000</v>
      </c>
      <c r="AP122" s="3">
        <f t="shared" si="26"/>
        <v>30000</v>
      </c>
      <c r="AQ122" s="3">
        <v>0</v>
      </c>
      <c r="AR122" s="3">
        <f t="shared" si="18"/>
        <v>30000</v>
      </c>
    </row>
    <row r="123" spans="2:44" x14ac:dyDescent="0.3">
      <c r="B123" t="s">
        <v>2743</v>
      </c>
      <c r="C123" t="s">
        <v>174</v>
      </c>
      <c r="D123" t="str">
        <f t="shared" si="16"/>
        <v>Jun-25</v>
      </c>
      <c r="E123" s="242">
        <v>45836</v>
      </c>
      <c r="F123" t="s">
        <v>955</v>
      </c>
      <c r="G123" t="s">
        <v>406</v>
      </c>
      <c r="H123" s="233">
        <v>5225</v>
      </c>
      <c r="I123" s="233">
        <v>34.200000000000003</v>
      </c>
      <c r="J123" s="241">
        <f t="shared" si="22"/>
        <v>178695.00000000003</v>
      </c>
      <c r="K123" s="3">
        <v>0</v>
      </c>
      <c r="L123" s="3">
        <f t="shared" si="23"/>
        <v>178695.00000000003</v>
      </c>
      <c r="M123" s="3"/>
      <c r="N123" t="s">
        <v>2118</v>
      </c>
      <c r="O123" s="240" t="s">
        <v>226</v>
      </c>
      <c r="P123" t="s">
        <v>174</v>
      </c>
      <c r="Q123" s="242">
        <v>45948</v>
      </c>
      <c r="R123" t="s">
        <v>2120</v>
      </c>
      <c r="S123" t="s">
        <v>1465</v>
      </c>
      <c r="T123" s="3">
        <v>21365</v>
      </c>
      <c r="U123" s="233">
        <v>33.5</v>
      </c>
      <c r="V123" s="3">
        <f t="shared" si="24"/>
        <v>715727.5</v>
      </c>
      <c r="W123" s="3">
        <v>0</v>
      </c>
      <c r="X123" s="3">
        <f t="shared" si="25"/>
        <v>715727.5</v>
      </c>
      <c r="Y123" s="1">
        <f>_xlfn.XLOOKUP(R123,'Details PC'!AA:AA,'Details PC'!AI:AI)-X123</f>
        <v>0</v>
      </c>
      <c r="AA123" t="s">
        <v>174</v>
      </c>
      <c r="AB123" t="str">
        <f t="shared" si="17"/>
        <v>Jan-26</v>
      </c>
      <c r="AC123" s="242">
        <v>46036</v>
      </c>
      <c r="AD123" t="s">
        <v>2384</v>
      </c>
      <c r="AE123" t="s">
        <v>2415</v>
      </c>
      <c r="AG123" t="s">
        <v>2585</v>
      </c>
      <c r="AI123" t="s">
        <v>2590</v>
      </c>
      <c r="AN123" s="3">
        <v>1</v>
      </c>
      <c r="AO123" s="3">
        <v>30000</v>
      </c>
      <c r="AP123" s="3">
        <f t="shared" si="26"/>
        <v>30000</v>
      </c>
      <c r="AQ123" s="3">
        <v>2338.13</v>
      </c>
      <c r="AR123" s="3">
        <f t="shared" si="18"/>
        <v>27661.87</v>
      </c>
    </row>
    <row r="124" spans="2:44" x14ac:dyDescent="0.3">
      <c r="B124" t="s">
        <v>2743</v>
      </c>
      <c r="C124" t="s">
        <v>174</v>
      </c>
      <c r="D124" t="str">
        <f t="shared" si="16"/>
        <v>Jun-25</v>
      </c>
      <c r="E124" s="242">
        <v>45833</v>
      </c>
      <c r="F124" t="s">
        <v>947</v>
      </c>
      <c r="G124" t="s">
        <v>400</v>
      </c>
      <c r="H124" s="233">
        <v>27490</v>
      </c>
      <c r="I124" s="233">
        <v>34.299999999999997</v>
      </c>
      <c r="J124" s="241">
        <f t="shared" si="22"/>
        <v>942906.99999999988</v>
      </c>
      <c r="K124" s="3">
        <v>0</v>
      </c>
      <c r="L124" s="3">
        <f t="shared" si="23"/>
        <v>942906.99999999988</v>
      </c>
      <c r="M124" s="3"/>
      <c r="N124" t="s">
        <v>1963</v>
      </c>
      <c r="O124" s="240" t="s">
        <v>226</v>
      </c>
      <c r="P124" t="s">
        <v>174</v>
      </c>
      <c r="Q124" s="242">
        <v>45932</v>
      </c>
      <c r="R124" t="s">
        <v>1968</v>
      </c>
      <c r="S124" t="s">
        <v>1465</v>
      </c>
      <c r="T124" s="3">
        <v>15460</v>
      </c>
      <c r="U124" s="233">
        <v>33.5</v>
      </c>
      <c r="V124" s="3">
        <f t="shared" si="24"/>
        <v>517910</v>
      </c>
      <c r="W124" s="3">
        <v>-5695</v>
      </c>
      <c r="X124" s="3">
        <f t="shared" si="25"/>
        <v>512215</v>
      </c>
      <c r="Y124" s="1">
        <f>_xlfn.XLOOKUP(R124,'Details PC'!AA:AA,'Details PC'!AI:AI)-X124</f>
        <v>0</v>
      </c>
      <c r="AA124" t="s">
        <v>174</v>
      </c>
      <c r="AB124" t="str">
        <f t="shared" si="17"/>
        <v>Jan-26</v>
      </c>
      <c r="AC124" s="242">
        <v>46029</v>
      </c>
      <c r="AD124" t="s">
        <v>2424</v>
      </c>
      <c r="AE124" t="s">
        <v>2552</v>
      </c>
      <c r="AG124" t="s">
        <v>2132</v>
      </c>
      <c r="AI124" t="s">
        <v>2561</v>
      </c>
      <c r="AN124" s="3">
        <v>1</v>
      </c>
      <c r="AO124" s="3">
        <v>45954</v>
      </c>
      <c r="AP124" s="3">
        <f t="shared" si="26"/>
        <v>45954</v>
      </c>
      <c r="AQ124" s="3">
        <v>4080</v>
      </c>
      <c r="AR124" s="3">
        <f t="shared" si="18"/>
        <v>41874</v>
      </c>
    </row>
    <row r="125" spans="2:44" x14ac:dyDescent="0.3">
      <c r="B125" t="s">
        <v>2743</v>
      </c>
      <c r="C125" t="s">
        <v>174</v>
      </c>
      <c r="D125" t="str">
        <f t="shared" si="16"/>
        <v>Jun-25</v>
      </c>
      <c r="E125" s="242">
        <v>45834</v>
      </c>
      <c r="F125" t="s">
        <v>951</v>
      </c>
      <c r="G125" t="s">
        <v>406</v>
      </c>
      <c r="H125" s="233">
        <v>9485</v>
      </c>
      <c r="I125" s="233">
        <v>34.200000000000003</v>
      </c>
      <c r="J125" s="241">
        <f t="shared" si="22"/>
        <v>324387</v>
      </c>
      <c r="K125" s="3">
        <v>0</v>
      </c>
      <c r="L125" s="3">
        <f t="shared" si="23"/>
        <v>324387</v>
      </c>
      <c r="M125" s="3"/>
      <c r="N125" t="s">
        <v>2042</v>
      </c>
      <c r="O125" s="240" t="s">
        <v>226</v>
      </c>
      <c r="P125" t="s">
        <v>174</v>
      </c>
      <c r="Q125" s="242">
        <v>45936</v>
      </c>
      <c r="R125" t="s">
        <v>2048</v>
      </c>
      <c r="S125" t="s">
        <v>1497</v>
      </c>
      <c r="T125" s="3">
        <v>25840</v>
      </c>
      <c r="U125" s="233">
        <v>35.5</v>
      </c>
      <c r="V125" s="3">
        <f t="shared" si="24"/>
        <v>917320</v>
      </c>
      <c r="W125" s="3">
        <v>-2485</v>
      </c>
      <c r="X125" s="3">
        <f t="shared" si="25"/>
        <v>914835</v>
      </c>
      <c r="Y125" s="1">
        <f>_xlfn.XLOOKUP(R125,'Details PC'!AA:AA,'Details PC'!AI:AI)-X125</f>
        <v>0</v>
      </c>
      <c r="AA125" t="s">
        <v>174</v>
      </c>
      <c r="AB125" t="str">
        <f t="shared" si="17"/>
        <v>Jan-26</v>
      </c>
      <c r="AC125" s="242">
        <v>46030</v>
      </c>
      <c r="AD125" t="s">
        <v>2412</v>
      </c>
      <c r="AE125" t="s">
        <v>2552</v>
      </c>
      <c r="AG125" t="s">
        <v>2131</v>
      </c>
      <c r="AI125" t="s">
        <v>2565</v>
      </c>
      <c r="AN125" s="3">
        <v>1</v>
      </c>
      <c r="AO125" s="3">
        <v>44351</v>
      </c>
      <c r="AP125" s="3">
        <f t="shared" si="26"/>
        <v>44351</v>
      </c>
      <c r="AQ125" s="3">
        <v>1700</v>
      </c>
      <c r="AR125" s="3">
        <f t="shared" si="18"/>
        <v>42651</v>
      </c>
    </row>
    <row r="126" spans="2:44" x14ac:dyDescent="0.3">
      <c r="B126" t="s">
        <v>2743</v>
      </c>
      <c r="C126" t="s">
        <v>174</v>
      </c>
      <c r="D126" t="str">
        <f t="shared" si="16"/>
        <v>Jun-25</v>
      </c>
      <c r="E126" s="242">
        <v>45836</v>
      </c>
      <c r="F126" t="s">
        <v>956</v>
      </c>
      <c r="G126" t="s">
        <v>406</v>
      </c>
      <c r="H126" s="233">
        <v>5665</v>
      </c>
      <c r="I126" s="233">
        <v>34.200000000000003</v>
      </c>
      <c r="J126" s="241">
        <f t="shared" si="11"/>
        <v>193743.00000000003</v>
      </c>
      <c r="K126" s="3">
        <v>0</v>
      </c>
      <c r="L126" s="3">
        <f t="shared" si="12"/>
        <v>193743.00000000003</v>
      </c>
      <c r="M126" s="3"/>
      <c r="N126" s="233">
        <v>0</v>
      </c>
      <c r="O126" s="240" t="s">
        <v>226</v>
      </c>
      <c r="P126" t="s">
        <v>174</v>
      </c>
      <c r="Q126" s="242">
        <v>45943</v>
      </c>
      <c r="R126" t="s">
        <v>2121</v>
      </c>
      <c r="S126" t="s">
        <v>250</v>
      </c>
      <c r="T126" s="3">
        <v>1</v>
      </c>
      <c r="U126" s="233">
        <v>7360.12</v>
      </c>
      <c r="V126" s="3">
        <f t="shared" ref="V126:V132" si="27">U126*T126</f>
        <v>7360.12</v>
      </c>
      <c r="W126" s="3">
        <v>0</v>
      </c>
      <c r="X126" s="3">
        <f t="shared" ref="X126:X132" si="28">V126+W126</f>
        <v>7360.12</v>
      </c>
      <c r="Y126" s="1">
        <f>_xlfn.XLOOKUP(R126,'Details PC'!AA:AA,'Details PC'!AI:AI)-X126</f>
        <v>0</v>
      </c>
      <c r="AA126" t="s">
        <v>174</v>
      </c>
      <c r="AB126" t="str">
        <f t="shared" si="17"/>
        <v>Jan-00</v>
      </c>
      <c r="AD126" t="s">
        <v>2350</v>
      </c>
      <c r="AE126" t="s">
        <v>2415</v>
      </c>
      <c r="AP126" s="3">
        <f t="shared" si="26"/>
        <v>0</v>
      </c>
      <c r="AQ126" s="3">
        <v>5200</v>
      </c>
      <c r="AR126" s="3">
        <f t="shared" si="18"/>
        <v>-5200</v>
      </c>
    </row>
    <row r="127" spans="2:44" x14ac:dyDescent="0.3">
      <c r="B127" t="s">
        <v>2743</v>
      </c>
      <c r="C127" t="s">
        <v>174</v>
      </c>
      <c r="D127" t="str">
        <f t="shared" si="16"/>
        <v>Jun-25</v>
      </c>
      <c r="E127" s="242">
        <v>45836</v>
      </c>
      <c r="F127" t="s">
        <v>957</v>
      </c>
      <c r="G127" t="s">
        <v>406</v>
      </c>
      <c r="H127" s="233">
        <v>7170</v>
      </c>
      <c r="I127" s="233">
        <v>34.200000000000003</v>
      </c>
      <c r="J127" s="241">
        <f t="shared" si="11"/>
        <v>245214.00000000003</v>
      </c>
      <c r="K127" s="3">
        <v>0</v>
      </c>
      <c r="L127" s="3">
        <f t="shared" si="12"/>
        <v>245214.00000000003</v>
      </c>
      <c r="M127" s="3"/>
      <c r="N127" s="233">
        <v>0</v>
      </c>
      <c r="O127" s="240" t="s">
        <v>226</v>
      </c>
      <c r="P127" t="s">
        <v>174</v>
      </c>
      <c r="Q127" s="242">
        <v>45943</v>
      </c>
      <c r="R127" t="s">
        <v>2122</v>
      </c>
      <c r="S127" t="s">
        <v>250</v>
      </c>
      <c r="T127" s="3">
        <v>1</v>
      </c>
      <c r="U127" s="233">
        <v>9336.2999999999993</v>
      </c>
      <c r="V127" s="3">
        <f t="shared" si="27"/>
        <v>9336.2999999999993</v>
      </c>
      <c r="W127" s="3">
        <v>0</v>
      </c>
      <c r="X127" s="3">
        <f t="shared" si="28"/>
        <v>9336.2999999999993</v>
      </c>
      <c r="Y127" s="1">
        <f>_xlfn.XLOOKUP(R127,'Details PC'!AA:AA,'Details PC'!AI:AI)-X127</f>
        <v>0</v>
      </c>
      <c r="AA127" t="s">
        <v>174</v>
      </c>
      <c r="AB127" t="str">
        <f t="shared" si="17"/>
        <v>Jan-00</v>
      </c>
      <c r="AD127" t="s">
        <v>2351</v>
      </c>
      <c r="AE127" t="s">
        <v>2415</v>
      </c>
      <c r="AP127" s="3">
        <f t="shared" si="26"/>
        <v>0</v>
      </c>
      <c r="AQ127" s="3">
        <v>3412.5</v>
      </c>
      <c r="AR127" s="3">
        <f t="shared" si="18"/>
        <v>-3412.5</v>
      </c>
    </row>
    <row r="128" spans="2:44" x14ac:dyDescent="0.3">
      <c r="B128" t="s">
        <v>2743</v>
      </c>
      <c r="C128" t="s">
        <v>174</v>
      </c>
      <c r="D128" t="str">
        <f t="shared" si="16"/>
        <v>Jun-25</v>
      </c>
      <c r="E128" s="242">
        <v>45836</v>
      </c>
      <c r="F128" t="s">
        <v>960</v>
      </c>
      <c r="G128" t="s">
        <v>400</v>
      </c>
      <c r="H128" s="233">
        <v>31550</v>
      </c>
      <c r="I128" s="233">
        <v>34.299999999999997</v>
      </c>
      <c r="J128" s="241">
        <f t="shared" si="11"/>
        <v>1082165</v>
      </c>
      <c r="K128" s="3">
        <v>0</v>
      </c>
      <c r="L128" s="3">
        <f t="shared" si="12"/>
        <v>1082165</v>
      </c>
      <c r="M128" s="3"/>
      <c r="N128" s="233">
        <v>0</v>
      </c>
      <c r="O128" s="240" t="s">
        <v>226</v>
      </c>
      <c r="P128" t="s">
        <v>174</v>
      </c>
      <c r="Q128" s="242">
        <v>45943</v>
      </c>
      <c r="R128" t="s">
        <v>2123</v>
      </c>
      <c r="S128" t="s">
        <v>250</v>
      </c>
      <c r="T128" s="3">
        <v>1</v>
      </c>
      <c r="U128" s="233">
        <v>6224.2</v>
      </c>
      <c r="V128" s="3">
        <f t="shared" si="27"/>
        <v>6224.2</v>
      </c>
      <c r="W128" s="3">
        <v>0</v>
      </c>
      <c r="X128" s="3">
        <f t="shared" si="28"/>
        <v>6224.2</v>
      </c>
      <c r="Y128" s="1">
        <f>_xlfn.XLOOKUP(R128,'Details PC'!AA:AA,'Details PC'!AI:AI)-X128</f>
        <v>0</v>
      </c>
      <c r="AA128" t="s">
        <v>174</v>
      </c>
      <c r="AB128" t="str">
        <f t="shared" si="17"/>
        <v>Jan-00</v>
      </c>
      <c r="AD128" t="s">
        <v>2385</v>
      </c>
      <c r="AE128" t="s">
        <v>2415</v>
      </c>
      <c r="AP128" s="3">
        <f t="shared" si="26"/>
        <v>0</v>
      </c>
      <c r="AQ128" s="3">
        <v>1209.3800000000001</v>
      </c>
      <c r="AR128" s="3">
        <f t="shared" si="18"/>
        <v>-1209.3800000000001</v>
      </c>
    </row>
    <row r="129" spans="2:44" x14ac:dyDescent="0.3">
      <c r="B129" t="s">
        <v>2743</v>
      </c>
      <c r="C129" t="s">
        <v>174</v>
      </c>
      <c r="D129" t="str">
        <f t="shared" si="16"/>
        <v>Jun-25</v>
      </c>
      <c r="E129" s="242">
        <v>45837</v>
      </c>
      <c r="F129" t="s">
        <v>1369</v>
      </c>
      <c r="G129" t="s">
        <v>400</v>
      </c>
      <c r="H129" s="233">
        <v>7140</v>
      </c>
      <c r="I129" s="233">
        <v>34.299999999999997</v>
      </c>
      <c r="J129" s="241">
        <f t="shared" si="11"/>
        <v>244901.99999999997</v>
      </c>
      <c r="K129" s="3">
        <v>0</v>
      </c>
      <c r="L129" s="3">
        <f t="shared" si="12"/>
        <v>244901.99999999997</v>
      </c>
      <c r="M129" s="3"/>
      <c r="N129" s="233">
        <v>0</v>
      </c>
      <c r="O129" s="240" t="s">
        <v>226</v>
      </c>
      <c r="P129" t="s">
        <v>174</v>
      </c>
      <c r="Q129" s="242">
        <v>45943</v>
      </c>
      <c r="R129" t="s">
        <v>2124</v>
      </c>
      <c r="S129" t="s">
        <v>250</v>
      </c>
      <c r="T129" s="3">
        <v>1</v>
      </c>
      <c r="U129" s="233">
        <v>6161.96</v>
      </c>
      <c r="V129" s="3">
        <f t="shared" si="27"/>
        <v>6161.96</v>
      </c>
      <c r="W129" s="3">
        <v>0</v>
      </c>
      <c r="X129" s="3">
        <f t="shared" si="28"/>
        <v>6161.96</v>
      </c>
      <c r="Y129" s="1">
        <f>_xlfn.XLOOKUP(R129,'Details PC'!AA:AA,'Details PC'!AI:AI)-X129</f>
        <v>0</v>
      </c>
      <c r="AA129" t="s">
        <v>174</v>
      </c>
      <c r="AB129" t="str">
        <f t="shared" si="17"/>
        <v>Jan-00</v>
      </c>
      <c r="AD129" t="s">
        <v>2368</v>
      </c>
      <c r="AE129" t="s">
        <v>2415</v>
      </c>
      <c r="AP129" s="3">
        <f t="shared" si="26"/>
        <v>0</v>
      </c>
      <c r="AQ129" s="3">
        <v>3575</v>
      </c>
      <c r="AR129" s="3">
        <f t="shared" si="18"/>
        <v>-3575</v>
      </c>
    </row>
    <row r="130" spans="2:44" x14ac:dyDescent="0.3">
      <c r="B130" t="s">
        <v>2743</v>
      </c>
      <c r="C130" t="s">
        <v>174</v>
      </c>
      <c r="D130" t="str">
        <f t="shared" si="16"/>
        <v>Jun-25</v>
      </c>
      <c r="E130" s="242">
        <v>45837</v>
      </c>
      <c r="F130" t="s">
        <v>1371</v>
      </c>
      <c r="G130" t="s">
        <v>400</v>
      </c>
      <c r="H130" s="233">
        <v>15970</v>
      </c>
      <c r="I130" s="233">
        <v>34.299999999999997</v>
      </c>
      <c r="J130" s="241">
        <f t="shared" si="11"/>
        <v>547771</v>
      </c>
      <c r="K130" s="3">
        <v>0</v>
      </c>
      <c r="L130" s="3">
        <f t="shared" si="12"/>
        <v>547771</v>
      </c>
      <c r="M130" s="3"/>
      <c r="N130" s="233">
        <v>0</v>
      </c>
      <c r="O130" s="240" t="s">
        <v>226</v>
      </c>
      <c r="P130" t="s">
        <v>174</v>
      </c>
      <c r="Q130" s="242">
        <v>45943</v>
      </c>
      <c r="R130" t="s">
        <v>2125</v>
      </c>
      <c r="S130" t="s">
        <v>250</v>
      </c>
      <c r="T130" s="3">
        <v>1</v>
      </c>
      <c r="U130" s="233">
        <v>5000</v>
      </c>
      <c r="V130" s="3">
        <f t="shared" si="27"/>
        <v>5000</v>
      </c>
      <c r="W130" s="3">
        <v>0</v>
      </c>
      <c r="X130" s="3">
        <f t="shared" si="28"/>
        <v>5000</v>
      </c>
      <c r="Y130" s="1">
        <f>_xlfn.XLOOKUP(R130,'Details PC'!AA:AA,'Details PC'!AI:AI)-X130</f>
        <v>0</v>
      </c>
      <c r="AA130" t="s">
        <v>174</v>
      </c>
      <c r="AB130" t="str">
        <f t="shared" si="17"/>
        <v>Jan-26</v>
      </c>
      <c r="AC130" s="242">
        <v>46041</v>
      </c>
      <c r="AD130" t="s">
        <v>2385</v>
      </c>
      <c r="AE130" t="s">
        <v>2415</v>
      </c>
      <c r="AG130" t="s">
        <v>2661</v>
      </c>
      <c r="AI130" t="s">
        <v>2665</v>
      </c>
      <c r="AN130" s="3">
        <v>1</v>
      </c>
      <c r="AO130" s="3">
        <v>30000</v>
      </c>
      <c r="AP130" s="3">
        <f t="shared" si="26"/>
        <v>30000</v>
      </c>
      <c r="AQ130" s="3">
        <v>0</v>
      </c>
      <c r="AR130" s="3">
        <f t="shared" si="18"/>
        <v>30000</v>
      </c>
    </row>
    <row r="131" spans="2:44" x14ac:dyDescent="0.3">
      <c r="B131" t="s">
        <v>2743</v>
      </c>
      <c r="C131" t="s">
        <v>174</v>
      </c>
      <c r="D131" t="str">
        <f t="shared" si="16"/>
        <v>Jun-25</v>
      </c>
      <c r="E131" s="242">
        <v>45838</v>
      </c>
      <c r="F131" t="s">
        <v>1367</v>
      </c>
      <c r="G131" t="s">
        <v>253</v>
      </c>
      <c r="H131" s="233">
        <v>3190</v>
      </c>
      <c r="I131" s="233">
        <v>31.120999999999999</v>
      </c>
      <c r="J131" s="241">
        <f t="shared" si="11"/>
        <v>99275.989999999991</v>
      </c>
      <c r="K131" s="3">
        <v>0</v>
      </c>
      <c r="L131" s="3">
        <f t="shared" si="12"/>
        <v>99275.989999999991</v>
      </c>
      <c r="M131" s="3"/>
      <c r="N131" s="233">
        <v>0</v>
      </c>
      <c r="O131" s="240" t="s">
        <v>226</v>
      </c>
      <c r="P131" t="s">
        <v>174</v>
      </c>
      <c r="Q131" s="242">
        <v>45944</v>
      </c>
      <c r="R131" t="s">
        <v>2126</v>
      </c>
      <c r="S131" t="s">
        <v>250</v>
      </c>
      <c r="T131" s="3">
        <v>1</v>
      </c>
      <c r="U131" s="233">
        <v>4237.29</v>
      </c>
      <c r="V131" s="3">
        <f t="shared" si="27"/>
        <v>4237.29</v>
      </c>
      <c r="W131" s="3">
        <v>0</v>
      </c>
      <c r="X131" s="3">
        <f t="shared" si="28"/>
        <v>4237.29</v>
      </c>
      <c r="Y131" s="1">
        <f>_xlfn.XLOOKUP(R131,'Details PC'!AA:AA,'Details PC'!AI:AI)-X131</f>
        <v>0</v>
      </c>
      <c r="AA131" t="s">
        <v>174</v>
      </c>
      <c r="AB131" t="str">
        <f t="shared" si="17"/>
        <v>Jan-26</v>
      </c>
      <c r="AC131" s="242">
        <v>46042</v>
      </c>
      <c r="AD131" t="s">
        <v>2660</v>
      </c>
      <c r="AE131" t="s">
        <v>196</v>
      </c>
      <c r="AG131" t="s">
        <v>2662</v>
      </c>
      <c r="AI131" t="s">
        <v>2666</v>
      </c>
      <c r="AN131" s="3">
        <v>14340</v>
      </c>
      <c r="AO131" s="3">
        <v>2.7919999999999998</v>
      </c>
      <c r="AP131" s="3">
        <f t="shared" si="26"/>
        <v>40037.279999999999</v>
      </c>
      <c r="AQ131" s="3">
        <v>0</v>
      </c>
      <c r="AR131" s="3">
        <f t="shared" si="18"/>
        <v>40037.279999999999</v>
      </c>
    </row>
    <row r="132" spans="2:44" x14ac:dyDescent="0.3">
      <c r="B132" t="s">
        <v>2743</v>
      </c>
      <c r="C132" t="s">
        <v>174</v>
      </c>
      <c r="D132" t="str">
        <f t="shared" si="16"/>
        <v>Jun-25</v>
      </c>
      <c r="E132" s="242">
        <v>45838</v>
      </c>
      <c r="F132" t="s">
        <v>1368</v>
      </c>
      <c r="G132" t="s">
        <v>406</v>
      </c>
      <c r="H132" s="233">
        <v>11005</v>
      </c>
      <c r="I132" s="233">
        <v>34.200000000000003</v>
      </c>
      <c r="J132" s="241">
        <f t="shared" ref="J132:J194" si="29">H132*I132</f>
        <v>376371.00000000006</v>
      </c>
      <c r="K132" s="3">
        <v>0</v>
      </c>
      <c r="L132" s="3">
        <f t="shared" ref="L132:L195" si="30">J132+K132</f>
        <v>376371.00000000006</v>
      </c>
      <c r="M132" s="3"/>
      <c r="N132" s="233">
        <v>0</v>
      </c>
      <c r="O132" s="240" t="s">
        <v>226</v>
      </c>
      <c r="P132" t="s">
        <v>174</v>
      </c>
      <c r="Q132" s="242">
        <v>45944</v>
      </c>
      <c r="R132" t="s">
        <v>2127</v>
      </c>
      <c r="S132" t="s">
        <v>250</v>
      </c>
      <c r="T132" s="3">
        <v>1</v>
      </c>
      <c r="U132" s="233">
        <v>37983.269999999997</v>
      </c>
      <c r="V132" s="3">
        <f t="shared" si="27"/>
        <v>37983.269999999997</v>
      </c>
      <c r="W132" s="3">
        <v>0</v>
      </c>
      <c r="X132" s="3">
        <f t="shared" si="28"/>
        <v>37983.269999999997</v>
      </c>
      <c r="Y132" s="1">
        <f>_xlfn.XLOOKUP(R132,'Details PC'!AA:AA,'Details PC'!AI:AI)-X132</f>
        <v>0</v>
      </c>
      <c r="AA132" t="s">
        <v>174</v>
      </c>
      <c r="AB132" t="str">
        <f t="shared" si="17"/>
        <v>Jan-26</v>
      </c>
      <c r="AC132" s="242">
        <v>46044</v>
      </c>
      <c r="AD132" t="s">
        <v>329</v>
      </c>
      <c r="AE132" t="s">
        <v>2325</v>
      </c>
      <c r="AG132" t="s">
        <v>2663</v>
      </c>
      <c r="AI132" t="s">
        <v>2667</v>
      </c>
      <c r="AN132" s="3">
        <v>31360</v>
      </c>
      <c r="AO132" s="3">
        <v>0.2</v>
      </c>
      <c r="AP132" s="3">
        <f t="shared" si="26"/>
        <v>6272</v>
      </c>
      <c r="AQ132" s="3">
        <v>0</v>
      </c>
      <c r="AR132" s="3">
        <f t="shared" si="18"/>
        <v>6272</v>
      </c>
    </row>
    <row r="133" spans="2:44" x14ac:dyDescent="0.3">
      <c r="B133" t="s">
        <v>2743</v>
      </c>
      <c r="C133" t="s">
        <v>174</v>
      </c>
      <c r="D133" t="str">
        <f t="shared" ref="D133:D196" si="31">TEXT(E133,"mmm-yy")</f>
        <v>Jun-25</v>
      </c>
      <c r="E133" s="242">
        <v>45838</v>
      </c>
      <c r="F133" t="s">
        <v>1370</v>
      </c>
      <c r="G133" t="s">
        <v>406</v>
      </c>
      <c r="H133" s="233">
        <v>8395</v>
      </c>
      <c r="I133" s="233">
        <v>34.200000000000003</v>
      </c>
      <c r="J133" s="241">
        <f t="shared" si="29"/>
        <v>287109</v>
      </c>
      <c r="K133" s="3">
        <v>0</v>
      </c>
      <c r="L133" s="3">
        <f t="shared" si="30"/>
        <v>287109</v>
      </c>
      <c r="M133" s="3"/>
      <c r="N133" t="s">
        <v>2180</v>
      </c>
      <c r="O133" s="240" t="s">
        <v>226</v>
      </c>
      <c r="P133" t="s">
        <v>174</v>
      </c>
      <c r="Q133" s="242">
        <v>45956</v>
      </c>
      <c r="R133" t="s">
        <v>2181</v>
      </c>
      <c r="S133" t="s">
        <v>220</v>
      </c>
      <c r="T133" s="3">
        <v>14960</v>
      </c>
      <c r="U133" s="233">
        <v>41.5</v>
      </c>
      <c r="V133" s="3">
        <f t="shared" ref="V133" si="32">U133*T133</f>
        <v>620840</v>
      </c>
      <c r="W133" s="3">
        <v>0</v>
      </c>
      <c r="X133" s="3">
        <f t="shared" ref="X133" si="33">V133+W133</f>
        <v>620840</v>
      </c>
      <c r="Y133" s="1">
        <f>_xlfn.XLOOKUP(R133,'Details PC'!AA:AA,'Details PC'!AI:AI)-X133</f>
        <v>0</v>
      </c>
      <c r="AA133" t="s">
        <v>174</v>
      </c>
      <c r="AB133" t="str">
        <f t="shared" ref="AB133:AB196" si="34">TEXT(AC133,"mmm-yy")</f>
        <v>Jan-26</v>
      </c>
      <c r="AC133" s="242">
        <v>46045</v>
      </c>
      <c r="AD133" t="s">
        <v>2365</v>
      </c>
      <c r="AE133" t="s">
        <v>2415</v>
      </c>
      <c r="AG133" t="s">
        <v>2664</v>
      </c>
      <c r="AI133" t="s">
        <v>2668</v>
      </c>
      <c r="AN133" s="3">
        <v>1</v>
      </c>
      <c r="AO133" s="3">
        <v>30000</v>
      </c>
      <c r="AP133" s="3">
        <f t="shared" si="26"/>
        <v>30000</v>
      </c>
      <c r="AQ133" s="3">
        <v>0</v>
      </c>
      <c r="AR133" s="3">
        <f t="shared" ref="AR133:AR134" si="35">AP133-AQ133</f>
        <v>30000</v>
      </c>
    </row>
    <row r="134" spans="2:44" x14ac:dyDescent="0.3">
      <c r="B134" t="s">
        <v>2743</v>
      </c>
      <c r="C134" t="s">
        <v>174</v>
      </c>
      <c r="D134" t="str">
        <f t="shared" si="31"/>
        <v>Jun-25</v>
      </c>
      <c r="E134" s="242">
        <v>45838</v>
      </c>
      <c r="F134" t="s">
        <v>1372</v>
      </c>
      <c r="G134" t="s">
        <v>406</v>
      </c>
      <c r="H134" s="233">
        <v>6135</v>
      </c>
      <c r="I134" s="233">
        <v>34.200000000000003</v>
      </c>
      <c r="J134" s="241">
        <f t="shared" si="29"/>
        <v>209817.00000000003</v>
      </c>
      <c r="K134" s="3">
        <v>0</v>
      </c>
      <c r="L134" s="3">
        <f t="shared" si="30"/>
        <v>209817.00000000003</v>
      </c>
      <c r="M134" s="3"/>
      <c r="N134" t="s">
        <v>2222</v>
      </c>
      <c r="O134" s="240" t="s">
        <v>226</v>
      </c>
      <c r="P134" t="s">
        <v>174</v>
      </c>
      <c r="Q134" s="242">
        <v>45961</v>
      </c>
      <c r="R134" t="s">
        <v>2223</v>
      </c>
      <c r="S134" t="s">
        <v>1497</v>
      </c>
      <c r="T134" s="3">
        <v>24080</v>
      </c>
      <c r="U134" s="233">
        <v>34.5</v>
      </c>
      <c r="V134" s="3">
        <f t="shared" ref="V134" si="36">U134*T134</f>
        <v>830760</v>
      </c>
      <c r="W134" s="3">
        <v>-690</v>
      </c>
      <c r="X134" s="3">
        <f t="shared" ref="X134" si="37">V134+W134</f>
        <v>830070</v>
      </c>
      <c r="Y134" s="1">
        <f>_xlfn.XLOOKUP(R134,'Details PC'!AA:AA,'Details PC'!AI:AI)-X134</f>
        <v>0</v>
      </c>
      <c r="AA134" t="s">
        <v>174</v>
      </c>
      <c r="AB134" t="str">
        <f t="shared" si="34"/>
        <v>Jan-26</v>
      </c>
      <c r="AC134" s="242">
        <v>46045</v>
      </c>
      <c r="AD134" t="s">
        <v>329</v>
      </c>
      <c r="AE134" t="s">
        <v>2391</v>
      </c>
      <c r="AG134" t="s">
        <v>1744</v>
      </c>
      <c r="AI134" t="s">
        <v>2669</v>
      </c>
      <c r="AN134" s="3">
        <v>1</v>
      </c>
      <c r="AO134" s="3">
        <v>10400</v>
      </c>
      <c r="AP134" s="3">
        <f t="shared" si="26"/>
        <v>10400</v>
      </c>
      <c r="AQ134" s="3">
        <v>0</v>
      </c>
      <c r="AR134" s="3">
        <f t="shared" si="35"/>
        <v>10400</v>
      </c>
    </row>
    <row r="135" spans="2:44" x14ac:dyDescent="0.3">
      <c r="B135" t="s">
        <v>2743</v>
      </c>
      <c r="C135" t="s">
        <v>174</v>
      </c>
      <c r="D135" t="str">
        <f t="shared" si="31"/>
        <v>Jun-25</v>
      </c>
      <c r="E135" s="242">
        <v>45838</v>
      </c>
      <c r="F135" t="s">
        <v>1373</v>
      </c>
      <c r="G135" t="s">
        <v>400</v>
      </c>
      <c r="H135" s="233">
        <v>17530</v>
      </c>
      <c r="I135" s="233">
        <v>34.299999999999997</v>
      </c>
      <c r="J135" s="241">
        <f t="shared" si="29"/>
        <v>601279</v>
      </c>
      <c r="K135" s="3">
        <v>0</v>
      </c>
      <c r="L135" s="3">
        <f t="shared" si="30"/>
        <v>601279</v>
      </c>
      <c r="M135" s="3"/>
      <c r="N135" t="s">
        <v>2253</v>
      </c>
      <c r="O135" s="240" t="s">
        <v>226</v>
      </c>
      <c r="P135" t="s">
        <v>174</v>
      </c>
      <c r="Q135" s="242">
        <v>45963</v>
      </c>
      <c r="R135" t="s">
        <v>2247</v>
      </c>
      <c r="S135" t="s">
        <v>1465</v>
      </c>
      <c r="T135" s="3">
        <v>27635</v>
      </c>
      <c r="U135" s="233">
        <v>33.200000000000003</v>
      </c>
      <c r="V135" s="3">
        <f t="shared" ref="V135:V140" si="38">U135*T135</f>
        <v>917482.00000000012</v>
      </c>
      <c r="W135" s="3">
        <v>0</v>
      </c>
      <c r="X135" s="3">
        <f t="shared" ref="X135:X140" si="39">V135+W135</f>
        <v>917482.00000000012</v>
      </c>
      <c r="Y135" s="1">
        <f>_xlfn.XLOOKUP(R135,'Details PC'!AA:AA,'Details PC'!AI:AI)-X135</f>
        <v>0</v>
      </c>
      <c r="AA135" t="s">
        <v>174</v>
      </c>
      <c r="AB135" t="str">
        <f t="shared" si="34"/>
        <v>Feb-26</v>
      </c>
      <c r="AC135" s="242">
        <v>46056</v>
      </c>
      <c r="AD135" t="s">
        <v>2437</v>
      </c>
      <c r="AE135" t="s">
        <v>2790</v>
      </c>
      <c r="AG135" t="s">
        <v>2793</v>
      </c>
      <c r="AI135" t="s">
        <v>2799</v>
      </c>
      <c r="AN135" s="3">
        <v>1</v>
      </c>
      <c r="AO135" s="3">
        <v>69000</v>
      </c>
      <c r="AP135" s="3">
        <f t="shared" ref="AP135:AP140" si="40">AN135*AO135</f>
        <v>69000</v>
      </c>
      <c r="AQ135" s="3">
        <v>0</v>
      </c>
      <c r="AR135" s="3">
        <f t="shared" ref="AR135:AR140" si="41">AP135-AQ135</f>
        <v>69000</v>
      </c>
    </row>
    <row r="136" spans="2:44" x14ac:dyDescent="0.3">
      <c r="B136" t="s">
        <v>2743</v>
      </c>
      <c r="C136" t="s">
        <v>174</v>
      </c>
      <c r="D136" t="str">
        <f t="shared" si="31"/>
        <v>Jun-25</v>
      </c>
      <c r="E136" s="242">
        <v>45838</v>
      </c>
      <c r="F136" t="s">
        <v>1374</v>
      </c>
      <c r="G136" t="s">
        <v>400</v>
      </c>
      <c r="H136" s="233">
        <v>37510</v>
      </c>
      <c r="I136" s="233">
        <v>34.299999999999997</v>
      </c>
      <c r="J136" s="241">
        <f t="shared" si="29"/>
        <v>1286593</v>
      </c>
      <c r="K136" s="3">
        <v>0</v>
      </c>
      <c r="L136" s="3">
        <f t="shared" si="30"/>
        <v>1286593</v>
      </c>
      <c r="M136" s="3"/>
      <c r="N136" t="s">
        <v>2254</v>
      </c>
      <c r="O136" s="240" t="s">
        <v>226</v>
      </c>
      <c r="P136" t="s">
        <v>174</v>
      </c>
      <c r="Q136" s="242">
        <v>45964</v>
      </c>
      <c r="R136" t="s">
        <v>2248</v>
      </c>
      <c r="S136" t="s">
        <v>220</v>
      </c>
      <c r="T136" s="3">
        <v>13220</v>
      </c>
      <c r="U136" s="233">
        <v>41.5</v>
      </c>
      <c r="V136" s="3">
        <f t="shared" si="38"/>
        <v>548630</v>
      </c>
      <c r="W136" s="3">
        <v>0</v>
      </c>
      <c r="X136" s="3">
        <f t="shared" si="39"/>
        <v>548630</v>
      </c>
      <c r="Y136" s="1">
        <f>_xlfn.XLOOKUP(R136,'Details PC'!AA:AA,'Details PC'!AI:AI)-X136</f>
        <v>0</v>
      </c>
      <c r="AA136" t="s">
        <v>174</v>
      </c>
      <c r="AB136" t="str">
        <f t="shared" si="34"/>
        <v>Feb-26</v>
      </c>
      <c r="AC136" s="242">
        <v>46058</v>
      </c>
      <c r="AD136" t="s">
        <v>2752</v>
      </c>
      <c r="AE136" t="s">
        <v>2791</v>
      </c>
      <c r="AG136" t="s">
        <v>2794</v>
      </c>
      <c r="AI136" t="s">
        <v>2800</v>
      </c>
      <c r="AN136" s="3">
        <v>1</v>
      </c>
      <c r="AO136" s="3">
        <v>30000</v>
      </c>
      <c r="AP136" s="3">
        <f t="shared" si="40"/>
        <v>30000</v>
      </c>
      <c r="AQ136" s="3">
        <v>0</v>
      </c>
      <c r="AR136" s="3">
        <f t="shared" si="41"/>
        <v>30000</v>
      </c>
    </row>
    <row r="137" spans="2:44" x14ac:dyDescent="0.3">
      <c r="B137" t="s">
        <v>2743</v>
      </c>
      <c r="C137" t="s">
        <v>174</v>
      </c>
      <c r="D137" t="str">
        <f t="shared" si="31"/>
        <v>Jul-25</v>
      </c>
      <c r="E137" s="242">
        <v>45841</v>
      </c>
      <c r="F137" t="s">
        <v>1398</v>
      </c>
      <c r="G137" t="s">
        <v>400</v>
      </c>
      <c r="H137" s="233">
        <v>20250</v>
      </c>
      <c r="I137" s="233">
        <v>33.1</v>
      </c>
      <c r="J137" s="241">
        <f t="shared" si="29"/>
        <v>670275</v>
      </c>
      <c r="K137" s="3">
        <v>0</v>
      </c>
      <c r="L137" s="3">
        <f t="shared" si="30"/>
        <v>670275</v>
      </c>
      <c r="M137" s="3"/>
      <c r="N137" t="s">
        <v>2255</v>
      </c>
      <c r="O137" s="240" t="s">
        <v>226</v>
      </c>
      <c r="P137" t="s">
        <v>174</v>
      </c>
      <c r="Q137" s="242">
        <v>45964</v>
      </c>
      <c r="R137" t="s">
        <v>2249</v>
      </c>
      <c r="S137" t="s">
        <v>1465</v>
      </c>
      <c r="T137" s="3">
        <v>27990</v>
      </c>
      <c r="U137" s="233">
        <v>33.200000000000003</v>
      </c>
      <c r="V137" s="3">
        <f t="shared" si="38"/>
        <v>929268.00000000012</v>
      </c>
      <c r="W137" s="3">
        <v>0</v>
      </c>
      <c r="X137" s="3">
        <f t="shared" si="39"/>
        <v>929268.00000000012</v>
      </c>
      <c r="Y137" s="1">
        <f>_xlfn.XLOOKUP(R137,'Details PC'!AA:AA,'Details PC'!AI:AI)-X137</f>
        <v>0</v>
      </c>
      <c r="AA137" t="s">
        <v>174</v>
      </c>
      <c r="AB137" t="str">
        <f t="shared" si="34"/>
        <v>Feb-26</v>
      </c>
      <c r="AC137" s="242">
        <v>46058</v>
      </c>
      <c r="AD137" t="s">
        <v>329</v>
      </c>
      <c r="AE137" t="s">
        <v>2792</v>
      </c>
      <c r="AG137" t="s">
        <v>2795</v>
      </c>
      <c r="AI137" t="s">
        <v>2801</v>
      </c>
      <c r="AN137" s="3">
        <v>1</v>
      </c>
      <c r="AO137" s="3">
        <v>45850</v>
      </c>
      <c r="AP137" s="3">
        <f t="shared" si="40"/>
        <v>45850</v>
      </c>
      <c r="AQ137" s="3">
        <v>0</v>
      </c>
      <c r="AR137" s="3">
        <f t="shared" si="41"/>
        <v>45850</v>
      </c>
    </row>
    <row r="138" spans="2:44" x14ac:dyDescent="0.3">
      <c r="B138" t="s">
        <v>2743</v>
      </c>
      <c r="C138" t="s">
        <v>174</v>
      </c>
      <c r="D138" t="str">
        <f t="shared" si="31"/>
        <v>Jul-25</v>
      </c>
      <c r="E138" s="242">
        <v>45842</v>
      </c>
      <c r="F138" t="s">
        <v>1399</v>
      </c>
      <c r="G138" t="s">
        <v>400</v>
      </c>
      <c r="H138" s="233">
        <v>11620</v>
      </c>
      <c r="I138" s="233">
        <v>33.1</v>
      </c>
      <c r="J138" s="241">
        <f t="shared" si="29"/>
        <v>384622</v>
      </c>
      <c r="K138" s="3">
        <v>0</v>
      </c>
      <c r="L138" s="3">
        <f t="shared" si="30"/>
        <v>384622</v>
      </c>
      <c r="M138" s="3"/>
      <c r="N138" t="s">
        <v>2256</v>
      </c>
      <c r="O138" s="240" t="s">
        <v>226</v>
      </c>
      <c r="P138" t="s">
        <v>174</v>
      </c>
      <c r="Q138" s="242">
        <v>45965</v>
      </c>
      <c r="R138" t="s">
        <v>2250</v>
      </c>
      <c r="S138" t="s">
        <v>1497</v>
      </c>
      <c r="T138" s="3">
        <v>25420</v>
      </c>
      <c r="U138" s="233">
        <v>34.5</v>
      </c>
      <c r="V138" s="3">
        <f t="shared" si="38"/>
        <v>876990</v>
      </c>
      <c r="W138" s="3">
        <v>-876990</v>
      </c>
      <c r="X138" s="3">
        <f t="shared" si="39"/>
        <v>0</v>
      </c>
      <c r="Y138" s="1">
        <f>_xlfn.XLOOKUP(R138,'Details PC'!AA:AA,'Details PC'!AI:AI)-X138</f>
        <v>0</v>
      </c>
      <c r="AA138" t="s">
        <v>174</v>
      </c>
      <c r="AB138" t="str">
        <f t="shared" si="34"/>
        <v>Feb-26</v>
      </c>
      <c r="AC138" s="242">
        <v>46059</v>
      </c>
      <c r="AD138" t="s">
        <v>329</v>
      </c>
      <c r="AE138" t="s">
        <v>1738</v>
      </c>
      <c r="AG138" t="s">
        <v>2796</v>
      </c>
      <c r="AI138" t="s">
        <v>2802</v>
      </c>
      <c r="AN138" s="3">
        <v>1</v>
      </c>
      <c r="AO138" s="3">
        <v>14006</v>
      </c>
      <c r="AP138" s="3">
        <f t="shared" si="40"/>
        <v>14006</v>
      </c>
      <c r="AQ138" s="3">
        <v>0</v>
      </c>
      <c r="AR138" s="3">
        <f t="shared" si="41"/>
        <v>14006</v>
      </c>
    </row>
    <row r="139" spans="2:44" x14ac:dyDescent="0.3">
      <c r="B139" t="s">
        <v>2743</v>
      </c>
      <c r="C139" t="s">
        <v>174</v>
      </c>
      <c r="D139" t="str">
        <f t="shared" si="31"/>
        <v>Jul-25</v>
      </c>
      <c r="E139" s="242">
        <v>45842</v>
      </c>
      <c r="F139" t="s">
        <v>1400</v>
      </c>
      <c r="G139" t="s">
        <v>400</v>
      </c>
      <c r="H139" s="233">
        <v>6560</v>
      </c>
      <c r="I139" s="233">
        <v>33.1</v>
      </c>
      <c r="J139" s="241">
        <f t="shared" si="29"/>
        <v>217136</v>
      </c>
      <c r="K139" s="3">
        <v>0</v>
      </c>
      <c r="L139" s="3">
        <f t="shared" si="30"/>
        <v>217136</v>
      </c>
      <c r="M139" s="3"/>
      <c r="N139" t="s">
        <v>2257</v>
      </c>
      <c r="O139" s="240" t="s">
        <v>226</v>
      </c>
      <c r="P139" t="s">
        <v>174</v>
      </c>
      <c r="Q139" s="242">
        <v>45966</v>
      </c>
      <c r="R139" t="s">
        <v>2251</v>
      </c>
      <c r="S139" t="s">
        <v>1465</v>
      </c>
      <c r="T139" s="3">
        <v>22965</v>
      </c>
      <c r="U139" s="233">
        <v>33.200000000000003</v>
      </c>
      <c r="V139" s="3">
        <f t="shared" si="38"/>
        <v>762438.00000000012</v>
      </c>
      <c r="W139" s="3">
        <v>0</v>
      </c>
      <c r="X139" s="3">
        <f t="shared" si="39"/>
        <v>762438.00000000012</v>
      </c>
      <c r="Y139" s="1">
        <f>_xlfn.XLOOKUP(R139,'Details PC'!AA:AA,'Details PC'!AI:AI)-X139</f>
        <v>0</v>
      </c>
      <c r="AA139" t="s">
        <v>174</v>
      </c>
      <c r="AB139" t="str">
        <f t="shared" si="34"/>
        <v>Feb-26</v>
      </c>
      <c r="AC139" s="242">
        <v>46059</v>
      </c>
      <c r="AD139" t="s">
        <v>329</v>
      </c>
      <c r="AE139" t="s">
        <v>1738</v>
      </c>
      <c r="AG139" t="s">
        <v>2797</v>
      </c>
      <c r="AI139" t="s">
        <v>2803</v>
      </c>
      <c r="AN139" s="3">
        <v>1</v>
      </c>
      <c r="AO139" s="3">
        <v>7049</v>
      </c>
      <c r="AP139" s="3">
        <f t="shared" si="40"/>
        <v>7049</v>
      </c>
      <c r="AQ139" s="3">
        <v>0</v>
      </c>
      <c r="AR139" s="3">
        <f t="shared" si="41"/>
        <v>7049</v>
      </c>
    </row>
    <row r="140" spans="2:44" x14ac:dyDescent="0.3">
      <c r="B140" t="s">
        <v>2743</v>
      </c>
      <c r="C140" t="s">
        <v>174</v>
      </c>
      <c r="D140" t="str">
        <f t="shared" si="31"/>
        <v>Jul-25</v>
      </c>
      <c r="E140" s="242">
        <v>45842</v>
      </c>
      <c r="F140" t="s">
        <v>1401</v>
      </c>
      <c r="G140" t="s">
        <v>400</v>
      </c>
      <c r="H140" s="233">
        <v>25560</v>
      </c>
      <c r="I140" s="233">
        <v>33.1</v>
      </c>
      <c r="J140" s="241">
        <f t="shared" si="29"/>
        <v>846036</v>
      </c>
      <c r="K140" s="3">
        <v>0</v>
      </c>
      <c r="L140" s="3">
        <f t="shared" si="30"/>
        <v>846036</v>
      </c>
      <c r="M140" s="3"/>
      <c r="N140" t="s">
        <v>2258</v>
      </c>
      <c r="O140" s="240" t="s">
        <v>226</v>
      </c>
      <c r="P140" t="s">
        <v>174</v>
      </c>
      <c r="Q140" s="242">
        <v>45970</v>
      </c>
      <c r="R140" t="s">
        <v>2252</v>
      </c>
      <c r="S140" t="s">
        <v>1465</v>
      </c>
      <c r="T140" s="3">
        <v>15185</v>
      </c>
      <c r="U140" s="233">
        <v>33.200000000000003</v>
      </c>
      <c r="V140" s="3">
        <f t="shared" si="38"/>
        <v>504142.00000000006</v>
      </c>
      <c r="W140" s="3">
        <v>0</v>
      </c>
      <c r="X140" s="3">
        <f t="shared" si="39"/>
        <v>504142.00000000006</v>
      </c>
      <c r="Y140" s="1">
        <f>_xlfn.XLOOKUP(R140,'Details PC'!AA:AA,'Details PC'!AI:AI)-X140</f>
        <v>0</v>
      </c>
      <c r="AA140" t="s">
        <v>174</v>
      </c>
      <c r="AB140" t="str">
        <f t="shared" si="34"/>
        <v>Feb-26</v>
      </c>
      <c r="AC140" s="242">
        <v>46059</v>
      </c>
      <c r="AD140" t="s">
        <v>2436</v>
      </c>
      <c r="AE140" t="s">
        <v>1433</v>
      </c>
      <c r="AG140" t="s">
        <v>2798</v>
      </c>
      <c r="AI140" t="s">
        <v>2804</v>
      </c>
      <c r="AN140" s="3">
        <v>31.364999999999998</v>
      </c>
      <c r="AO140" s="3">
        <v>1200</v>
      </c>
      <c r="AP140" s="3">
        <f t="shared" si="40"/>
        <v>37638</v>
      </c>
      <c r="AQ140" s="3">
        <v>4930</v>
      </c>
      <c r="AR140" s="3">
        <f t="shared" si="41"/>
        <v>32708</v>
      </c>
    </row>
    <row r="141" spans="2:44" x14ac:dyDescent="0.3">
      <c r="B141" t="s">
        <v>1365</v>
      </c>
      <c r="C141" t="s">
        <v>174</v>
      </c>
      <c r="D141" t="str">
        <f t="shared" si="31"/>
        <v>Jul-25</v>
      </c>
      <c r="E141" s="242">
        <v>45842</v>
      </c>
      <c r="F141" t="s">
        <v>329</v>
      </c>
      <c r="G141" t="s">
        <v>395</v>
      </c>
      <c r="H141" s="233">
        <v>1</v>
      </c>
      <c r="I141" s="233">
        <v>200000</v>
      </c>
      <c r="J141" s="241">
        <f t="shared" si="29"/>
        <v>200000</v>
      </c>
      <c r="K141" s="3">
        <v>0</v>
      </c>
      <c r="L141" s="3">
        <f t="shared" si="30"/>
        <v>200000</v>
      </c>
      <c r="M141" s="3"/>
      <c r="N141" t="s">
        <v>2290</v>
      </c>
      <c r="O141" s="240" t="s">
        <v>226</v>
      </c>
      <c r="P141" t="s">
        <v>174</v>
      </c>
      <c r="Q141" s="242">
        <v>45971</v>
      </c>
      <c r="R141" t="s">
        <v>2298</v>
      </c>
      <c r="S141" t="s">
        <v>1497</v>
      </c>
      <c r="T141" s="3">
        <v>23460</v>
      </c>
      <c r="U141" s="233">
        <v>35</v>
      </c>
      <c r="V141" s="3">
        <f t="shared" ref="V141:V148" si="42">U141*T141</f>
        <v>821100</v>
      </c>
      <c r="W141" s="3">
        <v>-821100</v>
      </c>
      <c r="X141" s="3">
        <f t="shared" ref="X141:X148" si="43">V141+W141</f>
        <v>0</v>
      </c>
      <c r="Y141" s="1" t="e">
        <f>_xlfn.XLOOKUP(R141,'Details PC'!AA:AA,'Details PC'!AI:AI)-X141</f>
        <v>#N/A</v>
      </c>
      <c r="AA141" t="s">
        <v>174</v>
      </c>
      <c r="AB141" t="str">
        <f t="shared" si="34"/>
        <v>Feb-26</v>
      </c>
      <c r="AC141" s="242">
        <v>46065</v>
      </c>
      <c r="AE141" t="s">
        <v>196</v>
      </c>
      <c r="AG141" t="s">
        <v>2807</v>
      </c>
      <c r="AI141" s="3" t="s">
        <v>2808</v>
      </c>
      <c r="AJ141" s="331"/>
      <c r="AK141" s="3"/>
      <c r="AL141" s="3"/>
      <c r="AM141" s="3"/>
      <c r="AN141" s="3">
        <v>1</v>
      </c>
      <c r="AO141" s="3">
        <v>66000</v>
      </c>
      <c r="AP141" s="3">
        <f t="shared" ref="AP141" si="44">AN141*AO141</f>
        <v>66000</v>
      </c>
      <c r="AQ141" s="3">
        <v>0</v>
      </c>
      <c r="AR141" s="3">
        <f t="shared" ref="AR141" si="45">AP141-AQ141</f>
        <v>66000</v>
      </c>
    </row>
    <row r="142" spans="2:44" x14ac:dyDescent="0.3">
      <c r="B142" t="s">
        <v>1365</v>
      </c>
      <c r="C142" t="s">
        <v>174</v>
      </c>
      <c r="D142" t="str">
        <f t="shared" si="31"/>
        <v>Jul-25</v>
      </c>
      <c r="E142" s="242">
        <v>45843</v>
      </c>
      <c r="F142" t="s">
        <v>329</v>
      </c>
      <c r="G142" t="s">
        <v>240</v>
      </c>
      <c r="H142" s="233">
        <v>1</v>
      </c>
      <c r="I142" s="233">
        <v>101050</v>
      </c>
      <c r="J142" s="241">
        <f t="shared" si="29"/>
        <v>101050</v>
      </c>
      <c r="K142" s="3">
        <v>0</v>
      </c>
      <c r="L142" s="3">
        <f t="shared" si="30"/>
        <v>101050</v>
      </c>
      <c r="M142" s="3"/>
      <c r="N142" t="s">
        <v>2291</v>
      </c>
      <c r="O142" s="240" t="s">
        <v>226</v>
      </c>
      <c r="P142" t="s">
        <v>174</v>
      </c>
      <c r="Q142" s="242">
        <v>45971</v>
      </c>
      <c r="R142" t="s">
        <v>2299</v>
      </c>
      <c r="S142" t="s">
        <v>1497</v>
      </c>
      <c r="T142" s="3">
        <v>25525</v>
      </c>
      <c r="U142" s="233">
        <v>34.5</v>
      </c>
      <c r="V142" s="3">
        <f t="shared" si="42"/>
        <v>880612.5</v>
      </c>
      <c r="W142" s="3">
        <v>0</v>
      </c>
      <c r="X142" s="3">
        <f t="shared" si="43"/>
        <v>880612.5</v>
      </c>
      <c r="Y142" s="1">
        <f>_xlfn.XLOOKUP(R142,'Details PC'!AA:AA,'Details PC'!AI:AI)-X142</f>
        <v>0</v>
      </c>
      <c r="AA142" t="s">
        <v>174</v>
      </c>
      <c r="AB142" t="str">
        <f t="shared" si="34"/>
        <v>Feb-26</v>
      </c>
      <c r="AC142" s="242">
        <v>46073</v>
      </c>
      <c r="AD142" t="s">
        <v>2424</v>
      </c>
      <c r="AE142" t="s">
        <v>2552</v>
      </c>
      <c r="AG142" t="s">
        <v>2829</v>
      </c>
      <c r="AI142" t="s">
        <v>2828</v>
      </c>
      <c r="AN142" s="3">
        <v>1</v>
      </c>
      <c r="AO142" s="3">
        <v>3400</v>
      </c>
      <c r="AP142" s="3">
        <f t="shared" ref="AP142" si="46">AN142*AO142</f>
        <v>3400</v>
      </c>
      <c r="AQ142" s="3">
        <v>0</v>
      </c>
      <c r="AR142" s="3">
        <f t="shared" ref="AR142" si="47">AP142-AQ142</f>
        <v>3400</v>
      </c>
    </row>
    <row r="143" spans="2:44" x14ac:dyDescent="0.3">
      <c r="B143" t="s">
        <v>1365</v>
      </c>
      <c r="C143" t="s">
        <v>174</v>
      </c>
      <c r="D143" t="str">
        <f t="shared" si="31"/>
        <v>Jul-25</v>
      </c>
      <c r="E143" s="242">
        <v>45845</v>
      </c>
      <c r="F143" t="s">
        <v>329</v>
      </c>
      <c r="G143" t="s">
        <v>462</v>
      </c>
      <c r="H143" s="233">
        <v>6</v>
      </c>
      <c r="I143" s="233">
        <v>230</v>
      </c>
      <c r="J143" s="241">
        <f t="shared" si="29"/>
        <v>1380</v>
      </c>
      <c r="K143" s="3">
        <v>0</v>
      </c>
      <c r="L143" s="3">
        <f t="shared" si="30"/>
        <v>1380</v>
      </c>
      <c r="M143" s="3"/>
      <c r="N143" t="s">
        <v>2292</v>
      </c>
      <c r="O143" s="240" t="s">
        <v>226</v>
      </c>
      <c r="P143" t="s">
        <v>174</v>
      </c>
      <c r="Q143" s="242">
        <v>45972</v>
      </c>
      <c r="R143" t="s">
        <v>2300</v>
      </c>
      <c r="S143" t="s">
        <v>1497</v>
      </c>
      <c r="T143" s="3">
        <v>23460</v>
      </c>
      <c r="U143" s="233">
        <v>35</v>
      </c>
      <c r="V143" s="3">
        <f t="shared" si="42"/>
        <v>821100</v>
      </c>
      <c r="W143" s="3">
        <v>-1050</v>
      </c>
      <c r="X143" s="3">
        <f t="shared" si="43"/>
        <v>820050</v>
      </c>
      <c r="Y143" s="1">
        <f>_xlfn.XLOOKUP(R143,'Details PC'!AA:AA,'Details PC'!AI:AI)-X143</f>
        <v>0</v>
      </c>
      <c r="AA143" t="s">
        <v>174</v>
      </c>
      <c r="AB143" t="str">
        <f t="shared" si="34"/>
        <v>Feb-26</v>
      </c>
      <c r="AC143" s="242">
        <v>46078</v>
      </c>
      <c r="AD143" t="s">
        <v>329</v>
      </c>
      <c r="AE143" t="s">
        <v>1738</v>
      </c>
      <c r="AG143" t="s">
        <v>2849</v>
      </c>
      <c r="AI143" t="s">
        <v>2854</v>
      </c>
      <c r="AN143" s="3">
        <v>1</v>
      </c>
      <c r="AO143" s="3">
        <v>31970</v>
      </c>
      <c r="AP143" s="3">
        <f t="shared" ref="AP143:AP147" si="48">AN143*AO143</f>
        <v>31970</v>
      </c>
      <c r="AQ143" s="3">
        <v>0</v>
      </c>
      <c r="AR143" s="3">
        <f t="shared" ref="AR143:AR147" si="49">AP143-AQ143</f>
        <v>31970</v>
      </c>
    </row>
    <row r="144" spans="2:44" x14ac:dyDescent="0.3">
      <c r="B144" t="s">
        <v>2743</v>
      </c>
      <c r="C144" t="s">
        <v>174</v>
      </c>
      <c r="D144" t="str">
        <f t="shared" si="31"/>
        <v>Jul-25</v>
      </c>
      <c r="E144" s="242">
        <v>45846</v>
      </c>
      <c r="F144" t="s">
        <v>1425</v>
      </c>
      <c r="G144" t="s">
        <v>400</v>
      </c>
      <c r="H144" s="233">
        <v>18280</v>
      </c>
      <c r="I144" s="233">
        <v>33.1</v>
      </c>
      <c r="J144" s="241">
        <f t="shared" si="29"/>
        <v>605068</v>
      </c>
      <c r="K144" s="3">
        <v>0</v>
      </c>
      <c r="L144" s="3">
        <f t="shared" si="30"/>
        <v>605068</v>
      </c>
      <c r="M144" s="3"/>
      <c r="N144" t="s">
        <v>2293</v>
      </c>
      <c r="O144" s="240" t="s">
        <v>226</v>
      </c>
      <c r="P144" t="s">
        <v>174</v>
      </c>
      <c r="Q144" s="242">
        <v>45972</v>
      </c>
      <c r="R144" t="s">
        <v>2301</v>
      </c>
      <c r="S144" t="s">
        <v>220</v>
      </c>
      <c r="T144" s="3">
        <v>16740</v>
      </c>
      <c r="U144" s="233">
        <v>41.5</v>
      </c>
      <c r="V144" s="3">
        <f t="shared" si="42"/>
        <v>694710</v>
      </c>
      <c r="W144" s="3">
        <v>0</v>
      </c>
      <c r="X144" s="3">
        <f t="shared" si="43"/>
        <v>694710</v>
      </c>
      <c r="Y144" s="1">
        <f>_xlfn.XLOOKUP(R144,'Details PC'!AA:AA,'Details PC'!AI:AI)-X144</f>
        <v>0</v>
      </c>
      <c r="AA144" t="s">
        <v>174</v>
      </c>
      <c r="AB144" t="str">
        <f t="shared" si="34"/>
        <v>Feb-26</v>
      </c>
      <c r="AC144" s="242">
        <v>46080</v>
      </c>
      <c r="AD144" t="s">
        <v>2351</v>
      </c>
      <c r="AE144" t="s">
        <v>1433</v>
      </c>
      <c r="AG144" t="s">
        <v>2850</v>
      </c>
      <c r="AI144" t="s">
        <v>2855</v>
      </c>
      <c r="AN144" s="3">
        <v>1</v>
      </c>
      <c r="AO144" s="3">
        <v>30750</v>
      </c>
      <c r="AP144" s="3">
        <f t="shared" si="48"/>
        <v>30750</v>
      </c>
      <c r="AQ144" s="3">
        <v>0</v>
      </c>
      <c r="AR144" s="3">
        <f t="shared" si="49"/>
        <v>30750</v>
      </c>
    </row>
    <row r="145" spans="2:44" x14ac:dyDescent="0.3">
      <c r="B145" t="s">
        <v>2743</v>
      </c>
      <c r="C145" t="s">
        <v>174</v>
      </c>
      <c r="D145" t="str">
        <f t="shared" si="31"/>
        <v>Jul-25</v>
      </c>
      <c r="E145" s="242">
        <v>45849</v>
      </c>
      <c r="F145" t="s">
        <v>1438</v>
      </c>
      <c r="G145" t="s">
        <v>400</v>
      </c>
      <c r="H145" s="233">
        <v>14660</v>
      </c>
      <c r="I145" s="233">
        <v>33.1</v>
      </c>
      <c r="J145" s="241">
        <f t="shared" si="29"/>
        <v>485246</v>
      </c>
      <c r="K145" s="3">
        <v>0</v>
      </c>
      <c r="L145" s="3">
        <f t="shared" si="30"/>
        <v>485246</v>
      </c>
      <c r="M145" s="3"/>
      <c r="N145" t="s">
        <v>2294</v>
      </c>
      <c r="O145" s="240" t="s">
        <v>226</v>
      </c>
      <c r="P145" t="s">
        <v>174</v>
      </c>
      <c r="Q145" s="242">
        <v>45973</v>
      </c>
      <c r="R145" t="s">
        <v>2302</v>
      </c>
      <c r="S145" t="s">
        <v>1497</v>
      </c>
      <c r="T145" s="3">
        <v>24755</v>
      </c>
      <c r="U145" s="233">
        <v>35</v>
      </c>
      <c r="V145" s="3">
        <f t="shared" si="42"/>
        <v>866425</v>
      </c>
      <c r="W145" s="3">
        <v>0</v>
      </c>
      <c r="X145" s="3">
        <f t="shared" si="43"/>
        <v>866425</v>
      </c>
      <c r="Y145" s="1">
        <f>_xlfn.XLOOKUP(R145,'Details PC'!AA:AA,'Details PC'!AI:AI)-X145</f>
        <v>0</v>
      </c>
      <c r="AA145" t="s">
        <v>174</v>
      </c>
      <c r="AB145" t="str">
        <f t="shared" si="34"/>
        <v>Feb-26</v>
      </c>
      <c r="AC145" s="242">
        <v>46080</v>
      </c>
      <c r="AD145" t="s">
        <v>2350</v>
      </c>
      <c r="AE145" t="s">
        <v>1433</v>
      </c>
      <c r="AG145" t="s">
        <v>2851</v>
      </c>
      <c r="AI145" t="s">
        <v>2856</v>
      </c>
      <c r="AN145" s="3">
        <v>1</v>
      </c>
      <c r="AO145" s="3">
        <v>30750</v>
      </c>
      <c r="AP145" s="3">
        <f t="shared" si="48"/>
        <v>30750</v>
      </c>
      <c r="AQ145" s="3">
        <v>0</v>
      </c>
      <c r="AR145" s="3">
        <f t="shared" si="49"/>
        <v>30750</v>
      </c>
    </row>
    <row r="146" spans="2:44" x14ac:dyDescent="0.3">
      <c r="B146" t="s">
        <v>2743</v>
      </c>
      <c r="C146" t="s">
        <v>174</v>
      </c>
      <c r="D146" t="str">
        <f t="shared" si="31"/>
        <v>Jul-25</v>
      </c>
      <c r="E146" s="242">
        <v>45850</v>
      </c>
      <c r="F146" t="s">
        <v>1439</v>
      </c>
      <c r="G146" t="s">
        <v>400</v>
      </c>
      <c r="H146" s="233">
        <v>4870</v>
      </c>
      <c r="I146" s="233">
        <v>33.1</v>
      </c>
      <c r="J146" s="241">
        <f t="shared" si="29"/>
        <v>161197</v>
      </c>
      <c r="K146" s="3">
        <v>0</v>
      </c>
      <c r="L146" s="3">
        <f t="shared" si="30"/>
        <v>161197</v>
      </c>
      <c r="M146" s="3"/>
      <c r="N146" t="s">
        <v>2295</v>
      </c>
      <c r="O146" s="240" t="s">
        <v>226</v>
      </c>
      <c r="P146" t="s">
        <v>174</v>
      </c>
      <c r="Q146" s="242">
        <v>45974</v>
      </c>
      <c r="R146" t="s">
        <v>2303</v>
      </c>
      <c r="S146" t="s">
        <v>1497</v>
      </c>
      <c r="T146" s="3">
        <v>25410</v>
      </c>
      <c r="U146" s="233">
        <v>34.5</v>
      </c>
      <c r="V146" s="3">
        <f t="shared" si="42"/>
        <v>876645</v>
      </c>
      <c r="W146" s="3">
        <v>-1380</v>
      </c>
      <c r="X146" s="3">
        <f t="shared" si="43"/>
        <v>875265</v>
      </c>
      <c r="Y146" s="1">
        <f>_xlfn.XLOOKUP(R146,'Details PC'!AA:AA,'Details PC'!AI:AI)-X146</f>
        <v>0</v>
      </c>
      <c r="AA146" t="s">
        <v>174</v>
      </c>
      <c r="AB146" t="str">
        <f t="shared" si="34"/>
        <v>Feb-26</v>
      </c>
      <c r="AC146" s="242">
        <v>46080</v>
      </c>
      <c r="AD146" t="s">
        <v>329</v>
      </c>
      <c r="AE146" t="s">
        <v>2415</v>
      </c>
      <c r="AG146" t="s">
        <v>2852</v>
      </c>
      <c r="AI146" t="s">
        <v>2857</v>
      </c>
      <c r="AN146" s="3">
        <v>160</v>
      </c>
      <c r="AO146" s="3">
        <v>32.5</v>
      </c>
      <c r="AP146" s="3">
        <f t="shared" si="48"/>
        <v>5200</v>
      </c>
      <c r="AQ146" s="3">
        <v>0</v>
      </c>
      <c r="AR146" s="3">
        <f t="shared" si="49"/>
        <v>5200</v>
      </c>
    </row>
    <row r="147" spans="2:44" x14ac:dyDescent="0.3">
      <c r="B147" t="s">
        <v>2743</v>
      </c>
      <c r="C147" t="s">
        <v>174</v>
      </c>
      <c r="D147" t="str">
        <f t="shared" si="31"/>
        <v>Jul-25</v>
      </c>
      <c r="E147" s="242">
        <v>45853</v>
      </c>
      <c r="F147" t="s">
        <v>1442</v>
      </c>
      <c r="G147" t="s">
        <v>400</v>
      </c>
      <c r="H147" s="233">
        <v>16810</v>
      </c>
      <c r="I147" s="233">
        <v>33.1</v>
      </c>
      <c r="J147" s="241">
        <f t="shared" si="29"/>
        <v>556411</v>
      </c>
      <c r="K147" s="3">
        <v>0</v>
      </c>
      <c r="L147" s="3">
        <f t="shared" si="30"/>
        <v>556411</v>
      </c>
      <c r="M147" s="3"/>
      <c r="N147" t="s">
        <v>2296</v>
      </c>
      <c r="O147" s="240" t="s">
        <v>226</v>
      </c>
      <c r="P147" t="s">
        <v>174</v>
      </c>
      <c r="Q147" s="242">
        <v>45976</v>
      </c>
      <c r="R147" t="s">
        <v>2304</v>
      </c>
      <c r="S147" t="s">
        <v>1497</v>
      </c>
      <c r="T147" s="3">
        <v>25140</v>
      </c>
      <c r="U147" s="233">
        <v>35</v>
      </c>
      <c r="V147" s="3">
        <f t="shared" si="42"/>
        <v>879900</v>
      </c>
      <c r="W147" s="3">
        <v>-8400</v>
      </c>
      <c r="X147" s="3">
        <f t="shared" si="43"/>
        <v>871500</v>
      </c>
      <c r="Y147" s="1">
        <f>_xlfn.XLOOKUP(R147,'Details PC'!AA:AA,'Details PC'!AI:AI)-X147</f>
        <v>0</v>
      </c>
      <c r="AA147" t="s">
        <v>174</v>
      </c>
      <c r="AB147" t="str">
        <f t="shared" si="34"/>
        <v>Feb-26</v>
      </c>
      <c r="AC147" s="242">
        <v>46080</v>
      </c>
      <c r="AD147" t="s">
        <v>2351</v>
      </c>
      <c r="AE147" t="s">
        <v>2415</v>
      </c>
      <c r="AG147" t="s">
        <v>2853</v>
      </c>
      <c r="AI147" t="s">
        <v>2858</v>
      </c>
      <c r="AN147" s="3">
        <v>105</v>
      </c>
      <c r="AO147" s="3">
        <v>32.5</v>
      </c>
      <c r="AP147" s="3">
        <f t="shared" si="48"/>
        <v>3412.5</v>
      </c>
      <c r="AQ147" s="3">
        <v>0</v>
      </c>
      <c r="AR147" s="3">
        <f t="shared" si="49"/>
        <v>3412.5</v>
      </c>
    </row>
    <row r="148" spans="2:44" x14ac:dyDescent="0.3">
      <c r="B148" t="s">
        <v>2743</v>
      </c>
      <c r="C148" t="s">
        <v>174</v>
      </c>
      <c r="D148" t="str">
        <f t="shared" si="31"/>
        <v>Jul-25</v>
      </c>
      <c r="E148" s="242">
        <v>45854</v>
      </c>
      <c r="F148" t="s">
        <v>1443</v>
      </c>
      <c r="G148" t="s">
        <v>400</v>
      </c>
      <c r="H148" s="233">
        <v>7870</v>
      </c>
      <c r="I148" s="233">
        <v>33.1</v>
      </c>
      <c r="J148" s="241">
        <f t="shared" si="29"/>
        <v>260497</v>
      </c>
      <c r="K148" s="3">
        <v>0</v>
      </c>
      <c r="L148" s="3">
        <f t="shared" si="30"/>
        <v>260497</v>
      </c>
      <c r="M148" s="3"/>
      <c r="N148" t="s">
        <v>2297</v>
      </c>
      <c r="O148" s="240" t="s">
        <v>226</v>
      </c>
      <c r="P148" t="s">
        <v>174</v>
      </c>
      <c r="Q148" s="242">
        <v>45976</v>
      </c>
      <c r="R148" t="s">
        <v>2305</v>
      </c>
      <c r="S148" t="s">
        <v>1497</v>
      </c>
      <c r="T148" s="3">
        <v>24515</v>
      </c>
      <c r="U148" s="233">
        <v>34.5</v>
      </c>
      <c r="V148" s="3">
        <f t="shared" si="42"/>
        <v>845767.5</v>
      </c>
      <c r="W148" s="3">
        <v>-4312.5</v>
      </c>
      <c r="X148" s="3">
        <f t="shared" si="43"/>
        <v>841455</v>
      </c>
      <c r="Y148" s="1">
        <f>_xlfn.XLOOKUP(R148,'Details PC'!AA:AA,'Details PC'!AI:AI)-X148</f>
        <v>0</v>
      </c>
      <c r="AA148" t="s">
        <v>174</v>
      </c>
      <c r="AB148" t="str">
        <f t="shared" si="34"/>
        <v>Mar-26</v>
      </c>
      <c r="AC148" s="242">
        <v>46083</v>
      </c>
      <c r="AD148" t="s">
        <v>2338</v>
      </c>
      <c r="AE148" t="s">
        <v>1433</v>
      </c>
      <c r="AG148" t="s">
        <v>2867</v>
      </c>
      <c r="AI148" t="s">
        <v>2877</v>
      </c>
      <c r="AN148" s="3">
        <v>1</v>
      </c>
      <c r="AO148" s="3">
        <v>29850</v>
      </c>
      <c r="AP148" s="3">
        <f t="shared" ref="AP148:AP157" si="50">AN148*AO148</f>
        <v>29850</v>
      </c>
      <c r="AQ148" s="3">
        <v>0</v>
      </c>
      <c r="AR148" s="3">
        <f t="shared" ref="AR148:AR157" si="51">AP148-AQ148</f>
        <v>29850</v>
      </c>
    </row>
    <row r="149" spans="2:44" x14ac:dyDescent="0.3">
      <c r="B149" t="s">
        <v>1365</v>
      </c>
      <c r="C149" t="s">
        <v>174</v>
      </c>
      <c r="D149" t="str">
        <f t="shared" si="31"/>
        <v>Jul-25</v>
      </c>
      <c r="E149" s="242">
        <v>45855</v>
      </c>
      <c r="F149" t="s">
        <v>329</v>
      </c>
      <c r="G149" t="s">
        <v>1451</v>
      </c>
      <c r="H149" s="233">
        <v>1</v>
      </c>
      <c r="I149" s="233">
        <v>56649</v>
      </c>
      <c r="J149" s="241">
        <f t="shared" si="29"/>
        <v>56649</v>
      </c>
      <c r="K149" s="3">
        <v>0</v>
      </c>
      <c r="L149" s="3">
        <f t="shared" si="30"/>
        <v>56649</v>
      </c>
      <c r="M149" s="3"/>
      <c r="N149" t="s">
        <v>2308</v>
      </c>
      <c r="O149" s="240" t="s">
        <v>226</v>
      </c>
      <c r="P149" t="s">
        <v>174</v>
      </c>
      <c r="Q149" s="242">
        <v>45979</v>
      </c>
      <c r="R149" t="s">
        <v>2307</v>
      </c>
      <c r="S149" t="s">
        <v>1465</v>
      </c>
      <c r="T149" s="3">
        <v>11885</v>
      </c>
      <c r="U149" s="233">
        <v>33.200000000000003</v>
      </c>
      <c r="V149" s="3">
        <f t="shared" ref="V149" si="52">U149*T149</f>
        <v>394582.00000000006</v>
      </c>
      <c r="W149" s="3">
        <v>-830</v>
      </c>
      <c r="X149" s="3">
        <f t="shared" ref="X149" si="53">V149+W149</f>
        <v>393752.00000000006</v>
      </c>
      <c r="Y149" s="1">
        <f>_xlfn.XLOOKUP(R149,'Details PC'!AA:AA,'Details PC'!AI:AI)-X149</f>
        <v>0</v>
      </c>
      <c r="AA149" t="s">
        <v>174</v>
      </c>
      <c r="AB149" t="str">
        <f t="shared" si="34"/>
        <v>Mar-26</v>
      </c>
      <c r="AC149" s="242">
        <v>46083</v>
      </c>
      <c r="AD149" t="s">
        <v>329</v>
      </c>
      <c r="AE149" t="s">
        <v>1738</v>
      </c>
      <c r="AG149" t="s">
        <v>2868</v>
      </c>
      <c r="AI149" t="s">
        <v>2878</v>
      </c>
      <c r="AN149" s="3">
        <v>1</v>
      </c>
      <c r="AO149" s="3">
        <v>33186</v>
      </c>
      <c r="AP149" s="3">
        <f t="shared" si="50"/>
        <v>33186</v>
      </c>
      <c r="AQ149" s="3">
        <v>0</v>
      </c>
      <c r="AR149" s="3">
        <f t="shared" si="51"/>
        <v>33186</v>
      </c>
    </row>
    <row r="150" spans="2:44" x14ac:dyDescent="0.3">
      <c r="B150" t="s">
        <v>1365</v>
      </c>
      <c r="C150" t="s">
        <v>174</v>
      </c>
      <c r="D150" t="str">
        <f t="shared" si="31"/>
        <v>Jul-25</v>
      </c>
      <c r="E150" s="242">
        <v>45855</v>
      </c>
      <c r="F150" t="s">
        <v>329</v>
      </c>
      <c r="G150" t="s">
        <v>1451</v>
      </c>
      <c r="H150" s="233">
        <v>1</v>
      </c>
      <c r="I150" s="233">
        <v>2750</v>
      </c>
      <c r="J150" s="241">
        <f t="shared" si="29"/>
        <v>2750</v>
      </c>
      <c r="K150" s="3">
        <v>0</v>
      </c>
      <c r="L150" s="3">
        <f t="shared" si="30"/>
        <v>2750</v>
      </c>
      <c r="M150" s="3"/>
      <c r="N150" t="s">
        <v>2333</v>
      </c>
      <c r="O150" s="240" t="s">
        <v>226</v>
      </c>
      <c r="P150" t="s">
        <v>174</v>
      </c>
      <c r="Q150" s="242">
        <v>45982</v>
      </c>
      <c r="R150" t="s">
        <v>2334</v>
      </c>
      <c r="S150" t="s">
        <v>1497</v>
      </c>
      <c r="T150" s="3">
        <v>31360</v>
      </c>
      <c r="U150" s="233">
        <v>35</v>
      </c>
      <c r="V150" s="3">
        <f t="shared" ref="V150" si="54">U150*T150</f>
        <v>1097600</v>
      </c>
      <c r="W150" s="3">
        <v>-6300</v>
      </c>
      <c r="X150" s="3">
        <f t="shared" ref="X150" si="55">V150+W150</f>
        <v>1091300</v>
      </c>
      <c r="Y150" s="1">
        <f>_xlfn.XLOOKUP(R150,'Details PC'!AA:AA,'Details PC'!AI:AI)-X150</f>
        <v>0</v>
      </c>
      <c r="AA150" t="s">
        <v>174</v>
      </c>
      <c r="AB150" t="str">
        <f t="shared" si="34"/>
        <v>Mar-26</v>
      </c>
      <c r="AC150" s="242">
        <v>46083</v>
      </c>
      <c r="AD150" t="s">
        <v>2820</v>
      </c>
      <c r="AE150" t="s">
        <v>2415</v>
      </c>
      <c r="AG150" t="s">
        <v>2869</v>
      </c>
      <c r="AI150" t="s">
        <v>2879</v>
      </c>
      <c r="AN150" s="3">
        <v>1</v>
      </c>
      <c r="AO150" s="3">
        <v>30000</v>
      </c>
      <c r="AP150" s="3">
        <f t="shared" si="50"/>
        <v>30000</v>
      </c>
      <c r="AQ150" s="3">
        <v>2975</v>
      </c>
      <c r="AR150" s="3">
        <f t="shared" si="51"/>
        <v>27025</v>
      </c>
    </row>
    <row r="151" spans="2:44" x14ac:dyDescent="0.3">
      <c r="B151" t="s">
        <v>1365</v>
      </c>
      <c r="C151" t="s">
        <v>174</v>
      </c>
      <c r="D151" t="str">
        <f t="shared" si="31"/>
        <v>Jul-25</v>
      </c>
      <c r="E151" s="242">
        <v>45855</v>
      </c>
      <c r="F151" t="s">
        <v>329</v>
      </c>
      <c r="G151" t="s">
        <v>1451</v>
      </c>
      <c r="H151" s="233">
        <v>1</v>
      </c>
      <c r="I151" s="233">
        <v>88367</v>
      </c>
      <c r="J151" s="241">
        <f t="shared" si="29"/>
        <v>88367</v>
      </c>
      <c r="K151" s="3">
        <v>0</v>
      </c>
      <c r="L151" s="3">
        <f t="shared" si="30"/>
        <v>88367</v>
      </c>
      <c r="M151" s="3"/>
      <c r="N151" t="s">
        <v>2338</v>
      </c>
      <c r="O151" s="240" t="s">
        <v>226</v>
      </c>
      <c r="P151" t="s">
        <v>174</v>
      </c>
      <c r="Q151" s="242">
        <v>45995</v>
      </c>
      <c r="R151" t="s">
        <v>2339</v>
      </c>
      <c r="S151" t="s">
        <v>1497</v>
      </c>
      <c r="T151" s="3">
        <v>24195</v>
      </c>
      <c r="U151" s="233">
        <v>35</v>
      </c>
      <c r="V151" s="3">
        <f t="shared" ref="V151" si="56">U151*T151</f>
        <v>846825</v>
      </c>
      <c r="W151" s="3">
        <v>0</v>
      </c>
      <c r="X151" s="3">
        <f t="shared" ref="X151" si="57">V151+W151</f>
        <v>846825</v>
      </c>
      <c r="Y151" s="1">
        <f>_xlfn.XLOOKUP(R151,'Details PC'!AA:AA,'Details PC'!AI:AI)-X151</f>
        <v>0</v>
      </c>
      <c r="AA151" t="s">
        <v>174</v>
      </c>
      <c r="AB151" t="str">
        <f t="shared" si="34"/>
        <v>Mar-26</v>
      </c>
      <c r="AC151" s="242">
        <v>46083</v>
      </c>
      <c r="AD151" t="s">
        <v>2579</v>
      </c>
      <c r="AE151" t="s">
        <v>2415</v>
      </c>
      <c r="AG151" t="s">
        <v>2870</v>
      </c>
      <c r="AI151" t="s">
        <v>2880</v>
      </c>
      <c r="AN151" s="3">
        <v>1</v>
      </c>
      <c r="AO151" s="3">
        <v>30000</v>
      </c>
      <c r="AP151" s="3">
        <f t="shared" si="50"/>
        <v>30000</v>
      </c>
      <c r="AQ151" s="3">
        <v>665</v>
      </c>
      <c r="AR151" s="3">
        <f t="shared" si="51"/>
        <v>29335</v>
      </c>
    </row>
    <row r="152" spans="2:44" x14ac:dyDescent="0.3">
      <c r="B152" t="s">
        <v>2743</v>
      </c>
      <c r="C152" t="s">
        <v>174</v>
      </c>
      <c r="D152" t="str">
        <f t="shared" si="31"/>
        <v>Jul-25</v>
      </c>
      <c r="E152" s="242">
        <v>45856</v>
      </c>
      <c r="F152" t="s">
        <v>1449</v>
      </c>
      <c r="G152" t="s">
        <v>400</v>
      </c>
      <c r="H152" s="233">
        <v>3950</v>
      </c>
      <c r="I152" s="233">
        <v>33.1</v>
      </c>
      <c r="J152" s="241">
        <f t="shared" si="29"/>
        <v>130745</v>
      </c>
      <c r="K152" s="3">
        <v>0</v>
      </c>
      <c r="L152" s="3">
        <f t="shared" si="30"/>
        <v>130745</v>
      </c>
      <c r="M152" s="3"/>
      <c r="N152" t="s">
        <v>2349</v>
      </c>
      <c r="O152" s="240" t="s">
        <v>226</v>
      </c>
      <c r="P152" t="s">
        <v>174</v>
      </c>
      <c r="Q152" s="242">
        <v>45997</v>
      </c>
      <c r="R152" t="s">
        <v>2341</v>
      </c>
      <c r="S152" t="s">
        <v>2354</v>
      </c>
      <c r="T152" s="3">
        <v>24830</v>
      </c>
      <c r="U152" s="233">
        <v>32.5</v>
      </c>
      <c r="V152" s="3">
        <f t="shared" ref="V152:V155" si="58">U152*T152</f>
        <v>806975</v>
      </c>
      <c r="W152" s="3">
        <v>-20800</v>
      </c>
      <c r="X152" s="3">
        <f t="shared" ref="X152:X155" si="59">V152+W152</f>
        <v>786175</v>
      </c>
      <c r="Y152" s="1">
        <f>_xlfn.XLOOKUP(R152,'Details PC'!AA:AA,'Details PC'!AI:AI)-X152</f>
        <v>0</v>
      </c>
      <c r="AA152" t="s">
        <v>174</v>
      </c>
      <c r="AB152" t="str">
        <f t="shared" si="34"/>
        <v>Mar-26</v>
      </c>
      <c r="AC152" s="242">
        <v>46083</v>
      </c>
      <c r="AD152" t="s">
        <v>2821</v>
      </c>
      <c r="AE152" t="s">
        <v>2415</v>
      </c>
      <c r="AG152" t="s">
        <v>2871</v>
      </c>
      <c r="AI152" t="s">
        <v>2881</v>
      </c>
      <c r="AN152" s="3">
        <v>1</v>
      </c>
      <c r="AO152" s="3">
        <v>30000</v>
      </c>
      <c r="AP152" s="3">
        <f t="shared" si="50"/>
        <v>30000</v>
      </c>
      <c r="AQ152" s="3">
        <v>0</v>
      </c>
      <c r="AR152" s="3">
        <f t="shared" si="51"/>
        <v>30000</v>
      </c>
    </row>
    <row r="153" spans="2:44" x14ac:dyDescent="0.3">
      <c r="B153" t="s">
        <v>2743</v>
      </c>
      <c r="C153" t="s">
        <v>174</v>
      </c>
      <c r="D153" t="str">
        <f t="shared" si="31"/>
        <v>Jul-25</v>
      </c>
      <c r="E153" s="242">
        <v>45857</v>
      </c>
      <c r="F153" t="s">
        <v>1450</v>
      </c>
      <c r="G153" t="s">
        <v>400</v>
      </c>
      <c r="H153" s="233">
        <v>19420</v>
      </c>
      <c r="I153" s="233">
        <v>33.1</v>
      </c>
      <c r="J153" s="241">
        <f t="shared" si="29"/>
        <v>642802</v>
      </c>
      <c r="K153" s="3">
        <v>0</v>
      </c>
      <c r="L153" s="3">
        <f t="shared" si="30"/>
        <v>642802</v>
      </c>
      <c r="M153" s="3"/>
      <c r="N153" t="s">
        <v>2350</v>
      </c>
      <c r="O153" s="240" t="s">
        <v>226</v>
      </c>
      <c r="P153" t="s">
        <v>174</v>
      </c>
      <c r="Q153" s="242">
        <v>45997</v>
      </c>
      <c r="R153" t="s">
        <v>2342</v>
      </c>
      <c r="S153" t="s">
        <v>2354</v>
      </c>
      <c r="T153" s="3">
        <v>23870</v>
      </c>
      <c r="U153" s="233">
        <v>32.5</v>
      </c>
      <c r="V153" s="3">
        <f t="shared" si="58"/>
        <v>775775</v>
      </c>
      <c r="W153" s="3">
        <v>-10400</v>
      </c>
      <c r="X153" s="3">
        <f t="shared" si="59"/>
        <v>765375</v>
      </c>
      <c r="Y153" s="1">
        <f>_xlfn.XLOOKUP(R153,'Details PC'!AA:AA,'Details PC'!AI:AI)-X153</f>
        <v>0</v>
      </c>
      <c r="AA153" t="s">
        <v>174</v>
      </c>
      <c r="AB153" t="str">
        <f t="shared" si="34"/>
        <v>Mar-26</v>
      </c>
      <c r="AC153" s="242">
        <v>46083</v>
      </c>
      <c r="AD153" t="s">
        <v>2805</v>
      </c>
      <c r="AE153" t="s">
        <v>2415</v>
      </c>
      <c r="AG153" t="s">
        <v>2872</v>
      </c>
      <c r="AI153" t="s">
        <v>2882</v>
      </c>
      <c r="AN153" s="3">
        <v>1</v>
      </c>
      <c r="AO153" s="3">
        <v>30000</v>
      </c>
      <c r="AP153" s="3">
        <f t="shared" si="50"/>
        <v>30000</v>
      </c>
      <c r="AQ153" s="3">
        <v>0</v>
      </c>
      <c r="AR153" s="3">
        <f t="shared" si="51"/>
        <v>30000</v>
      </c>
    </row>
    <row r="154" spans="2:44" x14ac:dyDescent="0.3">
      <c r="B154" t="s">
        <v>2743</v>
      </c>
      <c r="C154" t="s">
        <v>174</v>
      </c>
      <c r="D154" t="str">
        <f t="shared" si="31"/>
        <v>Jul-25</v>
      </c>
      <c r="E154" s="242">
        <v>45859</v>
      </c>
      <c r="F154" t="s">
        <v>1456</v>
      </c>
      <c r="G154" t="s">
        <v>400</v>
      </c>
      <c r="H154" s="233">
        <v>6120</v>
      </c>
      <c r="I154" s="233">
        <v>33.1</v>
      </c>
      <c r="J154" s="241">
        <f t="shared" si="29"/>
        <v>202572</v>
      </c>
      <c r="K154" s="3">
        <v>0</v>
      </c>
      <c r="L154" s="3">
        <f t="shared" si="30"/>
        <v>202572</v>
      </c>
      <c r="M154" s="3"/>
      <c r="N154" t="s">
        <v>2351</v>
      </c>
      <c r="O154" s="240" t="s">
        <v>226</v>
      </c>
      <c r="P154" t="s">
        <v>174</v>
      </c>
      <c r="Q154" s="242">
        <v>45999</v>
      </c>
      <c r="R154" t="s">
        <v>2343</v>
      </c>
      <c r="S154" t="s">
        <v>2354</v>
      </c>
      <c r="T154" s="3">
        <v>24890</v>
      </c>
      <c r="U154" s="233">
        <v>32.5</v>
      </c>
      <c r="V154" s="3">
        <f t="shared" si="58"/>
        <v>808925</v>
      </c>
      <c r="W154" s="3">
        <v>-6825</v>
      </c>
      <c r="X154" s="3">
        <f t="shared" si="59"/>
        <v>802100</v>
      </c>
      <c r="Y154" s="1">
        <f>_xlfn.XLOOKUP(R154,'Details PC'!AA:AA,'Details PC'!AI:AI)-X154</f>
        <v>0</v>
      </c>
      <c r="AA154" t="s">
        <v>174</v>
      </c>
      <c r="AB154" t="str">
        <f t="shared" si="34"/>
        <v>Mar-26</v>
      </c>
      <c r="AC154" s="242">
        <v>46083</v>
      </c>
      <c r="AD154" t="s">
        <v>2744</v>
      </c>
      <c r="AE154" t="s">
        <v>2415</v>
      </c>
      <c r="AG154" t="s">
        <v>2873</v>
      </c>
      <c r="AI154" t="s">
        <v>2883</v>
      </c>
      <c r="AN154" s="3">
        <v>1</v>
      </c>
      <c r="AO154" s="3">
        <v>30000</v>
      </c>
      <c r="AP154" s="3">
        <f t="shared" si="50"/>
        <v>30000</v>
      </c>
      <c r="AQ154" s="3">
        <v>2275</v>
      </c>
      <c r="AR154" s="3">
        <f t="shared" si="51"/>
        <v>27725</v>
      </c>
    </row>
    <row r="155" spans="2:44" x14ac:dyDescent="0.3">
      <c r="B155" t="s">
        <v>2743</v>
      </c>
      <c r="C155" t="s">
        <v>174</v>
      </c>
      <c r="D155" t="str">
        <f t="shared" si="31"/>
        <v>Jul-25</v>
      </c>
      <c r="E155" s="242">
        <v>45859</v>
      </c>
      <c r="F155" t="s">
        <v>1457</v>
      </c>
      <c r="G155" t="s">
        <v>400</v>
      </c>
      <c r="H155" s="233">
        <v>7190</v>
      </c>
      <c r="I155" s="233">
        <v>33.1</v>
      </c>
      <c r="J155" s="241">
        <f t="shared" si="29"/>
        <v>237989</v>
      </c>
      <c r="K155" s="3">
        <v>0</v>
      </c>
      <c r="L155" s="3">
        <f t="shared" si="30"/>
        <v>237989</v>
      </c>
      <c r="M155" s="3"/>
      <c r="N155" t="s">
        <v>2352</v>
      </c>
      <c r="O155" s="240" t="s">
        <v>226</v>
      </c>
      <c r="P155" t="s">
        <v>174</v>
      </c>
      <c r="Q155" s="242">
        <v>46003</v>
      </c>
      <c r="R155" t="s">
        <v>2344</v>
      </c>
      <c r="S155" t="s">
        <v>2354</v>
      </c>
      <c r="T155" s="3">
        <v>23950</v>
      </c>
      <c r="U155" s="233">
        <v>32.5</v>
      </c>
      <c r="V155" s="3">
        <f t="shared" si="58"/>
        <v>778375</v>
      </c>
      <c r="W155" s="3">
        <v>-6500</v>
      </c>
      <c r="X155" s="3">
        <f t="shared" si="59"/>
        <v>771875</v>
      </c>
      <c r="Y155" s="1">
        <f>_xlfn.XLOOKUP(R155,'Details PC'!AA:AA,'Details PC'!AI:AI)-X155</f>
        <v>0</v>
      </c>
      <c r="AA155" t="s">
        <v>174</v>
      </c>
      <c r="AB155" t="str">
        <f t="shared" si="34"/>
        <v>Mar-26</v>
      </c>
      <c r="AC155" s="242">
        <v>46083</v>
      </c>
      <c r="AD155" t="s">
        <v>2580</v>
      </c>
      <c r="AE155" t="s">
        <v>2415</v>
      </c>
      <c r="AG155" t="s">
        <v>2874</v>
      </c>
      <c r="AI155" t="s">
        <v>2884</v>
      </c>
      <c r="AN155" s="3">
        <v>1</v>
      </c>
      <c r="AO155" s="3">
        <v>30000</v>
      </c>
      <c r="AP155" s="3">
        <f t="shared" si="50"/>
        <v>30000</v>
      </c>
      <c r="AQ155" s="3">
        <v>997.5</v>
      </c>
      <c r="AR155" s="3">
        <f t="shared" si="51"/>
        <v>29002.5</v>
      </c>
    </row>
    <row r="156" spans="2:44" x14ac:dyDescent="0.3">
      <c r="B156" t="s">
        <v>1365</v>
      </c>
      <c r="C156" t="s">
        <v>174</v>
      </c>
      <c r="D156" t="str">
        <f t="shared" si="31"/>
        <v>Jul-25</v>
      </c>
      <c r="E156" s="242">
        <v>45859</v>
      </c>
      <c r="F156" t="s">
        <v>329</v>
      </c>
      <c r="G156" t="s">
        <v>395</v>
      </c>
      <c r="H156" s="233">
        <v>1</v>
      </c>
      <c r="I156" s="233">
        <v>100000</v>
      </c>
      <c r="J156" s="241">
        <f t="shared" si="29"/>
        <v>100000</v>
      </c>
      <c r="K156" s="3">
        <v>0</v>
      </c>
      <c r="L156" s="3">
        <f t="shared" si="30"/>
        <v>100000</v>
      </c>
      <c r="M156" s="3"/>
      <c r="N156" t="s">
        <v>2365</v>
      </c>
      <c r="O156" s="240" t="s">
        <v>226</v>
      </c>
      <c r="P156" t="s">
        <v>174</v>
      </c>
      <c r="Q156" s="242">
        <v>46008</v>
      </c>
      <c r="R156" t="s">
        <v>2361</v>
      </c>
      <c r="S156" t="s">
        <v>2354</v>
      </c>
      <c r="T156" s="3">
        <v>23270</v>
      </c>
      <c r="U156" s="233">
        <v>32.5</v>
      </c>
      <c r="V156" s="3">
        <f t="shared" ref="V156:V159" si="60">U156*T156</f>
        <v>756275</v>
      </c>
      <c r="W156" s="3">
        <v>-6500</v>
      </c>
      <c r="X156" s="3">
        <f t="shared" ref="X156:X159" si="61">V156+W156</f>
        <v>749775</v>
      </c>
      <c r="Y156" s="1">
        <f>_xlfn.XLOOKUP(R156,'Details PC'!AA:AA,'Details PC'!AI:AI)-X156</f>
        <v>0</v>
      </c>
      <c r="AA156" t="s">
        <v>174</v>
      </c>
      <c r="AB156" t="str">
        <f t="shared" si="34"/>
        <v>Mar-26</v>
      </c>
      <c r="AC156" s="242">
        <v>46084</v>
      </c>
      <c r="AD156" t="s">
        <v>2577</v>
      </c>
      <c r="AE156" t="s">
        <v>2415</v>
      </c>
      <c r="AG156" t="s">
        <v>2875</v>
      </c>
      <c r="AI156" t="s">
        <v>2885</v>
      </c>
      <c r="AN156" s="3">
        <v>1</v>
      </c>
      <c r="AO156" s="3">
        <v>24000</v>
      </c>
      <c r="AP156" s="3">
        <f t="shared" si="50"/>
        <v>24000</v>
      </c>
      <c r="AQ156" s="3">
        <v>3158.75</v>
      </c>
      <c r="AR156" s="3">
        <f t="shared" si="51"/>
        <v>20841.25</v>
      </c>
    </row>
    <row r="157" spans="2:44" x14ac:dyDescent="0.3">
      <c r="B157" t="s">
        <v>2743</v>
      </c>
      <c r="C157" t="s">
        <v>174</v>
      </c>
      <c r="D157" t="str">
        <f t="shared" si="31"/>
        <v>Jul-25</v>
      </c>
      <c r="E157" s="242">
        <v>45861</v>
      </c>
      <c r="F157" t="s">
        <v>1458</v>
      </c>
      <c r="G157" t="s">
        <v>400</v>
      </c>
      <c r="H157" s="233">
        <v>19450</v>
      </c>
      <c r="I157" s="233">
        <v>33.1</v>
      </c>
      <c r="J157" s="241">
        <f t="shared" si="29"/>
        <v>643795</v>
      </c>
      <c r="K157" s="3">
        <v>0</v>
      </c>
      <c r="L157" s="3">
        <f t="shared" si="30"/>
        <v>643795</v>
      </c>
      <c r="M157" s="3"/>
      <c r="N157" t="s">
        <v>2366</v>
      </c>
      <c r="O157" s="240" t="s">
        <v>226</v>
      </c>
      <c r="P157" t="s">
        <v>174</v>
      </c>
      <c r="Q157" s="242">
        <v>46008</v>
      </c>
      <c r="R157" t="s">
        <v>2362</v>
      </c>
      <c r="S157" t="s">
        <v>2354</v>
      </c>
      <c r="T157" s="3">
        <v>23750</v>
      </c>
      <c r="U157" s="233">
        <v>32.5</v>
      </c>
      <c r="V157" s="3">
        <f t="shared" si="60"/>
        <v>771875</v>
      </c>
      <c r="W157" s="3">
        <v>-7150</v>
      </c>
      <c r="X157" s="3">
        <f t="shared" si="61"/>
        <v>764725</v>
      </c>
      <c r="Y157" s="1">
        <f>_xlfn.XLOOKUP(R157,'Details PC'!AA:AA,'Details PC'!AI:AI)-X157</f>
        <v>0</v>
      </c>
      <c r="AA157" t="s">
        <v>174</v>
      </c>
      <c r="AB157" t="str">
        <f t="shared" si="34"/>
        <v>Mar-26</v>
      </c>
      <c r="AC157" s="242">
        <v>46087</v>
      </c>
      <c r="AD157" t="s">
        <v>329</v>
      </c>
      <c r="AE157" t="s">
        <v>2792</v>
      </c>
      <c r="AG157" t="s">
        <v>2876</v>
      </c>
      <c r="AI157" t="s">
        <v>2886</v>
      </c>
      <c r="AN157" s="3">
        <v>1</v>
      </c>
      <c r="AO157" s="3">
        <v>126350</v>
      </c>
      <c r="AP157" s="3">
        <f t="shared" si="50"/>
        <v>126350</v>
      </c>
      <c r="AQ157" s="3">
        <v>0</v>
      </c>
      <c r="AR157" s="3">
        <f t="shared" si="51"/>
        <v>126350</v>
      </c>
    </row>
    <row r="158" spans="2:44" x14ac:dyDescent="0.3">
      <c r="B158" t="s">
        <v>2743</v>
      </c>
      <c r="C158" t="s">
        <v>174</v>
      </c>
      <c r="D158" t="str">
        <f t="shared" si="31"/>
        <v>Jul-25</v>
      </c>
      <c r="E158" s="242">
        <v>45863</v>
      </c>
      <c r="F158" t="s">
        <v>1459</v>
      </c>
      <c r="G158" t="s">
        <v>400</v>
      </c>
      <c r="H158" s="233">
        <v>20340</v>
      </c>
      <c r="I158" s="233">
        <v>33.1</v>
      </c>
      <c r="J158" s="241">
        <f t="shared" si="29"/>
        <v>673254</v>
      </c>
      <c r="K158" s="3">
        <v>0</v>
      </c>
      <c r="L158" s="3">
        <f t="shared" si="30"/>
        <v>673254</v>
      </c>
      <c r="M158" s="3"/>
      <c r="N158" t="s">
        <v>2367</v>
      </c>
      <c r="O158" s="240" t="s">
        <v>226</v>
      </c>
      <c r="P158" t="s">
        <v>174</v>
      </c>
      <c r="Q158" s="242">
        <v>46010</v>
      </c>
      <c r="R158" t="s">
        <v>2363</v>
      </c>
      <c r="S158" t="s">
        <v>2354</v>
      </c>
      <c r="T158" s="3">
        <v>23470</v>
      </c>
      <c r="U158" s="233">
        <v>32.5</v>
      </c>
      <c r="V158" s="3">
        <f t="shared" si="60"/>
        <v>762775</v>
      </c>
      <c r="W158" s="3">
        <v>-6175</v>
      </c>
      <c r="X158" s="3">
        <f t="shared" si="61"/>
        <v>756600</v>
      </c>
      <c r="Y158" s="1">
        <f>_xlfn.XLOOKUP(R158,'Details PC'!AA:AA,'Details PC'!AI:AI)-X158</f>
        <v>0</v>
      </c>
      <c r="AA158" t="s">
        <v>174</v>
      </c>
      <c r="AB158" t="str">
        <f t="shared" si="34"/>
        <v>Mar-26</v>
      </c>
      <c r="AC158" s="242">
        <v>46090</v>
      </c>
      <c r="AD158" t="s">
        <v>2738</v>
      </c>
      <c r="AE158" t="s">
        <v>2415</v>
      </c>
      <c r="AG158" t="s">
        <v>2924</v>
      </c>
      <c r="AI158" t="s">
        <v>2930</v>
      </c>
      <c r="AN158" s="3">
        <v>1</v>
      </c>
      <c r="AO158" s="3">
        <v>30000</v>
      </c>
      <c r="AP158" s="3">
        <f t="shared" ref="AP158:AP183" si="62">AN158*AO158</f>
        <v>30000</v>
      </c>
      <c r="AQ158" s="3">
        <v>0</v>
      </c>
      <c r="AR158" s="3">
        <f t="shared" ref="AR158:AR170" si="63">AP158-AQ158</f>
        <v>30000</v>
      </c>
    </row>
    <row r="159" spans="2:44" x14ac:dyDescent="0.3">
      <c r="B159" t="s">
        <v>2743</v>
      </c>
      <c r="C159" t="s">
        <v>174</v>
      </c>
      <c r="D159" t="str">
        <f t="shared" si="31"/>
        <v>Jul-25</v>
      </c>
      <c r="E159" s="242">
        <v>45865</v>
      </c>
      <c r="F159" t="s">
        <v>1492</v>
      </c>
      <c r="G159" t="s">
        <v>400</v>
      </c>
      <c r="H159" s="233">
        <v>33330</v>
      </c>
      <c r="I159" s="233">
        <v>33.1</v>
      </c>
      <c r="J159" s="241">
        <f t="shared" si="29"/>
        <v>1103223</v>
      </c>
      <c r="K159" s="3">
        <v>0</v>
      </c>
      <c r="L159" s="3">
        <f t="shared" si="30"/>
        <v>1103223</v>
      </c>
      <c r="M159" s="3"/>
      <c r="N159" t="s">
        <v>2368</v>
      </c>
      <c r="O159" s="240" t="s">
        <v>226</v>
      </c>
      <c r="P159" t="s">
        <v>174</v>
      </c>
      <c r="Q159" s="242">
        <v>46011</v>
      </c>
      <c r="R159" t="s">
        <v>2364</v>
      </c>
      <c r="S159" t="s">
        <v>2354</v>
      </c>
      <c r="T159" s="3">
        <v>25450</v>
      </c>
      <c r="U159" s="233">
        <v>32.5</v>
      </c>
      <c r="V159" s="3">
        <f t="shared" si="60"/>
        <v>827125</v>
      </c>
      <c r="W159" s="3">
        <v>-7150</v>
      </c>
      <c r="X159" s="3">
        <f t="shared" si="61"/>
        <v>819975</v>
      </c>
      <c r="Y159" s="1">
        <f>_xlfn.XLOOKUP(R159,'Details PC'!AA:AA,'Details PC'!AI:AI)-X159</f>
        <v>0</v>
      </c>
      <c r="AA159" t="s">
        <v>174</v>
      </c>
      <c r="AB159" t="str">
        <f t="shared" si="34"/>
        <v>Mar-26</v>
      </c>
      <c r="AC159" s="242">
        <v>46090</v>
      </c>
      <c r="AD159" t="s">
        <v>2439</v>
      </c>
      <c r="AE159" t="s">
        <v>2415</v>
      </c>
      <c r="AG159" t="s">
        <v>2925</v>
      </c>
      <c r="AI159" t="s">
        <v>2931</v>
      </c>
      <c r="AN159" s="3">
        <v>1</v>
      </c>
      <c r="AO159" s="3">
        <v>30000</v>
      </c>
      <c r="AP159" s="3">
        <f t="shared" si="62"/>
        <v>30000</v>
      </c>
      <c r="AQ159" s="3">
        <v>0</v>
      </c>
      <c r="AR159" s="3">
        <f t="shared" si="63"/>
        <v>30000</v>
      </c>
    </row>
    <row r="160" spans="2:44" x14ac:dyDescent="0.3">
      <c r="B160" t="s">
        <v>2743</v>
      </c>
      <c r="C160" t="s">
        <v>174</v>
      </c>
      <c r="D160" t="str">
        <f t="shared" si="31"/>
        <v>Jul-25</v>
      </c>
      <c r="E160" s="242">
        <v>45867</v>
      </c>
      <c r="F160" t="s">
        <v>1500</v>
      </c>
      <c r="G160" t="s">
        <v>400</v>
      </c>
      <c r="H160" s="233">
        <v>25260</v>
      </c>
      <c r="I160" s="233">
        <v>33.1</v>
      </c>
      <c r="J160" s="241">
        <f t="shared" si="29"/>
        <v>836106</v>
      </c>
      <c r="K160" s="3">
        <v>0</v>
      </c>
      <c r="L160" s="3">
        <f t="shared" si="30"/>
        <v>836106</v>
      </c>
      <c r="M160" s="3"/>
      <c r="N160" t="s">
        <v>2382</v>
      </c>
      <c r="O160" s="240" t="s">
        <v>226</v>
      </c>
      <c r="P160" t="s">
        <v>174</v>
      </c>
      <c r="Q160" s="242">
        <v>46014</v>
      </c>
      <c r="R160" t="s">
        <v>2369</v>
      </c>
      <c r="S160" t="s">
        <v>2354</v>
      </c>
      <c r="T160" s="3">
        <v>25000</v>
      </c>
      <c r="U160" s="233">
        <v>32.25</v>
      </c>
      <c r="V160" s="3">
        <f t="shared" ref="V160:V163" si="64">U160*T160</f>
        <v>806250</v>
      </c>
      <c r="W160" s="3">
        <v>-14835</v>
      </c>
      <c r="X160" s="3">
        <f t="shared" ref="X160:X163" si="65">V160+W160</f>
        <v>791415</v>
      </c>
      <c r="Y160" s="1">
        <f>_xlfn.XLOOKUP(R160,'Details PC'!AA:AA,'Details PC'!AI:AI)-X160</f>
        <v>0</v>
      </c>
      <c r="AA160" t="s">
        <v>174</v>
      </c>
      <c r="AB160" t="str">
        <f t="shared" si="34"/>
        <v>Mar-26</v>
      </c>
      <c r="AC160" s="242">
        <v>46092</v>
      </c>
      <c r="AD160" t="s">
        <v>2440</v>
      </c>
      <c r="AE160" t="s">
        <v>1433</v>
      </c>
      <c r="AG160" t="s">
        <v>2926</v>
      </c>
      <c r="AI160" t="s">
        <v>2932</v>
      </c>
      <c r="AN160" s="3">
        <v>1</v>
      </c>
      <c r="AO160" s="3">
        <v>42000</v>
      </c>
      <c r="AP160" s="3">
        <f t="shared" si="62"/>
        <v>42000</v>
      </c>
      <c r="AQ160" s="3">
        <v>0</v>
      </c>
      <c r="AR160" s="3">
        <f t="shared" si="63"/>
        <v>42000</v>
      </c>
    </row>
    <row r="161" spans="2:44" x14ac:dyDescent="0.3">
      <c r="B161" t="s">
        <v>2743</v>
      </c>
      <c r="C161" t="s">
        <v>174</v>
      </c>
      <c r="D161" t="str">
        <f t="shared" si="31"/>
        <v>Jul-25</v>
      </c>
      <c r="E161" s="242">
        <v>45868</v>
      </c>
      <c r="F161" t="s">
        <v>1501</v>
      </c>
      <c r="G161" t="s">
        <v>400</v>
      </c>
      <c r="H161" s="233">
        <v>20350</v>
      </c>
      <c r="I161" s="233">
        <v>33.1</v>
      </c>
      <c r="J161" s="241">
        <f t="shared" si="29"/>
        <v>673585</v>
      </c>
      <c r="K161" s="3">
        <v>0</v>
      </c>
      <c r="L161" s="3">
        <f t="shared" si="30"/>
        <v>673585</v>
      </c>
      <c r="M161" s="3"/>
      <c r="N161" t="s">
        <v>2383</v>
      </c>
      <c r="O161" s="240" t="s">
        <v>226</v>
      </c>
      <c r="P161" t="s">
        <v>174</v>
      </c>
      <c r="Q161" s="242">
        <v>46015</v>
      </c>
      <c r="R161" t="s">
        <v>2379</v>
      </c>
      <c r="S161" t="s">
        <v>2354</v>
      </c>
      <c r="T161" s="3">
        <v>22860</v>
      </c>
      <c r="U161" s="233">
        <v>32.25</v>
      </c>
      <c r="V161" s="3">
        <f t="shared" si="64"/>
        <v>737235</v>
      </c>
      <c r="W161" s="3">
        <v>-8707.5</v>
      </c>
      <c r="X161" s="3">
        <f t="shared" si="65"/>
        <v>728527.5</v>
      </c>
      <c r="Y161" s="1">
        <f>_xlfn.XLOOKUP(R161,'Details PC'!AA:AA,'Details PC'!AI:AI)-X161</f>
        <v>0</v>
      </c>
      <c r="AA161" t="s">
        <v>174</v>
      </c>
      <c r="AB161" t="str">
        <f t="shared" si="34"/>
        <v>Mar-26</v>
      </c>
      <c r="AC161" s="242">
        <v>46092</v>
      </c>
      <c r="AD161" t="s">
        <v>2440</v>
      </c>
      <c r="AE161" t="s">
        <v>1433</v>
      </c>
      <c r="AG161" t="s">
        <v>2926</v>
      </c>
      <c r="AI161" t="s">
        <v>2932</v>
      </c>
      <c r="AN161" s="3">
        <v>1</v>
      </c>
      <c r="AO161" s="3">
        <v>500</v>
      </c>
      <c r="AP161" s="3">
        <f t="shared" si="62"/>
        <v>500</v>
      </c>
      <c r="AQ161" s="3">
        <v>0</v>
      </c>
      <c r="AR161" s="3">
        <f t="shared" si="63"/>
        <v>500</v>
      </c>
    </row>
    <row r="162" spans="2:44" x14ac:dyDescent="0.3">
      <c r="B162" t="s">
        <v>2743</v>
      </c>
      <c r="C162" t="s">
        <v>174</v>
      </c>
      <c r="D162" t="str">
        <f t="shared" si="31"/>
        <v>Jul-25</v>
      </c>
      <c r="E162" s="242">
        <v>45868</v>
      </c>
      <c r="F162" t="s">
        <v>1502</v>
      </c>
      <c r="G162" t="s">
        <v>400</v>
      </c>
      <c r="H162" s="233">
        <v>20480</v>
      </c>
      <c r="I162" s="233">
        <v>33.1</v>
      </c>
      <c r="J162" s="241">
        <f t="shared" si="29"/>
        <v>677888</v>
      </c>
      <c r="K162" s="3">
        <v>0</v>
      </c>
      <c r="L162" s="3">
        <f t="shared" si="30"/>
        <v>677888</v>
      </c>
      <c r="M162" s="3"/>
      <c r="N162" t="s">
        <v>2384</v>
      </c>
      <c r="O162" s="240" t="s">
        <v>226</v>
      </c>
      <c r="P162" t="s">
        <v>174</v>
      </c>
      <c r="Q162" s="242">
        <v>46015</v>
      </c>
      <c r="R162" t="s">
        <v>2380</v>
      </c>
      <c r="S162" t="s">
        <v>2354</v>
      </c>
      <c r="T162" s="3">
        <v>25055</v>
      </c>
      <c r="U162" s="233">
        <v>32.25</v>
      </c>
      <c r="V162" s="3">
        <f t="shared" si="64"/>
        <v>808023.75</v>
      </c>
      <c r="W162" s="3">
        <v>-4676.25</v>
      </c>
      <c r="X162" s="3">
        <f t="shared" si="65"/>
        <v>803347.5</v>
      </c>
      <c r="Y162" s="1">
        <f>_xlfn.XLOOKUP(R162,'Details PC'!AA:AA,'Details PC'!AI:AI)-X162</f>
        <v>0</v>
      </c>
      <c r="AA162" t="s">
        <v>174</v>
      </c>
      <c r="AB162" t="str">
        <f t="shared" si="34"/>
        <v>Mar-26</v>
      </c>
      <c r="AC162" s="242">
        <v>46092</v>
      </c>
      <c r="AD162" t="s">
        <v>2578</v>
      </c>
      <c r="AE162" t="s">
        <v>1433</v>
      </c>
      <c r="AG162" t="s">
        <v>2927</v>
      </c>
      <c r="AI162" t="s">
        <v>2933</v>
      </c>
      <c r="AN162" s="3">
        <v>1</v>
      </c>
      <c r="AO162" s="3">
        <v>37038</v>
      </c>
      <c r="AP162" s="3">
        <f t="shared" si="62"/>
        <v>37038</v>
      </c>
      <c r="AQ162" s="3">
        <v>0</v>
      </c>
      <c r="AR162" s="3">
        <f t="shared" si="63"/>
        <v>37038</v>
      </c>
    </row>
    <row r="163" spans="2:44" x14ac:dyDescent="0.3">
      <c r="B163" t="s">
        <v>2743</v>
      </c>
      <c r="C163" t="s">
        <v>174</v>
      </c>
      <c r="D163" t="str">
        <f t="shared" si="31"/>
        <v>Jul-25</v>
      </c>
      <c r="E163" s="242">
        <v>45868</v>
      </c>
      <c r="F163" t="s">
        <v>1517</v>
      </c>
      <c r="G163" t="s">
        <v>400</v>
      </c>
      <c r="H163" s="233">
        <v>21260</v>
      </c>
      <c r="I163" s="233">
        <v>33.1</v>
      </c>
      <c r="J163" s="241">
        <f t="shared" si="29"/>
        <v>703706</v>
      </c>
      <c r="K163" s="3">
        <v>0</v>
      </c>
      <c r="L163" s="3">
        <f t="shared" si="30"/>
        <v>703706</v>
      </c>
      <c r="M163" s="3"/>
      <c r="N163" t="s">
        <v>2385</v>
      </c>
      <c r="O163" s="240" t="s">
        <v>226</v>
      </c>
      <c r="P163" t="s">
        <v>174</v>
      </c>
      <c r="Q163" s="242">
        <v>46016</v>
      </c>
      <c r="R163" t="s">
        <v>2381</v>
      </c>
      <c r="S163" t="s">
        <v>2354</v>
      </c>
      <c r="T163" s="3">
        <v>23395</v>
      </c>
      <c r="U163" s="233">
        <v>32.25</v>
      </c>
      <c r="V163" s="3">
        <f t="shared" si="64"/>
        <v>754488.75</v>
      </c>
      <c r="W163" s="3">
        <v>-2418.75</v>
      </c>
      <c r="X163" s="3">
        <f t="shared" si="65"/>
        <v>752070</v>
      </c>
      <c r="Y163" s="1">
        <f>_xlfn.XLOOKUP(R163,'Details PC'!AA:AA,'Details PC'!AI:AI)-X163</f>
        <v>0</v>
      </c>
      <c r="AA163" t="s">
        <v>174</v>
      </c>
      <c r="AB163" t="str">
        <f t="shared" si="34"/>
        <v>Mar-26</v>
      </c>
      <c r="AC163" s="242">
        <v>46092</v>
      </c>
      <c r="AD163" t="s">
        <v>2578</v>
      </c>
      <c r="AE163" t="s">
        <v>1433</v>
      </c>
      <c r="AG163" t="s">
        <v>2927</v>
      </c>
      <c r="AI163" t="s">
        <v>2933</v>
      </c>
      <c r="AN163" s="3">
        <v>1</v>
      </c>
      <c r="AO163" s="3">
        <v>2500</v>
      </c>
      <c r="AP163" s="3">
        <f t="shared" si="62"/>
        <v>2500</v>
      </c>
      <c r="AQ163" s="3">
        <v>0</v>
      </c>
      <c r="AR163" s="3">
        <f t="shared" si="63"/>
        <v>2500</v>
      </c>
    </row>
    <row r="164" spans="2:44" x14ac:dyDescent="0.3">
      <c r="B164" t="s">
        <v>2743</v>
      </c>
      <c r="C164" t="s">
        <v>174</v>
      </c>
      <c r="D164" t="str">
        <f t="shared" si="31"/>
        <v>Jul-25</v>
      </c>
      <c r="E164" s="242">
        <v>45868</v>
      </c>
      <c r="F164" t="s">
        <v>1519</v>
      </c>
      <c r="G164" t="s">
        <v>400</v>
      </c>
      <c r="H164" s="233">
        <v>11950</v>
      </c>
      <c r="I164" s="233">
        <v>33.1</v>
      </c>
      <c r="J164" s="241">
        <f t="shared" si="29"/>
        <v>395545</v>
      </c>
      <c r="K164" s="3">
        <v>0</v>
      </c>
      <c r="L164" s="3">
        <f t="shared" si="30"/>
        <v>395545</v>
      </c>
      <c r="M164" s="3"/>
      <c r="N164" t="s">
        <v>2395</v>
      </c>
      <c r="O164" s="240" t="s">
        <v>226</v>
      </c>
      <c r="P164" t="s">
        <v>174</v>
      </c>
      <c r="Q164" s="242">
        <v>46017</v>
      </c>
      <c r="R164" t="s">
        <v>2386</v>
      </c>
      <c r="S164" t="s">
        <v>2354</v>
      </c>
      <c r="T164" s="3">
        <v>24950</v>
      </c>
      <c r="U164" s="233">
        <v>32.25</v>
      </c>
      <c r="V164" s="3">
        <f t="shared" ref="V164:V167" si="66">U164*T164</f>
        <v>804637.5</v>
      </c>
      <c r="W164" s="3">
        <v>-10320</v>
      </c>
      <c r="X164" s="3">
        <f t="shared" ref="X164:X167" si="67">V164+W164</f>
        <v>794317.5</v>
      </c>
      <c r="Y164" s="1">
        <f>_xlfn.XLOOKUP(R164,'Details PC'!AA:AA,'Details PC'!AI:AI)-X164</f>
        <v>0</v>
      </c>
      <c r="AA164" t="s">
        <v>174</v>
      </c>
      <c r="AB164" t="str">
        <f t="shared" si="34"/>
        <v>Mar-26</v>
      </c>
      <c r="AC164" s="242">
        <v>46092</v>
      </c>
      <c r="AD164" t="s">
        <v>329</v>
      </c>
      <c r="AE164" t="s">
        <v>1738</v>
      </c>
      <c r="AG164" t="s">
        <v>2928</v>
      </c>
      <c r="AI164" t="s">
        <v>2934</v>
      </c>
      <c r="AN164" s="3">
        <v>1</v>
      </c>
      <c r="AO164" s="3">
        <v>7825</v>
      </c>
      <c r="AP164" s="3">
        <f t="shared" si="62"/>
        <v>7825</v>
      </c>
      <c r="AQ164" s="3">
        <v>0</v>
      </c>
      <c r="AR164" s="3">
        <f t="shared" si="63"/>
        <v>7825</v>
      </c>
    </row>
    <row r="165" spans="2:44" x14ac:dyDescent="0.3">
      <c r="B165" t="s">
        <v>1365</v>
      </c>
      <c r="C165" t="s">
        <v>174</v>
      </c>
      <c r="D165" t="str">
        <f t="shared" si="31"/>
        <v>Aug-25</v>
      </c>
      <c r="E165" s="242">
        <v>45870</v>
      </c>
      <c r="G165" t="s">
        <v>1451</v>
      </c>
      <c r="H165" s="233">
        <v>1</v>
      </c>
      <c r="I165" s="233">
        <v>104173</v>
      </c>
      <c r="J165" s="241">
        <f t="shared" si="29"/>
        <v>104173</v>
      </c>
      <c r="K165" s="3">
        <v>0</v>
      </c>
      <c r="L165" s="3">
        <f t="shared" si="30"/>
        <v>104173</v>
      </c>
      <c r="M165" s="3"/>
      <c r="N165" t="s">
        <v>2396</v>
      </c>
      <c r="O165" s="240" t="s">
        <v>226</v>
      </c>
      <c r="P165" t="s">
        <v>174</v>
      </c>
      <c r="Q165" s="242">
        <v>46018</v>
      </c>
      <c r="R165" t="s">
        <v>2387</v>
      </c>
      <c r="S165" t="s">
        <v>2354</v>
      </c>
      <c r="T165" s="3">
        <v>23410</v>
      </c>
      <c r="U165" s="233">
        <v>32.25</v>
      </c>
      <c r="V165" s="3">
        <f t="shared" si="66"/>
        <v>754972.5</v>
      </c>
      <c r="W165" s="3">
        <v>-7417.5</v>
      </c>
      <c r="X165" s="3">
        <f t="shared" si="67"/>
        <v>747555</v>
      </c>
      <c r="Y165" s="1">
        <f>_xlfn.XLOOKUP(R165,'Details PC'!AA:AA,'Details PC'!AI:AI)-X165</f>
        <v>0</v>
      </c>
      <c r="AA165" t="s">
        <v>174</v>
      </c>
      <c r="AB165" t="str">
        <f t="shared" si="34"/>
        <v>Mar-26</v>
      </c>
      <c r="AC165" s="242">
        <v>46093</v>
      </c>
      <c r="AD165" t="s">
        <v>2659</v>
      </c>
      <c r="AE165" t="s">
        <v>1433</v>
      </c>
      <c r="AG165" t="s">
        <v>2888</v>
      </c>
      <c r="AI165" t="s">
        <v>2935</v>
      </c>
      <c r="AN165" s="3">
        <v>1</v>
      </c>
      <c r="AO165" s="3">
        <v>36000</v>
      </c>
      <c r="AP165" s="3">
        <f t="shared" si="62"/>
        <v>36000</v>
      </c>
      <c r="AQ165" s="3">
        <v>0</v>
      </c>
      <c r="AR165" s="3">
        <f t="shared" si="63"/>
        <v>36000</v>
      </c>
    </row>
    <row r="166" spans="2:44" x14ac:dyDescent="0.3">
      <c r="B166" t="s">
        <v>1365</v>
      </c>
      <c r="C166" t="s">
        <v>174</v>
      </c>
      <c r="D166" t="str">
        <f t="shared" si="31"/>
        <v>Aug-25</v>
      </c>
      <c r="E166" s="242">
        <v>45870</v>
      </c>
      <c r="G166" t="s">
        <v>240</v>
      </c>
      <c r="H166" s="233">
        <v>1</v>
      </c>
      <c r="I166" s="233">
        <v>78350</v>
      </c>
      <c r="J166" s="241">
        <f t="shared" si="29"/>
        <v>78350</v>
      </c>
      <c r="K166" s="3">
        <v>0</v>
      </c>
      <c r="L166" s="3">
        <f t="shared" si="30"/>
        <v>78350</v>
      </c>
      <c r="M166" s="3"/>
      <c r="N166" t="s">
        <v>2397</v>
      </c>
      <c r="O166" s="240" t="s">
        <v>226</v>
      </c>
      <c r="P166" t="s">
        <v>174</v>
      </c>
      <c r="Q166" s="242">
        <v>46018</v>
      </c>
      <c r="R166" t="s">
        <v>2388</v>
      </c>
      <c r="S166" t="s">
        <v>2354</v>
      </c>
      <c r="T166" s="3">
        <v>22605</v>
      </c>
      <c r="U166" s="233">
        <v>32.25</v>
      </c>
      <c r="V166" s="3">
        <f t="shared" si="66"/>
        <v>729011.25</v>
      </c>
      <c r="W166" s="3">
        <v>-5643.75</v>
      </c>
      <c r="X166" s="3">
        <f t="shared" si="67"/>
        <v>723367.5</v>
      </c>
      <c r="Y166" s="1">
        <f>_xlfn.XLOOKUP(R166,'Details PC'!AA:AA,'Details PC'!AI:AI)-X166</f>
        <v>0</v>
      </c>
      <c r="AA166" t="s">
        <v>174</v>
      </c>
      <c r="AB166" t="str">
        <f t="shared" si="34"/>
        <v>Mar-26</v>
      </c>
      <c r="AC166" s="242">
        <v>46093</v>
      </c>
      <c r="AD166" t="s">
        <v>2659</v>
      </c>
      <c r="AE166" t="s">
        <v>1433</v>
      </c>
      <c r="AG166" t="s">
        <v>2888</v>
      </c>
      <c r="AI166" t="s">
        <v>2935</v>
      </c>
      <c r="AN166" s="3">
        <v>1</v>
      </c>
      <c r="AO166" s="3">
        <v>500</v>
      </c>
      <c r="AP166" s="3">
        <f t="shared" si="62"/>
        <v>500</v>
      </c>
      <c r="AQ166" s="3">
        <v>0</v>
      </c>
      <c r="AR166" s="3">
        <f t="shared" si="63"/>
        <v>500</v>
      </c>
    </row>
    <row r="167" spans="2:44" x14ac:dyDescent="0.3">
      <c r="B167" t="s">
        <v>1365</v>
      </c>
      <c r="C167" t="s">
        <v>174</v>
      </c>
      <c r="D167" t="str">
        <f t="shared" si="31"/>
        <v>Aug-25</v>
      </c>
      <c r="E167" s="242">
        <v>45874</v>
      </c>
      <c r="G167" t="s">
        <v>395</v>
      </c>
      <c r="H167" s="233">
        <v>1</v>
      </c>
      <c r="I167" s="233">
        <v>200000</v>
      </c>
      <c r="J167" s="241">
        <f t="shared" si="29"/>
        <v>200000</v>
      </c>
      <c r="K167" s="3">
        <v>0</v>
      </c>
      <c r="L167" s="3">
        <f t="shared" si="30"/>
        <v>200000</v>
      </c>
      <c r="M167" s="3"/>
      <c r="N167" t="s">
        <v>2398</v>
      </c>
      <c r="O167" s="240" t="s">
        <v>226</v>
      </c>
      <c r="P167" t="s">
        <v>174</v>
      </c>
      <c r="Q167" s="242">
        <v>46018</v>
      </c>
      <c r="R167" t="s">
        <v>2389</v>
      </c>
      <c r="S167" t="s">
        <v>2354</v>
      </c>
      <c r="T167" s="3">
        <v>22920</v>
      </c>
      <c r="U167" s="233">
        <v>32.25</v>
      </c>
      <c r="V167" s="3">
        <f t="shared" si="66"/>
        <v>739170</v>
      </c>
      <c r="W167" s="3">
        <v>-5160</v>
      </c>
      <c r="X167" s="3">
        <f t="shared" si="67"/>
        <v>734010</v>
      </c>
      <c r="Y167" s="1">
        <f>_xlfn.XLOOKUP(R167,'Details PC'!AA:AA,'Details PC'!AI:AI)-X167</f>
        <v>0</v>
      </c>
      <c r="AA167" t="s">
        <v>174</v>
      </c>
      <c r="AB167" t="str">
        <f t="shared" si="34"/>
        <v>Mar-26</v>
      </c>
      <c r="AC167" s="242">
        <v>46093</v>
      </c>
      <c r="AD167" t="s">
        <v>2658</v>
      </c>
      <c r="AE167" t="s">
        <v>1433</v>
      </c>
      <c r="AG167" t="s">
        <v>2929</v>
      </c>
      <c r="AI167" t="s">
        <v>2936</v>
      </c>
      <c r="AN167" s="3">
        <v>1</v>
      </c>
      <c r="AO167" s="3">
        <v>42000</v>
      </c>
      <c r="AP167" s="3">
        <f t="shared" si="62"/>
        <v>42000</v>
      </c>
      <c r="AQ167" s="3">
        <v>0</v>
      </c>
      <c r="AR167" s="3">
        <f t="shared" si="63"/>
        <v>42000</v>
      </c>
    </row>
    <row r="168" spans="2:44" x14ac:dyDescent="0.3">
      <c r="B168" t="s">
        <v>2743</v>
      </c>
      <c r="C168" t="s">
        <v>174</v>
      </c>
      <c r="D168" t="str">
        <f t="shared" si="31"/>
        <v>Aug-25</v>
      </c>
      <c r="E168" s="242">
        <v>45876</v>
      </c>
      <c r="F168" t="s">
        <v>1585</v>
      </c>
      <c r="G168" t="s">
        <v>250</v>
      </c>
      <c r="H168" s="233">
        <v>7920</v>
      </c>
      <c r="I168" s="233">
        <v>34</v>
      </c>
      <c r="J168" s="241">
        <f t="shared" si="29"/>
        <v>269280</v>
      </c>
      <c r="K168" s="3">
        <v>0</v>
      </c>
      <c r="L168" s="3">
        <f t="shared" si="30"/>
        <v>269280</v>
      </c>
      <c r="M168" s="3"/>
      <c r="N168" t="s">
        <v>2412</v>
      </c>
      <c r="O168" s="240" t="s">
        <v>226</v>
      </c>
      <c r="P168" t="s">
        <v>174</v>
      </c>
      <c r="Q168" s="242">
        <v>46021</v>
      </c>
      <c r="R168" t="s">
        <v>2411</v>
      </c>
      <c r="S168" t="s">
        <v>1497</v>
      </c>
      <c r="T168" s="3">
        <v>30630</v>
      </c>
      <c r="U168" s="233">
        <v>34</v>
      </c>
      <c r="V168" s="3">
        <f t="shared" ref="V168" si="68">U168*T168</f>
        <v>1041420</v>
      </c>
      <c r="W168" s="3">
        <v>-3400</v>
      </c>
      <c r="X168" s="3">
        <f t="shared" ref="X168" si="69">V168+W168</f>
        <v>1038020</v>
      </c>
      <c r="Y168" s="1">
        <f>_xlfn.XLOOKUP(R168,'Details PC'!AA:AA,'Details PC'!AI:AI)-X168</f>
        <v>0</v>
      </c>
      <c r="AA168" t="s">
        <v>174</v>
      </c>
      <c r="AB168" t="str">
        <f t="shared" si="34"/>
        <v>Mar-26</v>
      </c>
      <c r="AC168" s="242">
        <v>46093</v>
      </c>
      <c r="AD168" t="s">
        <v>2658</v>
      </c>
      <c r="AE168" t="s">
        <v>1433</v>
      </c>
      <c r="AG168" t="s">
        <v>2929</v>
      </c>
      <c r="AI168" t="s">
        <v>2936</v>
      </c>
      <c r="AN168" s="3">
        <v>1</v>
      </c>
      <c r="AO168" s="3">
        <v>2500</v>
      </c>
      <c r="AP168" s="3">
        <f t="shared" si="62"/>
        <v>2500</v>
      </c>
      <c r="AQ168" s="3">
        <v>0</v>
      </c>
      <c r="AR168" s="3">
        <f t="shared" si="63"/>
        <v>2500</v>
      </c>
    </row>
    <row r="169" spans="2:44" x14ac:dyDescent="0.3">
      <c r="B169" t="s">
        <v>2743</v>
      </c>
      <c r="C169" t="s">
        <v>174</v>
      </c>
      <c r="D169" t="str">
        <f t="shared" si="31"/>
        <v>Aug-25</v>
      </c>
      <c r="E169" s="242">
        <v>45876</v>
      </c>
      <c r="F169" t="s">
        <v>1586</v>
      </c>
      <c r="G169" t="s">
        <v>250</v>
      </c>
      <c r="H169" s="233">
        <v>4990</v>
      </c>
      <c r="I169" s="233">
        <v>34</v>
      </c>
      <c r="J169" s="241">
        <f t="shared" si="29"/>
        <v>169660</v>
      </c>
      <c r="K169" s="3">
        <v>0</v>
      </c>
      <c r="L169" s="3">
        <f t="shared" si="30"/>
        <v>169660</v>
      </c>
      <c r="M169" s="3"/>
      <c r="N169" t="s">
        <v>2424</v>
      </c>
      <c r="O169" s="240" t="s">
        <v>226</v>
      </c>
      <c r="P169" t="s">
        <v>174</v>
      </c>
      <c r="Q169" s="242">
        <v>46025</v>
      </c>
      <c r="R169" t="s">
        <v>2425</v>
      </c>
      <c r="S169" t="s">
        <v>1497</v>
      </c>
      <c r="T169" s="3">
        <v>34040</v>
      </c>
      <c r="U169" s="233">
        <v>34</v>
      </c>
      <c r="V169" s="3">
        <f t="shared" ref="V169" si="70">U169*T169</f>
        <v>1157360</v>
      </c>
      <c r="W169" s="3">
        <v>-4080</v>
      </c>
      <c r="X169" s="3">
        <f t="shared" ref="X169" si="71">V169+W169</f>
        <v>1153280</v>
      </c>
      <c r="Y169" s="1">
        <f>_xlfn.XLOOKUP(R169,'Details PC'!AA:AA,'Details PC'!AI:AI)-X169</f>
        <v>0</v>
      </c>
      <c r="AA169" t="s">
        <v>174</v>
      </c>
      <c r="AB169" t="str">
        <f t="shared" si="34"/>
        <v>Mar-26</v>
      </c>
      <c r="AC169" s="242">
        <v>46082</v>
      </c>
      <c r="AE169" t="s">
        <v>2791</v>
      </c>
      <c r="AI169" t="s">
        <v>2937</v>
      </c>
      <c r="AP169" s="3">
        <f t="shared" si="62"/>
        <v>0</v>
      </c>
      <c r="AQ169" s="3">
        <v>180</v>
      </c>
      <c r="AR169" s="3">
        <f t="shared" si="63"/>
        <v>-180</v>
      </c>
    </row>
    <row r="170" spans="2:44" x14ac:dyDescent="0.3">
      <c r="B170" t="s">
        <v>2743</v>
      </c>
      <c r="C170" t="s">
        <v>174</v>
      </c>
      <c r="D170" t="str">
        <f t="shared" si="31"/>
        <v>Aug-25</v>
      </c>
      <c r="E170" s="242">
        <v>45877</v>
      </c>
      <c r="F170" t="s">
        <v>1587</v>
      </c>
      <c r="G170" t="s">
        <v>250</v>
      </c>
      <c r="H170" s="233">
        <v>6740</v>
      </c>
      <c r="I170" s="233">
        <v>34</v>
      </c>
      <c r="J170" s="241">
        <f t="shared" si="29"/>
        <v>229160</v>
      </c>
      <c r="K170" s="3">
        <v>0</v>
      </c>
      <c r="L170" s="3">
        <f t="shared" si="30"/>
        <v>229160</v>
      </c>
      <c r="M170" s="3"/>
      <c r="N170" t="s">
        <v>2436</v>
      </c>
      <c r="O170" s="240" t="s">
        <v>226</v>
      </c>
      <c r="P170" t="s">
        <v>174</v>
      </c>
      <c r="Q170" s="242">
        <v>46028</v>
      </c>
      <c r="R170" t="s">
        <v>2433</v>
      </c>
      <c r="S170" t="s">
        <v>1497</v>
      </c>
      <c r="T170" s="3">
        <v>31365</v>
      </c>
      <c r="U170" s="233">
        <v>34</v>
      </c>
      <c r="V170" s="3">
        <f t="shared" ref="V170:V171" si="72">U170*T170</f>
        <v>1066410</v>
      </c>
      <c r="W170" s="3">
        <v>-4930</v>
      </c>
      <c r="X170" s="3">
        <f t="shared" ref="X170:X171" si="73">V170+W170</f>
        <v>1061480</v>
      </c>
      <c r="Y170" s="1">
        <f>_xlfn.XLOOKUP(R170,'Details PC'!AA:AA,'Details PC'!AI:AI)-X170</f>
        <v>0</v>
      </c>
      <c r="AA170" t="s">
        <v>174</v>
      </c>
      <c r="AB170" t="str">
        <f t="shared" si="34"/>
        <v>Mar-26</v>
      </c>
      <c r="AC170" s="242">
        <v>46083</v>
      </c>
      <c r="AE170" t="s">
        <v>2791</v>
      </c>
      <c r="AI170" t="s">
        <v>2938</v>
      </c>
      <c r="AP170" s="3">
        <f t="shared" si="62"/>
        <v>0</v>
      </c>
      <c r="AQ170" s="3">
        <v>175</v>
      </c>
      <c r="AR170" s="3">
        <f t="shared" si="63"/>
        <v>-175</v>
      </c>
    </row>
    <row r="171" spans="2:44" x14ac:dyDescent="0.3">
      <c r="B171" t="s">
        <v>2743</v>
      </c>
      <c r="C171" t="s">
        <v>174</v>
      </c>
      <c r="D171" t="str">
        <f t="shared" si="31"/>
        <v>Aug-25</v>
      </c>
      <c r="E171" s="242">
        <v>45882</v>
      </c>
      <c r="F171" t="s">
        <v>1609</v>
      </c>
      <c r="G171" t="s">
        <v>250</v>
      </c>
      <c r="H171" s="233">
        <v>13110</v>
      </c>
      <c r="I171" s="233">
        <v>33.5</v>
      </c>
      <c r="J171" s="241">
        <f t="shared" si="29"/>
        <v>439185</v>
      </c>
      <c r="K171" s="3">
        <v>0</v>
      </c>
      <c r="L171" s="3">
        <f t="shared" si="30"/>
        <v>439185</v>
      </c>
      <c r="M171" s="3"/>
      <c r="N171" t="s">
        <v>2437</v>
      </c>
      <c r="O171" s="240" t="s">
        <v>226</v>
      </c>
      <c r="P171" t="s">
        <v>174</v>
      </c>
      <c r="Q171" s="242">
        <v>46029</v>
      </c>
      <c r="R171" t="s">
        <v>2434</v>
      </c>
      <c r="S171" t="s">
        <v>2435</v>
      </c>
      <c r="T171" s="3">
        <v>9625</v>
      </c>
      <c r="U171" s="233">
        <v>184</v>
      </c>
      <c r="V171" s="3">
        <f t="shared" si="72"/>
        <v>1771000</v>
      </c>
      <c r="W171" s="3">
        <v>0</v>
      </c>
      <c r="X171" s="3">
        <f t="shared" si="73"/>
        <v>1771000</v>
      </c>
      <c r="Y171" s="1">
        <f>_xlfn.XLOOKUP(R171,'Details PC'!AA:AA,'Details PC'!AI:AI)-X171</f>
        <v>0</v>
      </c>
      <c r="AA171" t="s">
        <v>174</v>
      </c>
      <c r="AB171" t="str">
        <f t="shared" si="34"/>
        <v>Mar-26</v>
      </c>
      <c r="AC171" s="242">
        <v>46100</v>
      </c>
      <c r="AE171" t="s">
        <v>1433</v>
      </c>
      <c r="AG171" t="s">
        <v>2985</v>
      </c>
      <c r="AI171" t="s">
        <v>2994</v>
      </c>
      <c r="AN171" s="3">
        <v>1</v>
      </c>
      <c r="AO171" s="3">
        <v>16705.45</v>
      </c>
      <c r="AP171" s="3">
        <f t="shared" si="62"/>
        <v>16705.45</v>
      </c>
      <c r="AQ171" s="3">
        <v>0</v>
      </c>
      <c r="AR171" s="3">
        <f t="shared" ref="AR171:AR183" si="74">AP171-AQ171</f>
        <v>16705.45</v>
      </c>
    </row>
    <row r="172" spans="2:44" x14ac:dyDescent="0.3">
      <c r="B172" t="s">
        <v>1365</v>
      </c>
      <c r="C172" t="s">
        <v>174</v>
      </c>
      <c r="D172" t="str">
        <f t="shared" si="31"/>
        <v>Aug-25</v>
      </c>
      <c r="E172" s="242">
        <v>45882</v>
      </c>
      <c r="F172" t="s">
        <v>329</v>
      </c>
      <c r="G172" t="s">
        <v>395</v>
      </c>
      <c r="H172" s="233">
        <v>1</v>
      </c>
      <c r="I172" s="233">
        <v>200000</v>
      </c>
      <c r="J172" s="241">
        <f t="shared" si="29"/>
        <v>200000</v>
      </c>
      <c r="K172" s="3">
        <v>0</v>
      </c>
      <c r="L172" s="3">
        <f t="shared" si="30"/>
        <v>200000</v>
      </c>
      <c r="M172" s="3"/>
      <c r="N172" t="s">
        <v>2438</v>
      </c>
      <c r="O172" s="240" t="s">
        <v>226</v>
      </c>
      <c r="P172" t="s">
        <v>174</v>
      </c>
      <c r="Q172" s="242">
        <v>46030</v>
      </c>
      <c r="R172" t="s">
        <v>2441</v>
      </c>
      <c r="S172" t="s">
        <v>1497</v>
      </c>
      <c r="T172" s="3">
        <v>30430</v>
      </c>
      <c r="U172" s="233">
        <v>35.5</v>
      </c>
      <c r="V172" s="3">
        <f t="shared" ref="V172:V175" si="75">U172*T172</f>
        <v>1080265</v>
      </c>
      <c r="W172" s="3">
        <v>-1420</v>
      </c>
      <c r="X172" s="3">
        <f t="shared" ref="X172:X174" si="76">V172+W172</f>
        <v>1078845</v>
      </c>
      <c r="Y172" s="1">
        <f>_xlfn.XLOOKUP(R172,'Details PC'!AA:AA,'Details PC'!AI:AI)-X172</f>
        <v>0</v>
      </c>
      <c r="AA172" t="s">
        <v>174</v>
      </c>
      <c r="AB172" t="str">
        <f t="shared" si="34"/>
        <v>Mar-26</v>
      </c>
      <c r="AC172" s="242">
        <v>46100</v>
      </c>
      <c r="AE172" t="s">
        <v>1433</v>
      </c>
      <c r="AG172" t="s">
        <v>2986</v>
      </c>
      <c r="AI172" t="s">
        <v>2995</v>
      </c>
      <c r="AN172" s="3">
        <v>1</v>
      </c>
      <c r="AO172" s="3">
        <v>17100</v>
      </c>
      <c r="AP172" s="3">
        <f t="shared" si="62"/>
        <v>17100</v>
      </c>
      <c r="AQ172" s="3">
        <v>0</v>
      </c>
      <c r="AR172" s="3">
        <f t="shared" si="74"/>
        <v>17100</v>
      </c>
    </row>
    <row r="173" spans="2:44" x14ac:dyDescent="0.3">
      <c r="B173" t="s">
        <v>2743</v>
      </c>
      <c r="C173" t="s">
        <v>174</v>
      </c>
      <c r="D173" t="str">
        <f t="shared" si="31"/>
        <v>Aug-25</v>
      </c>
      <c r="E173" s="242">
        <v>45885</v>
      </c>
      <c r="F173" t="s">
        <v>1633</v>
      </c>
      <c r="G173" t="s">
        <v>250</v>
      </c>
      <c r="H173" s="233">
        <v>9500</v>
      </c>
      <c r="I173" s="233">
        <v>33.5</v>
      </c>
      <c r="J173" s="233">
        <f t="shared" si="29"/>
        <v>318250</v>
      </c>
      <c r="K173" s="3">
        <v>0</v>
      </c>
      <c r="L173" s="3">
        <f t="shared" si="30"/>
        <v>318250</v>
      </c>
      <c r="M173" s="3"/>
      <c r="N173" t="s">
        <v>2439</v>
      </c>
      <c r="O173" s="240" t="s">
        <v>226</v>
      </c>
      <c r="P173" t="s">
        <v>174</v>
      </c>
      <c r="Q173" s="242">
        <v>46032</v>
      </c>
      <c r="R173" t="s">
        <v>2442</v>
      </c>
      <c r="S173" t="s">
        <v>2353</v>
      </c>
      <c r="T173" s="3">
        <v>23825</v>
      </c>
      <c r="U173" s="233">
        <v>33.25</v>
      </c>
      <c r="V173" s="3">
        <f t="shared" si="75"/>
        <v>792181.25</v>
      </c>
      <c r="W173" s="3">
        <v>-1496</v>
      </c>
      <c r="X173" s="3">
        <f t="shared" si="76"/>
        <v>790685.25</v>
      </c>
      <c r="Y173" s="1">
        <f>_xlfn.XLOOKUP(R173,'Details PC'!AA:AA,'Details PC'!AI:AI)-X173</f>
        <v>-0.25</v>
      </c>
      <c r="AA173" t="s">
        <v>174</v>
      </c>
      <c r="AB173" t="str">
        <f t="shared" si="34"/>
        <v>Mar-26</v>
      </c>
      <c r="AC173" s="242">
        <v>46100</v>
      </c>
      <c r="AE173" t="s">
        <v>1433</v>
      </c>
      <c r="AG173" t="s">
        <v>2986</v>
      </c>
      <c r="AI173" t="s">
        <v>2995</v>
      </c>
      <c r="AN173" s="3">
        <v>1</v>
      </c>
      <c r="AO173" s="3">
        <v>2500</v>
      </c>
      <c r="AP173" s="3">
        <f t="shared" si="62"/>
        <v>2500</v>
      </c>
      <c r="AQ173" s="3">
        <v>0</v>
      </c>
      <c r="AR173" s="3">
        <f t="shared" si="74"/>
        <v>2500</v>
      </c>
    </row>
    <row r="174" spans="2:44" x14ac:dyDescent="0.3">
      <c r="B174" t="s">
        <v>2743</v>
      </c>
      <c r="C174" t="s">
        <v>174</v>
      </c>
      <c r="D174" t="str">
        <f t="shared" si="31"/>
        <v>Aug-25</v>
      </c>
      <c r="E174" s="242">
        <v>45886</v>
      </c>
      <c r="F174" t="s">
        <v>1634</v>
      </c>
      <c r="G174" t="s">
        <v>250</v>
      </c>
      <c r="H174" s="233">
        <v>6660</v>
      </c>
      <c r="I174" s="233">
        <v>33.5</v>
      </c>
      <c r="J174" s="233">
        <f t="shared" si="29"/>
        <v>223110</v>
      </c>
      <c r="K174" s="3">
        <v>0</v>
      </c>
      <c r="L174" s="3">
        <f t="shared" si="30"/>
        <v>223110</v>
      </c>
      <c r="M174" s="3"/>
      <c r="N174" t="s">
        <v>2440</v>
      </c>
      <c r="O174" s="240" t="s">
        <v>226</v>
      </c>
      <c r="P174" t="s">
        <v>174</v>
      </c>
      <c r="Q174" s="242">
        <v>46032</v>
      </c>
      <c r="R174" t="s">
        <v>2443</v>
      </c>
      <c r="S174" t="s">
        <v>1497</v>
      </c>
      <c r="T174" s="3">
        <v>33955</v>
      </c>
      <c r="U174" s="233">
        <v>35.5</v>
      </c>
      <c r="V174" s="3">
        <f t="shared" si="75"/>
        <v>1205402.5</v>
      </c>
      <c r="W174" s="3">
        <v>-3017.5</v>
      </c>
      <c r="X174" s="3">
        <f t="shared" si="76"/>
        <v>1202385</v>
      </c>
      <c r="Y174" s="1">
        <f>_xlfn.XLOOKUP(R174,'Details PC'!AA:AA,'Details PC'!AI:AI)-X174</f>
        <v>0</v>
      </c>
      <c r="AA174" t="s">
        <v>174</v>
      </c>
      <c r="AB174" t="str">
        <f t="shared" si="34"/>
        <v>Mar-26</v>
      </c>
      <c r="AC174" s="242">
        <v>46100</v>
      </c>
      <c r="AE174" t="s">
        <v>1433</v>
      </c>
      <c r="AG174" t="s">
        <v>2987</v>
      </c>
      <c r="AI174" t="s">
        <v>2996</v>
      </c>
      <c r="AN174" s="3">
        <v>1</v>
      </c>
      <c r="AO174" s="3">
        <v>16096.8</v>
      </c>
      <c r="AP174" s="3">
        <f t="shared" si="62"/>
        <v>16096.8</v>
      </c>
      <c r="AQ174" s="3">
        <v>0</v>
      </c>
      <c r="AR174" s="3">
        <f t="shared" si="74"/>
        <v>16096.8</v>
      </c>
    </row>
    <row r="175" spans="2:44" x14ac:dyDescent="0.3">
      <c r="B175" t="s">
        <v>2743</v>
      </c>
      <c r="C175" t="s">
        <v>174</v>
      </c>
      <c r="D175" t="str">
        <f t="shared" si="31"/>
        <v>Aug-25</v>
      </c>
      <c r="E175" s="242">
        <v>45889</v>
      </c>
      <c r="F175" t="s">
        <v>1635</v>
      </c>
      <c r="G175" t="s">
        <v>250</v>
      </c>
      <c r="H175" s="233">
        <v>14900</v>
      </c>
      <c r="I175" s="233">
        <v>33.5</v>
      </c>
      <c r="J175" s="233">
        <f t="shared" si="29"/>
        <v>499150</v>
      </c>
      <c r="K175" s="3">
        <v>0</v>
      </c>
      <c r="L175" s="3">
        <f t="shared" si="30"/>
        <v>499150</v>
      </c>
      <c r="M175" s="3"/>
      <c r="N175" t="s">
        <v>2550</v>
      </c>
      <c r="O175" s="240" t="s">
        <v>226</v>
      </c>
      <c r="P175" t="s">
        <v>174</v>
      </c>
      <c r="Q175" s="242">
        <v>45985</v>
      </c>
      <c r="R175" t="s">
        <v>2551</v>
      </c>
      <c r="S175" t="s">
        <v>1497</v>
      </c>
      <c r="T175" s="3">
        <v>25755</v>
      </c>
      <c r="U175" s="233">
        <v>35</v>
      </c>
      <c r="V175" s="3">
        <f t="shared" si="75"/>
        <v>901425</v>
      </c>
      <c r="W175" s="3">
        <v>-901425</v>
      </c>
      <c r="X175" s="3">
        <f t="shared" ref="X175" si="77">V175+W175</f>
        <v>0</v>
      </c>
      <c r="Y175" s="1">
        <f>_xlfn.XLOOKUP(R175,'Details PC'!AA:AA,'Details PC'!AI:AI)-X175</f>
        <v>0</v>
      </c>
      <c r="AA175" t="s">
        <v>174</v>
      </c>
      <c r="AB175" t="str">
        <f t="shared" si="34"/>
        <v>Mar-26</v>
      </c>
      <c r="AC175" s="242">
        <v>46100</v>
      </c>
      <c r="AE175" t="s">
        <v>1433</v>
      </c>
      <c r="AG175" t="s">
        <v>2987</v>
      </c>
      <c r="AI175" t="s">
        <v>2996</v>
      </c>
      <c r="AN175" s="3">
        <v>1</v>
      </c>
      <c r="AO175" s="3">
        <v>2350</v>
      </c>
      <c r="AP175" s="3">
        <f t="shared" si="62"/>
        <v>2350</v>
      </c>
      <c r="AQ175" s="3">
        <v>0</v>
      </c>
      <c r="AR175" s="3">
        <f t="shared" si="74"/>
        <v>2350</v>
      </c>
    </row>
    <row r="176" spans="2:44" x14ac:dyDescent="0.3">
      <c r="B176" t="s">
        <v>1365</v>
      </c>
      <c r="C176" t="s">
        <v>174</v>
      </c>
      <c r="D176" t="str">
        <f t="shared" si="31"/>
        <v>Sep-25</v>
      </c>
      <c r="E176" s="242">
        <v>45901</v>
      </c>
      <c r="G176" t="s">
        <v>240</v>
      </c>
      <c r="H176" s="233">
        <v>1</v>
      </c>
      <c r="I176" s="233">
        <v>6150</v>
      </c>
      <c r="J176" s="233">
        <f t="shared" si="29"/>
        <v>6150</v>
      </c>
      <c r="K176" s="3">
        <v>0</v>
      </c>
      <c r="L176" s="3">
        <f t="shared" si="30"/>
        <v>6150</v>
      </c>
      <c r="M176" s="3"/>
      <c r="N176" t="s">
        <v>2577</v>
      </c>
      <c r="O176" s="240" t="s">
        <v>226</v>
      </c>
      <c r="P176" t="s">
        <v>174</v>
      </c>
      <c r="Q176" s="242">
        <v>46035</v>
      </c>
      <c r="R176" t="s">
        <v>2573</v>
      </c>
      <c r="S176" t="s">
        <v>2353</v>
      </c>
      <c r="T176" s="3">
        <v>19745</v>
      </c>
      <c r="U176" s="233">
        <v>33.25</v>
      </c>
      <c r="V176" s="3">
        <f t="shared" ref="V176:V179" si="78">U176*T176</f>
        <v>656521.25</v>
      </c>
      <c r="W176" s="3">
        <v>-4821</v>
      </c>
      <c r="X176" s="3">
        <f t="shared" ref="X176:X179" si="79">V176+W176</f>
        <v>651700.25</v>
      </c>
      <c r="Y176" s="1">
        <f>_xlfn.XLOOKUP(R176,'Details PC'!AA:AA,'Details PC'!AI:AI)-X176</f>
        <v>-0.25</v>
      </c>
      <c r="AA176" t="s">
        <v>174</v>
      </c>
      <c r="AB176" t="str">
        <f t="shared" si="34"/>
        <v>Mar-26</v>
      </c>
      <c r="AC176" s="242">
        <v>46100</v>
      </c>
      <c r="AE176" t="s">
        <v>1433</v>
      </c>
      <c r="AG176" t="s">
        <v>2988</v>
      </c>
      <c r="AI176" t="s">
        <v>2997</v>
      </c>
      <c r="AN176" s="3">
        <v>210</v>
      </c>
      <c r="AO176" s="3">
        <v>34.1</v>
      </c>
      <c r="AP176" s="3">
        <f t="shared" si="62"/>
        <v>7161</v>
      </c>
      <c r="AQ176" s="3">
        <v>0</v>
      </c>
      <c r="AR176" s="3">
        <f t="shared" si="74"/>
        <v>7161</v>
      </c>
    </row>
    <row r="177" spans="2:44" x14ac:dyDescent="0.3">
      <c r="B177" t="s">
        <v>1365</v>
      </c>
      <c r="C177" t="s">
        <v>174</v>
      </c>
      <c r="D177" t="str">
        <f t="shared" si="31"/>
        <v>Sep-25</v>
      </c>
      <c r="E177" s="242">
        <v>45902</v>
      </c>
      <c r="F177" t="s">
        <v>329</v>
      </c>
      <c r="G177" t="s">
        <v>395</v>
      </c>
      <c r="H177" s="233">
        <v>1</v>
      </c>
      <c r="I177" s="233">
        <v>41400</v>
      </c>
      <c r="J177" s="233">
        <f t="shared" si="29"/>
        <v>41400</v>
      </c>
      <c r="K177" s="3">
        <v>0</v>
      </c>
      <c r="L177" s="3">
        <f t="shared" si="30"/>
        <v>41400</v>
      </c>
      <c r="M177" s="3"/>
      <c r="N177" t="s">
        <v>2578</v>
      </c>
      <c r="O177" s="240" t="s">
        <v>226</v>
      </c>
      <c r="P177" t="s">
        <v>174</v>
      </c>
      <c r="Q177" s="242">
        <v>46036</v>
      </c>
      <c r="R177" t="s">
        <v>2574</v>
      </c>
      <c r="S177" t="s">
        <v>1497</v>
      </c>
      <c r="T177" s="3">
        <v>30865</v>
      </c>
      <c r="U177" s="233">
        <v>35.5</v>
      </c>
      <c r="V177" s="3">
        <f t="shared" si="78"/>
        <v>1095707.5</v>
      </c>
      <c r="W177" s="3">
        <v>-2307.5</v>
      </c>
      <c r="X177" s="3">
        <f t="shared" si="79"/>
        <v>1093400</v>
      </c>
      <c r="Y177" s="1">
        <f>_xlfn.XLOOKUP(R177,'Details PC'!AA:AA,'Details PC'!AI:AI)-X177</f>
        <v>0</v>
      </c>
      <c r="AA177" t="s">
        <v>174</v>
      </c>
      <c r="AB177" t="str">
        <f t="shared" si="34"/>
        <v>Mar-26</v>
      </c>
      <c r="AC177" s="242">
        <v>46100</v>
      </c>
      <c r="AE177" t="s">
        <v>1433</v>
      </c>
      <c r="AG177" t="s">
        <v>2989</v>
      </c>
      <c r="AI177" t="s">
        <v>2998</v>
      </c>
      <c r="AN177" s="3">
        <v>140</v>
      </c>
      <c r="AO177" s="3">
        <v>34.1</v>
      </c>
      <c r="AP177" s="3">
        <f t="shared" si="62"/>
        <v>4774</v>
      </c>
      <c r="AQ177" s="3">
        <v>0</v>
      </c>
      <c r="AR177" s="3">
        <f t="shared" si="74"/>
        <v>4774</v>
      </c>
    </row>
    <row r="178" spans="2:44" x14ac:dyDescent="0.3">
      <c r="B178" t="s">
        <v>1365</v>
      </c>
      <c r="C178" t="s">
        <v>174</v>
      </c>
      <c r="D178" t="str">
        <f t="shared" si="31"/>
        <v>Sep-25</v>
      </c>
      <c r="E178" s="242">
        <v>45902</v>
      </c>
      <c r="F178" t="s">
        <v>329</v>
      </c>
      <c r="G178" t="s">
        <v>395</v>
      </c>
      <c r="H178" s="233">
        <v>5</v>
      </c>
      <c r="I178" s="233">
        <v>1850</v>
      </c>
      <c r="J178" s="233">
        <f t="shared" si="29"/>
        <v>9250</v>
      </c>
      <c r="K178" s="3">
        <v>0</v>
      </c>
      <c r="L178" s="3">
        <f t="shared" si="30"/>
        <v>9250</v>
      </c>
      <c r="M178" s="3"/>
      <c r="N178" t="s">
        <v>2579</v>
      </c>
      <c r="O178" s="240" t="s">
        <v>226</v>
      </c>
      <c r="P178" t="s">
        <v>174</v>
      </c>
      <c r="Q178" s="242">
        <v>46037</v>
      </c>
      <c r="R178" t="s">
        <v>2575</v>
      </c>
      <c r="S178" t="s">
        <v>2353</v>
      </c>
      <c r="T178" s="3">
        <v>24770</v>
      </c>
      <c r="U178" s="233">
        <v>33.25</v>
      </c>
      <c r="V178" s="3">
        <f t="shared" si="78"/>
        <v>823602.5</v>
      </c>
      <c r="W178" s="3">
        <v>-2328</v>
      </c>
      <c r="X178" s="3">
        <f t="shared" si="79"/>
        <v>821274.5</v>
      </c>
      <c r="Y178" s="1">
        <f>_xlfn.XLOOKUP(R178,'Details PC'!AA:AA,'Details PC'!AI:AI)-X178</f>
        <v>0.5</v>
      </c>
      <c r="AA178" t="s">
        <v>174</v>
      </c>
      <c r="AB178" t="str">
        <f t="shared" si="34"/>
        <v>Mar-26</v>
      </c>
      <c r="AC178" s="242">
        <v>46100</v>
      </c>
      <c r="AE178" t="s">
        <v>1433</v>
      </c>
      <c r="AG178" t="s">
        <v>2951</v>
      </c>
      <c r="AI178" t="s">
        <v>2999</v>
      </c>
      <c r="AN178" s="3">
        <v>1</v>
      </c>
      <c r="AO178" s="3">
        <v>17600</v>
      </c>
      <c r="AP178" s="3">
        <f t="shared" si="62"/>
        <v>17600</v>
      </c>
      <c r="AQ178" s="3">
        <v>0</v>
      </c>
      <c r="AR178" s="3">
        <f t="shared" si="74"/>
        <v>17600</v>
      </c>
    </row>
    <row r="179" spans="2:44" x14ac:dyDescent="0.3">
      <c r="B179" t="s">
        <v>1365</v>
      </c>
      <c r="C179" t="s">
        <v>174</v>
      </c>
      <c r="D179" t="str">
        <f t="shared" si="31"/>
        <v>Sep-25</v>
      </c>
      <c r="E179" s="242">
        <v>45902</v>
      </c>
      <c r="F179" t="s">
        <v>329</v>
      </c>
      <c r="G179" t="s">
        <v>395</v>
      </c>
      <c r="H179" s="233">
        <v>59</v>
      </c>
      <c r="I179" s="233">
        <v>240</v>
      </c>
      <c r="J179" s="233">
        <f t="shared" si="29"/>
        <v>14160</v>
      </c>
      <c r="K179" s="3">
        <v>0</v>
      </c>
      <c r="L179" s="3">
        <f t="shared" si="30"/>
        <v>14160</v>
      </c>
      <c r="M179" s="3"/>
      <c r="N179" t="s">
        <v>2580</v>
      </c>
      <c r="O179" s="240" t="s">
        <v>226</v>
      </c>
      <c r="P179" t="s">
        <v>174</v>
      </c>
      <c r="Q179" s="242">
        <v>46037</v>
      </c>
      <c r="R179" t="s">
        <v>2576</v>
      </c>
      <c r="S179" t="s">
        <v>2353</v>
      </c>
      <c r="T179" s="3">
        <v>25160</v>
      </c>
      <c r="U179" s="233">
        <v>33.25</v>
      </c>
      <c r="V179" s="3">
        <f t="shared" si="78"/>
        <v>836570</v>
      </c>
      <c r="W179" s="3">
        <v>-2660</v>
      </c>
      <c r="X179" s="3">
        <f t="shared" si="79"/>
        <v>833910</v>
      </c>
      <c r="Y179" s="1">
        <f>_xlfn.XLOOKUP(R179,'Details PC'!AA:AA,'Details PC'!AI:AI)-X179</f>
        <v>0</v>
      </c>
      <c r="AA179" t="s">
        <v>174</v>
      </c>
      <c r="AB179" t="str">
        <f t="shared" si="34"/>
        <v>Mar-26</v>
      </c>
      <c r="AC179" s="242">
        <v>46100</v>
      </c>
      <c r="AE179" t="s">
        <v>1433</v>
      </c>
      <c r="AG179" t="s">
        <v>2990</v>
      </c>
      <c r="AI179" t="s">
        <v>3000</v>
      </c>
      <c r="AN179" s="3">
        <v>1</v>
      </c>
      <c r="AO179" s="3">
        <v>15931.5</v>
      </c>
      <c r="AP179" s="3">
        <f t="shared" si="62"/>
        <v>15931.5</v>
      </c>
      <c r="AQ179" s="3">
        <v>0</v>
      </c>
      <c r="AR179" s="3">
        <f t="shared" si="74"/>
        <v>15931.5</v>
      </c>
    </row>
    <row r="180" spans="2:44" x14ac:dyDescent="0.3">
      <c r="B180" t="s">
        <v>1365</v>
      </c>
      <c r="C180" t="s">
        <v>174</v>
      </c>
      <c r="D180" t="str">
        <f t="shared" si="31"/>
        <v>Sep-25</v>
      </c>
      <c r="E180" s="242">
        <v>45902</v>
      </c>
      <c r="F180" t="s">
        <v>329</v>
      </c>
      <c r="G180" t="s">
        <v>395</v>
      </c>
      <c r="H180" s="233">
        <v>1</v>
      </c>
      <c r="I180" s="233">
        <v>200000</v>
      </c>
      <c r="J180" s="233">
        <f t="shared" si="29"/>
        <v>200000</v>
      </c>
      <c r="K180" s="3">
        <v>0</v>
      </c>
      <c r="L180" s="3">
        <f t="shared" si="30"/>
        <v>200000</v>
      </c>
      <c r="M180" s="3"/>
      <c r="N180" t="s">
        <v>2658</v>
      </c>
      <c r="O180" s="240" t="s">
        <v>226</v>
      </c>
      <c r="P180" t="s">
        <v>174</v>
      </c>
      <c r="Q180" s="242">
        <v>46043</v>
      </c>
      <c r="R180" t="s">
        <v>2656</v>
      </c>
      <c r="S180" t="s">
        <v>2353</v>
      </c>
      <c r="T180" s="3">
        <v>34800</v>
      </c>
      <c r="U180" s="233">
        <v>30.5</v>
      </c>
      <c r="V180" s="3">
        <f t="shared" ref="V180:V182" si="80">U180*T180</f>
        <v>1061400</v>
      </c>
      <c r="W180" s="3">
        <v>-1830</v>
      </c>
      <c r="X180" s="3">
        <f t="shared" ref="X180:X181" si="81">V180+W180</f>
        <v>1059570</v>
      </c>
      <c r="Y180" s="1">
        <f>_xlfn.XLOOKUP(R180,'Details PC'!AA:AA,'Details PC'!AI:AI)-X180</f>
        <v>0</v>
      </c>
      <c r="AA180" t="s">
        <v>174</v>
      </c>
      <c r="AB180" t="str">
        <f t="shared" si="34"/>
        <v>Mar-26</v>
      </c>
      <c r="AC180" s="242">
        <v>46100</v>
      </c>
      <c r="AE180" t="s">
        <v>1433</v>
      </c>
      <c r="AG180" t="s">
        <v>2991</v>
      </c>
      <c r="AI180" t="s">
        <v>3001</v>
      </c>
      <c r="AN180" s="3">
        <v>1</v>
      </c>
      <c r="AO180" s="3">
        <v>14905.5</v>
      </c>
      <c r="AP180" s="3">
        <f t="shared" si="62"/>
        <v>14905.5</v>
      </c>
      <c r="AQ180" s="3">
        <v>0</v>
      </c>
      <c r="AR180" s="3">
        <f t="shared" si="74"/>
        <v>14905.5</v>
      </c>
    </row>
    <row r="181" spans="2:44" x14ac:dyDescent="0.3">
      <c r="B181" t="s">
        <v>2743</v>
      </c>
      <c r="C181" t="s">
        <v>174</v>
      </c>
      <c r="D181" t="str">
        <f t="shared" si="31"/>
        <v>Sep-25</v>
      </c>
      <c r="E181" s="242">
        <v>45903</v>
      </c>
      <c r="F181" t="s">
        <v>1668</v>
      </c>
      <c r="G181" t="s">
        <v>400</v>
      </c>
      <c r="H181" s="233">
        <v>24020</v>
      </c>
      <c r="I181" s="233">
        <v>32.65</v>
      </c>
      <c r="J181" s="233">
        <f t="shared" si="29"/>
        <v>784253</v>
      </c>
      <c r="K181" s="3">
        <v>0</v>
      </c>
      <c r="L181" s="3">
        <f t="shared" si="30"/>
        <v>784253</v>
      </c>
      <c r="M181" s="3"/>
      <c r="N181" t="s">
        <v>2659</v>
      </c>
      <c r="O181" s="240" t="s">
        <v>226</v>
      </c>
      <c r="P181" t="s">
        <v>174</v>
      </c>
      <c r="Q181" s="242">
        <v>46046</v>
      </c>
      <c r="R181" t="s">
        <v>2657</v>
      </c>
      <c r="S181" t="s">
        <v>1497</v>
      </c>
      <c r="T181" s="3">
        <v>28195</v>
      </c>
      <c r="U181" s="233">
        <v>36</v>
      </c>
      <c r="V181" s="3">
        <f t="shared" si="80"/>
        <v>1015020</v>
      </c>
      <c r="W181" s="3">
        <v>-3420</v>
      </c>
      <c r="X181" s="3">
        <f t="shared" si="81"/>
        <v>1011600</v>
      </c>
      <c r="Y181" s="1">
        <f>_xlfn.XLOOKUP(R181,'Details PC'!AA:AA,'Details PC'!AI:AI)-X181</f>
        <v>0</v>
      </c>
      <c r="AA181" t="s">
        <v>174</v>
      </c>
      <c r="AB181" t="str">
        <f t="shared" si="34"/>
        <v>Mar-26</v>
      </c>
      <c r="AC181" s="242">
        <v>46100</v>
      </c>
      <c r="AE181" t="s">
        <v>1433</v>
      </c>
      <c r="AG181" t="s">
        <v>2991</v>
      </c>
      <c r="AI181" t="s">
        <v>3001</v>
      </c>
      <c r="AN181" s="3">
        <v>1</v>
      </c>
      <c r="AO181" s="3">
        <v>350</v>
      </c>
      <c r="AP181" s="3">
        <f t="shared" si="62"/>
        <v>350</v>
      </c>
      <c r="AQ181" s="3">
        <v>0</v>
      </c>
      <c r="AR181" s="3">
        <f t="shared" si="74"/>
        <v>350</v>
      </c>
    </row>
    <row r="182" spans="2:44" x14ac:dyDescent="0.3">
      <c r="B182" t="s">
        <v>2743</v>
      </c>
      <c r="C182" t="s">
        <v>174</v>
      </c>
      <c r="D182" t="str">
        <f t="shared" si="31"/>
        <v>Sep-25</v>
      </c>
      <c r="E182" s="242">
        <v>45904</v>
      </c>
      <c r="F182" t="s">
        <v>1670</v>
      </c>
      <c r="G182" t="s">
        <v>1671</v>
      </c>
      <c r="H182" s="233">
        <v>6980</v>
      </c>
      <c r="I182" s="233">
        <v>32.9</v>
      </c>
      <c r="J182" s="233">
        <f t="shared" si="29"/>
        <v>229642</v>
      </c>
      <c r="K182" s="3">
        <v>0</v>
      </c>
      <c r="L182" s="3">
        <f t="shared" si="30"/>
        <v>229642</v>
      </c>
      <c r="M182" s="3"/>
      <c r="N182" t="s">
        <v>2738</v>
      </c>
      <c r="O182" s="240" t="s">
        <v>226</v>
      </c>
      <c r="P182" t="s">
        <v>174</v>
      </c>
      <c r="Q182" s="242">
        <v>46049</v>
      </c>
      <c r="R182" t="s">
        <v>2739</v>
      </c>
      <c r="S182" t="s">
        <v>2353</v>
      </c>
      <c r="T182" s="3">
        <v>24470</v>
      </c>
      <c r="U182" s="233">
        <v>35</v>
      </c>
      <c r="V182" s="3">
        <f t="shared" si="80"/>
        <v>856450</v>
      </c>
      <c r="W182" s="3">
        <v>0</v>
      </c>
      <c r="X182" s="3">
        <f t="shared" ref="X182" si="82">V182+W182</f>
        <v>856450</v>
      </c>
      <c r="Y182" s="1">
        <f>_xlfn.XLOOKUP(R182,'Details PC'!AA:AA,'Details PC'!AI:AI)-X182</f>
        <v>0</v>
      </c>
      <c r="AA182" t="s">
        <v>174</v>
      </c>
      <c r="AB182" t="str">
        <f t="shared" si="34"/>
        <v>Mar-26</v>
      </c>
      <c r="AC182" s="242">
        <v>46102</v>
      </c>
      <c r="AE182" t="s">
        <v>2984</v>
      </c>
      <c r="AG182" t="s">
        <v>2992</v>
      </c>
      <c r="AI182" t="s">
        <v>3002</v>
      </c>
      <c r="AN182" s="3">
        <v>37</v>
      </c>
      <c r="AO182" s="3">
        <v>853.43</v>
      </c>
      <c r="AP182" s="3">
        <f t="shared" si="62"/>
        <v>31576.91</v>
      </c>
      <c r="AQ182" s="3">
        <v>0</v>
      </c>
      <c r="AR182" s="3">
        <f t="shared" si="74"/>
        <v>31576.91</v>
      </c>
    </row>
    <row r="183" spans="2:44" x14ac:dyDescent="0.3">
      <c r="B183" t="s">
        <v>2743</v>
      </c>
      <c r="C183" t="s">
        <v>174</v>
      </c>
      <c r="D183" t="str">
        <f t="shared" si="31"/>
        <v>Sep-25</v>
      </c>
      <c r="E183" s="242">
        <v>45905</v>
      </c>
      <c r="F183" t="s">
        <v>1704</v>
      </c>
      <c r="G183" t="s">
        <v>1671</v>
      </c>
      <c r="H183" s="233">
        <v>9240</v>
      </c>
      <c r="I183" s="233">
        <v>32.9</v>
      </c>
      <c r="J183" s="233">
        <f t="shared" si="29"/>
        <v>303996</v>
      </c>
      <c r="K183" s="3">
        <v>0</v>
      </c>
      <c r="L183" s="3">
        <f t="shared" si="30"/>
        <v>303996</v>
      </c>
      <c r="M183" s="3"/>
      <c r="O183" s="240" t="s">
        <v>226</v>
      </c>
      <c r="P183" t="s">
        <v>174</v>
      </c>
      <c r="Q183" s="242">
        <v>45859</v>
      </c>
      <c r="R183" t="s">
        <v>1471</v>
      </c>
      <c r="S183" t="s">
        <v>250</v>
      </c>
      <c r="T183" s="3">
        <v>1</v>
      </c>
      <c r="U183" s="233">
        <v>61416</v>
      </c>
      <c r="V183" s="3">
        <f t="shared" ref="V183" si="83">U183*T183</f>
        <v>61416</v>
      </c>
      <c r="W183" s="3">
        <v>0</v>
      </c>
      <c r="X183" s="3">
        <f t="shared" ref="X183" si="84">V183+W183</f>
        <v>61416</v>
      </c>
      <c r="Y183" s="1">
        <f>_xlfn.XLOOKUP(R183,'Details PC'!AA:AA,'Details PC'!AI:AI)-X183</f>
        <v>0</v>
      </c>
      <c r="AA183" t="s">
        <v>174</v>
      </c>
      <c r="AB183" t="str">
        <f t="shared" si="34"/>
        <v>Mar-26</v>
      </c>
      <c r="AC183" s="242">
        <v>46102</v>
      </c>
      <c r="AE183" t="s">
        <v>2984</v>
      </c>
      <c r="AG183" t="s">
        <v>2993</v>
      </c>
      <c r="AI183" t="s">
        <v>3003</v>
      </c>
      <c r="AN183" s="3">
        <v>37</v>
      </c>
      <c r="AO183" s="3">
        <v>886.54</v>
      </c>
      <c r="AP183" s="3">
        <f t="shared" si="62"/>
        <v>32801.979999999996</v>
      </c>
      <c r="AQ183" s="3">
        <v>0</v>
      </c>
      <c r="AR183" s="3">
        <f t="shared" si="74"/>
        <v>32801.979999999996</v>
      </c>
    </row>
    <row r="184" spans="2:44" x14ac:dyDescent="0.3">
      <c r="B184" t="s">
        <v>2743</v>
      </c>
      <c r="C184" t="s">
        <v>174</v>
      </c>
      <c r="D184" t="str">
        <f t="shared" si="31"/>
        <v>Sep-25</v>
      </c>
      <c r="E184" s="242">
        <v>45906</v>
      </c>
      <c r="F184" t="s">
        <v>1674</v>
      </c>
      <c r="G184" t="s">
        <v>400</v>
      </c>
      <c r="H184" s="233">
        <v>25250</v>
      </c>
      <c r="I184" s="233">
        <v>32.65</v>
      </c>
      <c r="J184" s="233">
        <f t="shared" si="29"/>
        <v>824412.5</v>
      </c>
      <c r="K184" s="3">
        <v>0</v>
      </c>
      <c r="L184" s="3">
        <f t="shared" si="30"/>
        <v>824412.5</v>
      </c>
      <c r="M184" s="3"/>
      <c r="O184" s="240" t="s">
        <v>226</v>
      </c>
      <c r="P184" t="s">
        <v>174</v>
      </c>
      <c r="Q184" s="242">
        <v>45877</v>
      </c>
      <c r="R184" t="s">
        <v>1588</v>
      </c>
      <c r="S184" t="s">
        <v>250</v>
      </c>
      <c r="T184" s="3">
        <v>1</v>
      </c>
      <c r="U184" s="233">
        <v>6325</v>
      </c>
      <c r="V184" s="3">
        <f t="shared" ref="V184" si="85">U184*T184</f>
        <v>6325</v>
      </c>
      <c r="W184" s="3">
        <v>0</v>
      </c>
      <c r="X184" s="3">
        <f t="shared" ref="X184" si="86">V184+W184</f>
        <v>6325</v>
      </c>
      <c r="Y184" s="1">
        <f>_xlfn.XLOOKUP(R184,'Details PC'!AA:AA,'Details PC'!AI:AI)-X184</f>
        <v>0</v>
      </c>
      <c r="AA184" t="s">
        <v>174</v>
      </c>
      <c r="AB184" t="str">
        <f t="shared" si="34"/>
        <v>Mar-26</v>
      </c>
      <c r="AC184" s="242">
        <v>46106</v>
      </c>
      <c r="AE184" t="s">
        <v>1433</v>
      </c>
      <c r="AG184" t="s">
        <v>3025</v>
      </c>
      <c r="AI184" t="s">
        <v>3033</v>
      </c>
      <c r="AN184" s="3">
        <v>1</v>
      </c>
      <c r="AO184" s="3">
        <v>14250</v>
      </c>
      <c r="AP184" s="3">
        <f t="shared" ref="AP184:AP198" si="87">AN184*AO184</f>
        <v>14250</v>
      </c>
      <c r="AQ184" s="3">
        <v>0</v>
      </c>
      <c r="AR184" s="3">
        <f t="shared" ref="AR184:AR198" si="88">AP184-AQ184</f>
        <v>14250</v>
      </c>
    </row>
    <row r="185" spans="2:44" x14ac:dyDescent="0.3">
      <c r="B185" t="s">
        <v>2743</v>
      </c>
      <c r="C185" t="s">
        <v>174</v>
      </c>
      <c r="D185" t="str">
        <f t="shared" si="31"/>
        <v>Sep-25</v>
      </c>
      <c r="E185" s="242">
        <v>45906</v>
      </c>
      <c r="F185" t="s">
        <v>1677</v>
      </c>
      <c r="G185" t="s">
        <v>400</v>
      </c>
      <c r="H185" s="233">
        <v>20010</v>
      </c>
      <c r="I185" s="233">
        <v>32.65</v>
      </c>
      <c r="J185" s="233">
        <f t="shared" si="29"/>
        <v>653326.5</v>
      </c>
      <c r="K185" s="3">
        <v>0</v>
      </c>
      <c r="L185" s="3">
        <f t="shared" si="30"/>
        <v>653326.5</v>
      </c>
      <c r="M185" s="3"/>
      <c r="N185" t="s">
        <v>2744</v>
      </c>
      <c r="O185" s="240" t="s">
        <v>226</v>
      </c>
      <c r="P185" t="s">
        <v>174</v>
      </c>
      <c r="Q185" s="242">
        <v>46049</v>
      </c>
      <c r="R185" t="s">
        <v>2740</v>
      </c>
      <c r="S185" t="s">
        <v>2353</v>
      </c>
      <c r="T185" s="3">
        <v>24625</v>
      </c>
      <c r="U185" s="233">
        <v>35</v>
      </c>
      <c r="V185" s="3">
        <f t="shared" ref="V185:V186" si="89">U185*T185</f>
        <v>861875</v>
      </c>
      <c r="W185" s="3">
        <v>-4025</v>
      </c>
      <c r="X185" s="3">
        <f t="shared" ref="X185:X186" si="90">V185+W185</f>
        <v>857850</v>
      </c>
      <c r="Y185" s="1">
        <f>_xlfn.XLOOKUP(R185,'Details PC'!AA:AA,'Details PC'!AI:AI)-X185</f>
        <v>0</v>
      </c>
      <c r="AA185" t="s">
        <v>174</v>
      </c>
      <c r="AB185" t="str">
        <f t="shared" si="34"/>
        <v>Mar-26</v>
      </c>
      <c r="AC185" s="242">
        <v>46106</v>
      </c>
      <c r="AE185" t="s">
        <v>2415</v>
      </c>
      <c r="AG185" t="s">
        <v>3026</v>
      </c>
      <c r="AI185" t="s">
        <v>3034</v>
      </c>
      <c r="AN185" s="3">
        <v>1</v>
      </c>
      <c r="AO185" s="3">
        <v>30000</v>
      </c>
      <c r="AP185" s="3">
        <f t="shared" si="87"/>
        <v>30000</v>
      </c>
      <c r="AQ185" s="3">
        <v>0</v>
      </c>
      <c r="AR185" s="3">
        <f t="shared" si="88"/>
        <v>30000</v>
      </c>
    </row>
    <row r="186" spans="2:44" x14ac:dyDescent="0.3">
      <c r="B186" t="s">
        <v>2743</v>
      </c>
      <c r="C186" t="s">
        <v>174</v>
      </c>
      <c r="D186" t="str">
        <f t="shared" si="31"/>
        <v>Sep-25</v>
      </c>
      <c r="E186" s="242">
        <v>45907</v>
      </c>
      <c r="F186" t="s">
        <v>1680</v>
      </c>
      <c r="G186" t="s">
        <v>400</v>
      </c>
      <c r="H186" s="233">
        <v>24790</v>
      </c>
      <c r="I186" s="233">
        <v>32.65</v>
      </c>
      <c r="J186" s="233">
        <f t="shared" si="29"/>
        <v>809393.5</v>
      </c>
      <c r="K186" s="3">
        <v>0</v>
      </c>
      <c r="L186" s="3">
        <f t="shared" si="30"/>
        <v>809393.5</v>
      </c>
      <c r="M186" s="3"/>
      <c r="N186" t="s">
        <v>2745</v>
      </c>
      <c r="O186" s="240" t="s">
        <v>226</v>
      </c>
      <c r="P186" t="s">
        <v>174</v>
      </c>
      <c r="Q186" s="242">
        <v>46050</v>
      </c>
      <c r="R186" t="s">
        <v>2741</v>
      </c>
      <c r="S186" t="s">
        <v>2353</v>
      </c>
      <c r="T186" s="3">
        <v>30355</v>
      </c>
      <c r="U186" s="233">
        <v>35</v>
      </c>
      <c r="V186" s="3">
        <f t="shared" si="89"/>
        <v>1062425</v>
      </c>
      <c r="W186" s="3">
        <v>-1925</v>
      </c>
      <c r="X186" s="3">
        <f t="shared" si="90"/>
        <v>1060500</v>
      </c>
      <c r="Y186" s="1">
        <f>_xlfn.XLOOKUP(R186,'Details PC'!AA:AA,'Details PC'!AI:AI)-X186</f>
        <v>0</v>
      </c>
      <c r="AA186" t="s">
        <v>174</v>
      </c>
      <c r="AB186" t="str">
        <f t="shared" si="34"/>
        <v>Mar-26</v>
      </c>
      <c r="AC186" s="242">
        <v>46106</v>
      </c>
      <c r="AE186" t="s">
        <v>2415</v>
      </c>
      <c r="AG186" t="s">
        <v>3027</v>
      </c>
      <c r="AI186" t="s">
        <v>3035</v>
      </c>
      <c r="AN186" s="3">
        <v>1</v>
      </c>
      <c r="AO186" s="3">
        <v>30000</v>
      </c>
      <c r="AP186" s="3">
        <f t="shared" si="87"/>
        <v>30000</v>
      </c>
      <c r="AQ186" s="3">
        <v>0</v>
      </c>
      <c r="AR186" s="3">
        <f t="shared" si="88"/>
        <v>30000</v>
      </c>
    </row>
    <row r="187" spans="2:44" x14ac:dyDescent="0.3">
      <c r="B187" t="s">
        <v>2743</v>
      </c>
      <c r="C187" t="s">
        <v>174</v>
      </c>
      <c r="D187" t="str">
        <f t="shared" si="31"/>
        <v>Sep-25</v>
      </c>
      <c r="E187" s="242">
        <v>45908</v>
      </c>
      <c r="F187" t="s">
        <v>1688</v>
      </c>
      <c r="G187" t="s">
        <v>400</v>
      </c>
      <c r="H187" s="233">
        <v>19260</v>
      </c>
      <c r="I187" s="233">
        <v>32.65</v>
      </c>
      <c r="J187" s="233">
        <f t="shared" si="29"/>
        <v>628839</v>
      </c>
      <c r="K187" s="3">
        <v>0</v>
      </c>
      <c r="L187" s="3">
        <f t="shared" si="30"/>
        <v>628839</v>
      </c>
      <c r="M187" s="3"/>
      <c r="N187" t="s">
        <v>2752</v>
      </c>
      <c r="O187" s="240" t="s">
        <v>226</v>
      </c>
      <c r="P187" t="s">
        <v>174</v>
      </c>
      <c r="Q187" s="242">
        <v>46051</v>
      </c>
      <c r="R187" t="s">
        <v>2753</v>
      </c>
      <c r="S187" t="s">
        <v>2353</v>
      </c>
      <c r="T187" s="3">
        <v>23485</v>
      </c>
      <c r="U187" s="233">
        <v>31</v>
      </c>
      <c r="V187" s="3">
        <f t="shared" ref="V187" si="91">U187*T187</f>
        <v>728035</v>
      </c>
      <c r="W187" s="3">
        <v>0</v>
      </c>
      <c r="X187" s="3">
        <f t="shared" ref="X187" si="92">V187+W187</f>
        <v>728035</v>
      </c>
      <c r="Y187" s="1">
        <f>_xlfn.XLOOKUP(R187,'Details PC'!AA:AA,'Details PC'!AI:AI)-X187</f>
        <v>0</v>
      </c>
      <c r="AA187" t="s">
        <v>174</v>
      </c>
      <c r="AB187" t="str">
        <f t="shared" si="34"/>
        <v>Mar-26</v>
      </c>
      <c r="AC187" s="242">
        <v>46107</v>
      </c>
      <c r="AE187" t="s">
        <v>1433</v>
      </c>
      <c r="AG187" t="s">
        <v>3028</v>
      </c>
      <c r="AI187" t="s">
        <v>3036</v>
      </c>
      <c r="AN187" s="3">
        <v>1</v>
      </c>
      <c r="AO187" s="3">
        <v>15618</v>
      </c>
      <c r="AP187" s="3">
        <f t="shared" si="87"/>
        <v>15618</v>
      </c>
      <c r="AQ187" s="3">
        <v>0</v>
      </c>
      <c r="AR187" s="3">
        <f t="shared" si="88"/>
        <v>15618</v>
      </c>
    </row>
    <row r="188" spans="2:44" x14ac:dyDescent="0.3">
      <c r="B188" t="s">
        <v>2743</v>
      </c>
      <c r="C188" t="s">
        <v>174</v>
      </c>
      <c r="D188" t="str">
        <f t="shared" si="31"/>
        <v>Sep-25</v>
      </c>
      <c r="E188" s="242">
        <v>45908</v>
      </c>
      <c r="F188" t="s">
        <v>1689</v>
      </c>
      <c r="G188" t="s">
        <v>1671</v>
      </c>
      <c r="H188" s="233">
        <v>6210</v>
      </c>
      <c r="I188" s="233">
        <v>32.9</v>
      </c>
      <c r="J188" s="233">
        <f t="shared" si="29"/>
        <v>204309</v>
      </c>
      <c r="K188" s="3">
        <v>0</v>
      </c>
      <c r="L188" s="3">
        <f t="shared" si="30"/>
        <v>204309</v>
      </c>
      <c r="M188" s="3"/>
      <c r="N188" t="s">
        <v>2820</v>
      </c>
      <c r="O188" s="240" t="s">
        <v>226</v>
      </c>
      <c r="P188" t="s">
        <v>174</v>
      </c>
      <c r="Q188" s="242">
        <v>46054</v>
      </c>
      <c r="R188" t="s">
        <v>2789</v>
      </c>
      <c r="S188" t="s">
        <v>2353</v>
      </c>
      <c r="T188" s="3">
        <v>24425</v>
      </c>
      <c r="U188" s="233">
        <v>35</v>
      </c>
      <c r="V188" s="3">
        <f t="shared" ref="V188" si="93">U188*T188</f>
        <v>854875</v>
      </c>
      <c r="W188" s="3">
        <v>-4725</v>
      </c>
      <c r="X188" s="3">
        <f t="shared" ref="X188" si="94">V188+W188</f>
        <v>850150</v>
      </c>
      <c r="Y188" s="1">
        <f>_xlfn.XLOOKUP(R188,'Details PC'!AA:AA,'Details PC'!AI:AI)-X188</f>
        <v>0</v>
      </c>
      <c r="AA188" t="s">
        <v>174</v>
      </c>
      <c r="AB188" t="str">
        <f t="shared" si="34"/>
        <v>Mar-26</v>
      </c>
      <c r="AC188" s="242">
        <v>46107</v>
      </c>
      <c r="AE188" t="s">
        <v>1433</v>
      </c>
      <c r="AG188" t="s">
        <v>3028</v>
      </c>
      <c r="AI188" t="s">
        <v>3036</v>
      </c>
      <c r="AN188" s="3">
        <v>1</v>
      </c>
      <c r="AO188" s="3">
        <v>350</v>
      </c>
      <c r="AP188" s="3">
        <f t="shared" si="87"/>
        <v>350</v>
      </c>
      <c r="AQ188" s="3">
        <v>0</v>
      </c>
      <c r="AR188" s="3">
        <f t="shared" si="88"/>
        <v>350</v>
      </c>
    </row>
    <row r="189" spans="2:44" x14ac:dyDescent="0.3">
      <c r="B189" t="s">
        <v>2743</v>
      </c>
      <c r="C189" t="s">
        <v>174</v>
      </c>
      <c r="D189" t="str">
        <f t="shared" si="31"/>
        <v>Sep-25</v>
      </c>
      <c r="E189" s="242">
        <v>45908</v>
      </c>
      <c r="F189" t="s">
        <v>1691</v>
      </c>
      <c r="G189" t="s">
        <v>400</v>
      </c>
      <c r="H189" s="233">
        <v>16880</v>
      </c>
      <c r="I189" s="233">
        <v>32.65</v>
      </c>
      <c r="J189" s="233">
        <f t="shared" si="29"/>
        <v>551132</v>
      </c>
      <c r="K189" s="3">
        <v>0</v>
      </c>
      <c r="L189" s="3">
        <f t="shared" si="30"/>
        <v>551132</v>
      </c>
      <c r="M189" s="3"/>
      <c r="N189" t="s">
        <v>2787</v>
      </c>
      <c r="O189" s="240" t="s">
        <v>226</v>
      </c>
      <c r="P189" t="s">
        <v>174</v>
      </c>
      <c r="Q189" s="242">
        <v>46056</v>
      </c>
      <c r="R189" t="s">
        <v>2788</v>
      </c>
      <c r="S189" t="s">
        <v>1497</v>
      </c>
      <c r="T189" s="3">
        <v>22945</v>
      </c>
      <c r="U189" s="233">
        <v>36</v>
      </c>
      <c r="V189" s="3">
        <f t="shared" ref="V189" si="95">U189*T189</f>
        <v>826020</v>
      </c>
      <c r="W189" s="3">
        <v>-1980</v>
      </c>
      <c r="X189" s="3">
        <f t="shared" ref="X189" si="96">V189+W189</f>
        <v>824040</v>
      </c>
      <c r="Y189" s="1">
        <f>_xlfn.XLOOKUP(R189,'Details PC'!AA:AA,'Details PC'!AI:AI)-X189</f>
        <v>0</v>
      </c>
      <c r="AA189" t="s">
        <v>174</v>
      </c>
      <c r="AB189" t="str">
        <f t="shared" si="34"/>
        <v>Mar-26</v>
      </c>
      <c r="AC189" s="242">
        <v>46107</v>
      </c>
      <c r="AE189" t="s">
        <v>1433</v>
      </c>
      <c r="AG189" t="s">
        <v>3029</v>
      </c>
      <c r="AI189" t="s">
        <v>3037</v>
      </c>
      <c r="AN189" s="3">
        <v>1</v>
      </c>
      <c r="AO189" s="3">
        <v>15407.1</v>
      </c>
      <c r="AP189" s="3">
        <f t="shared" si="87"/>
        <v>15407.1</v>
      </c>
      <c r="AQ189" s="3">
        <v>0</v>
      </c>
      <c r="AR189" s="3">
        <f t="shared" si="88"/>
        <v>15407.1</v>
      </c>
    </row>
    <row r="190" spans="2:44" x14ac:dyDescent="0.3">
      <c r="B190" t="s">
        <v>2743</v>
      </c>
      <c r="C190" t="s">
        <v>174</v>
      </c>
      <c r="D190" t="str">
        <f t="shared" si="31"/>
        <v>Sep-25</v>
      </c>
      <c r="E190" s="242">
        <v>45909</v>
      </c>
      <c r="F190" t="s">
        <v>1690</v>
      </c>
      <c r="G190" t="s">
        <v>1671</v>
      </c>
      <c r="H190" s="233">
        <v>6460</v>
      </c>
      <c r="I190" s="233">
        <v>32.9</v>
      </c>
      <c r="J190" s="233">
        <f t="shared" si="29"/>
        <v>212534</v>
      </c>
      <c r="K190" s="3">
        <v>0</v>
      </c>
      <c r="L190" s="3">
        <f t="shared" si="30"/>
        <v>212534</v>
      </c>
      <c r="M190" s="3"/>
      <c r="N190" t="s">
        <v>2805</v>
      </c>
      <c r="O190" s="240" t="s">
        <v>226</v>
      </c>
      <c r="P190" t="s">
        <v>174</v>
      </c>
      <c r="Q190" s="242">
        <v>46067</v>
      </c>
      <c r="R190" t="s">
        <v>2806</v>
      </c>
      <c r="S190" t="s">
        <v>2353</v>
      </c>
      <c r="T190" s="3">
        <v>23510</v>
      </c>
      <c r="U190" s="233">
        <v>35.5</v>
      </c>
      <c r="V190" s="3">
        <f t="shared" ref="V190" si="97">U190*T190</f>
        <v>834605</v>
      </c>
      <c r="W190" s="3">
        <v>-834605</v>
      </c>
      <c r="X190" s="3">
        <f t="shared" ref="X190" si="98">V190+W190</f>
        <v>0</v>
      </c>
      <c r="Y190" s="1" t="e">
        <f>_xlfn.XLOOKUP(R190,'Details PC'!AA:AA,'Details PC'!AI:AI)-X190</f>
        <v>#N/A</v>
      </c>
      <c r="AA190" t="s">
        <v>174</v>
      </c>
      <c r="AB190" t="str">
        <f t="shared" si="34"/>
        <v>Mar-26</v>
      </c>
      <c r="AC190" s="242">
        <v>46107</v>
      </c>
      <c r="AE190" t="s">
        <v>1433</v>
      </c>
      <c r="AG190" t="s">
        <v>3029</v>
      </c>
      <c r="AI190" t="s">
        <v>3037</v>
      </c>
      <c r="AN190" s="3">
        <v>1</v>
      </c>
      <c r="AO190" s="3">
        <v>350</v>
      </c>
      <c r="AP190" s="3">
        <f t="shared" si="87"/>
        <v>350</v>
      </c>
      <c r="AQ190" s="3">
        <v>0</v>
      </c>
      <c r="AR190" s="3">
        <f t="shared" si="88"/>
        <v>350</v>
      </c>
    </row>
    <row r="191" spans="2:44" x14ac:dyDescent="0.3">
      <c r="B191" t="s">
        <v>2743</v>
      </c>
      <c r="C191" t="s">
        <v>174</v>
      </c>
      <c r="D191" t="str">
        <f t="shared" si="31"/>
        <v>Sep-25</v>
      </c>
      <c r="E191" s="242">
        <v>45909</v>
      </c>
      <c r="F191" t="s">
        <v>1693</v>
      </c>
      <c r="G191" t="s">
        <v>400</v>
      </c>
      <c r="H191" s="233">
        <v>18130</v>
      </c>
      <c r="I191" s="233">
        <v>32.65</v>
      </c>
      <c r="J191" s="233">
        <f t="shared" si="29"/>
        <v>591944.5</v>
      </c>
      <c r="K191" s="3">
        <v>0</v>
      </c>
      <c r="L191" s="3">
        <f t="shared" si="30"/>
        <v>591944.5</v>
      </c>
      <c r="M191" s="3"/>
      <c r="N191" t="s">
        <v>2805</v>
      </c>
      <c r="O191" s="240" t="s">
        <v>226</v>
      </c>
      <c r="P191" t="s">
        <v>174</v>
      </c>
      <c r="Q191" s="242">
        <v>46069</v>
      </c>
      <c r="R191" t="s">
        <v>2842</v>
      </c>
      <c r="S191" t="s">
        <v>2353</v>
      </c>
      <c r="T191" s="3">
        <v>23510</v>
      </c>
      <c r="U191" s="233">
        <v>35.5</v>
      </c>
      <c r="V191" s="3">
        <f t="shared" ref="V191:V203" si="99">U191*T191</f>
        <v>834605</v>
      </c>
      <c r="W191" s="3">
        <v>-1775</v>
      </c>
      <c r="X191" s="3">
        <f t="shared" ref="X191:X203" si="100">V191+W191</f>
        <v>832830</v>
      </c>
      <c r="Y191" s="1">
        <f>_xlfn.XLOOKUP(R191,'Details PC'!AA:AA,'Details PC'!AI:AI)-X191</f>
        <v>0</v>
      </c>
      <c r="AA191" t="s">
        <v>174</v>
      </c>
      <c r="AB191" t="str">
        <f t="shared" si="34"/>
        <v>Mar-26</v>
      </c>
      <c r="AC191" s="242">
        <v>46107</v>
      </c>
      <c r="AE191" t="s">
        <v>1433</v>
      </c>
      <c r="AG191" t="s">
        <v>3030</v>
      </c>
      <c r="AI191" t="s">
        <v>3038</v>
      </c>
      <c r="AN191" s="3">
        <v>1</v>
      </c>
      <c r="AO191" s="3">
        <v>14250</v>
      </c>
      <c r="AP191" s="3">
        <f t="shared" si="87"/>
        <v>14250</v>
      </c>
      <c r="AQ191" s="3">
        <v>0</v>
      </c>
      <c r="AR191" s="3">
        <f t="shared" si="88"/>
        <v>14250</v>
      </c>
    </row>
    <row r="192" spans="2:44" x14ac:dyDescent="0.3">
      <c r="B192" t="s">
        <v>2743</v>
      </c>
      <c r="C192" t="s">
        <v>174</v>
      </c>
      <c r="D192" t="str">
        <f t="shared" si="31"/>
        <v>Sep-25</v>
      </c>
      <c r="E192" s="242">
        <v>45910</v>
      </c>
      <c r="F192" t="s">
        <v>1692</v>
      </c>
      <c r="G192" t="s">
        <v>1671</v>
      </c>
      <c r="H192" s="233">
        <v>3980</v>
      </c>
      <c r="I192" s="233">
        <v>32.9</v>
      </c>
      <c r="J192" s="233">
        <f t="shared" si="29"/>
        <v>130942</v>
      </c>
      <c r="K192" s="3">
        <v>0</v>
      </c>
      <c r="L192" s="3">
        <f t="shared" si="30"/>
        <v>130942</v>
      </c>
      <c r="M192" s="3"/>
      <c r="N192" t="s">
        <v>2821</v>
      </c>
      <c r="O192" s="240" t="s">
        <v>226</v>
      </c>
      <c r="P192" t="s">
        <v>174</v>
      </c>
      <c r="Q192" s="242">
        <v>46070</v>
      </c>
      <c r="R192" t="s">
        <v>2814</v>
      </c>
      <c r="S192" t="s">
        <v>2353</v>
      </c>
      <c r="T192" s="3">
        <v>24680</v>
      </c>
      <c r="U192" s="233">
        <v>35.5</v>
      </c>
      <c r="V192" s="3">
        <f t="shared" si="99"/>
        <v>876140</v>
      </c>
      <c r="W192" s="3">
        <v>-710</v>
      </c>
      <c r="X192" s="3">
        <f t="shared" si="100"/>
        <v>875430</v>
      </c>
      <c r="Y192" s="1">
        <f>_xlfn.XLOOKUP(R192,'Details PC'!AA:AA,'Details PC'!AI:AI)-X192</f>
        <v>0</v>
      </c>
      <c r="AA192" t="s">
        <v>174</v>
      </c>
      <c r="AB192" t="str">
        <f t="shared" si="34"/>
        <v>Mar-26</v>
      </c>
      <c r="AC192" s="242">
        <v>46107</v>
      </c>
      <c r="AE192" t="s">
        <v>1433</v>
      </c>
      <c r="AG192" t="s">
        <v>3030</v>
      </c>
      <c r="AI192" t="s">
        <v>3038</v>
      </c>
      <c r="AN192" s="3">
        <v>1</v>
      </c>
      <c r="AO192" s="3">
        <v>350</v>
      </c>
      <c r="AP192" s="3">
        <f t="shared" si="87"/>
        <v>350</v>
      </c>
      <c r="AQ192" s="3">
        <v>0</v>
      </c>
      <c r="AR192" s="3">
        <f t="shared" si="88"/>
        <v>350</v>
      </c>
    </row>
    <row r="193" spans="2:44" x14ac:dyDescent="0.3">
      <c r="B193" t="s">
        <v>2743</v>
      </c>
      <c r="C193" t="s">
        <v>174</v>
      </c>
      <c r="D193" t="str">
        <f t="shared" si="31"/>
        <v>Sep-25</v>
      </c>
      <c r="E193" s="242">
        <v>45910</v>
      </c>
      <c r="F193" t="s">
        <v>1694</v>
      </c>
      <c r="G193" t="s">
        <v>400</v>
      </c>
      <c r="H193" s="233">
        <v>11560</v>
      </c>
      <c r="I193" s="233">
        <v>32.65</v>
      </c>
      <c r="J193" s="233">
        <f t="shared" si="29"/>
        <v>377434</v>
      </c>
      <c r="K193" s="3">
        <v>0</v>
      </c>
      <c r="L193" s="3">
        <f t="shared" si="30"/>
        <v>377434</v>
      </c>
      <c r="M193" s="3"/>
      <c r="N193" t="s">
        <v>2822</v>
      </c>
      <c r="O193" s="240" t="s">
        <v>226</v>
      </c>
      <c r="P193" t="s">
        <v>174</v>
      </c>
      <c r="Q193" s="242">
        <v>46072</v>
      </c>
      <c r="R193" t="s">
        <v>2815</v>
      </c>
      <c r="S193" t="s">
        <v>1465</v>
      </c>
      <c r="T193" s="3">
        <v>19910</v>
      </c>
      <c r="U193" s="233">
        <v>34.1</v>
      </c>
      <c r="V193" s="3">
        <f t="shared" si="99"/>
        <v>678931</v>
      </c>
      <c r="W193" s="3">
        <v>-4092</v>
      </c>
      <c r="X193" s="3">
        <f t="shared" si="100"/>
        <v>674839</v>
      </c>
      <c r="Y193" s="1">
        <f>_xlfn.XLOOKUP(R193,'Details PC'!AA:AA,'Details PC'!AI:AI)-X193</f>
        <v>0</v>
      </c>
      <c r="AA193" t="s">
        <v>174</v>
      </c>
      <c r="AB193" t="str">
        <f t="shared" si="34"/>
        <v>Mar-26</v>
      </c>
      <c r="AC193" s="242">
        <v>46107</v>
      </c>
      <c r="AE193" t="s">
        <v>1433</v>
      </c>
      <c r="AG193" t="s">
        <v>3031</v>
      </c>
      <c r="AI193" t="s">
        <v>3039</v>
      </c>
      <c r="AN193" s="3">
        <v>1</v>
      </c>
      <c r="AO193" s="3">
        <v>14284.2</v>
      </c>
      <c r="AP193" s="3">
        <f t="shared" si="87"/>
        <v>14284.2</v>
      </c>
      <c r="AQ193" s="3">
        <v>0</v>
      </c>
      <c r="AR193" s="3">
        <f t="shared" si="88"/>
        <v>14284.2</v>
      </c>
    </row>
    <row r="194" spans="2:44" x14ac:dyDescent="0.3">
      <c r="B194" t="s">
        <v>2743</v>
      </c>
      <c r="C194" t="s">
        <v>174</v>
      </c>
      <c r="D194" t="str">
        <f t="shared" si="31"/>
        <v>Sep-25</v>
      </c>
      <c r="E194" s="242">
        <v>45910</v>
      </c>
      <c r="F194" t="s">
        <v>1695</v>
      </c>
      <c r="G194" t="s">
        <v>400</v>
      </c>
      <c r="H194" s="233">
        <v>20730</v>
      </c>
      <c r="I194" s="233">
        <v>32.65</v>
      </c>
      <c r="J194" s="233">
        <f t="shared" si="29"/>
        <v>676834.5</v>
      </c>
      <c r="K194" s="3">
        <v>0</v>
      </c>
      <c r="L194" s="3">
        <f t="shared" si="30"/>
        <v>676834.5</v>
      </c>
      <c r="M194" s="3"/>
      <c r="N194" t="s">
        <v>2823</v>
      </c>
      <c r="O194" s="240" t="s">
        <v>226</v>
      </c>
      <c r="P194" t="s">
        <v>174</v>
      </c>
      <c r="Q194" s="242">
        <v>46072</v>
      </c>
      <c r="R194" t="s">
        <v>2816</v>
      </c>
      <c r="S194" t="s">
        <v>1465</v>
      </c>
      <c r="T194" s="3">
        <v>25185</v>
      </c>
      <c r="U194" s="233">
        <v>34.1</v>
      </c>
      <c r="V194" s="3">
        <f t="shared" si="99"/>
        <v>858808.5</v>
      </c>
      <c r="W194" s="3">
        <v>0</v>
      </c>
      <c r="X194" s="3">
        <f t="shared" si="100"/>
        <v>858808.5</v>
      </c>
      <c r="Y194" s="1">
        <f>_xlfn.XLOOKUP(R194,'Details PC'!AA:AA,'Details PC'!AI:AI)-X194</f>
        <v>0</v>
      </c>
      <c r="AA194" t="s">
        <v>174</v>
      </c>
      <c r="AB194" t="str">
        <f t="shared" si="34"/>
        <v>Mar-26</v>
      </c>
      <c r="AC194" s="242">
        <v>46107</v>
      </c>
      <c r="AE194" t="s">
        <v>1433</v>
      </c>
      <c r="AG194" t="s">
        <v>3031</v>
      </c>
      <c r="AI194" t="s">
        <v>3039</v>
      </c>
      <c r="AN194" s="3">
        <v>1</v>
      </c>
      <c r="AO194" s="3">
        <v>350</v>
      </c>
      <c r="AP194" s="3">
        <f t="shared" si="87"/>
        <v>350</v>
      </c>
      <c r="AQ194" s="3">
        <v>0</v>
      </c>
      <c r="AR194" s="3">
        <f t="shared" si="88"/>
        <v>350</v>
      </c>
    </row>
    <row r="195" spans="2:44" x14ac:dyDescent="0.3">
      <c r="B195" t="s">
        <v>2743</v>
      </c>
      <c r="C195" t="s">
        <v>174</v>
      </c>
      <c r="D195" t="str">
        <f t="shared" si="31"/>
        <v>Sep-25</v>
      </c>
      <c r="E195" s="242">
        <v>45910</v>
      </c>
      <c r="F195" t="s">
        <v>1696</v>
      </c>
      <c r="G195" t="s">
        <v>250</v>
      </c>
      <c r="H195" s="233">
        <v>5060</v>
      </c>
      <c r="I195" s="233">
        <v>35.5</v>
      </c>
      <c r="J195" s="233">
        <f t="shared" ref="J195:J258" si="101">H195*I195</f>
        <v>179630</v>
      </c>
      <c r="K195" s="3">
        <v>0</v>
      </c>
      <c r="L195" s="3">
        <f t="shared" si="30"/>
        <v>179630</v>
      </c>
      <c r="M195" s="3"/>
      <c r="N195" t="s">
        <v>2824</v>
      </c>
      <c r="O195" s="240" t="s">
        <v>226</v>
      </c>
      <c r="P195" t="s">
        <v>174</v>
      </c>
      <c r="Q195" s="242">
        <v>46073</v>
      </c>
      <c r="R195" t="s">
        <v>2817</v>
      </c>
      <c r="S195" t="s">
        <v>1465</v>
      </c>
      <c r="T195" s="3">
        <v>26595</v>
      </c>
      <c r="U195" s="233">
        <v>34.1</v>
      </c>
      <c r="V195" s="3">
        <f t="shared" si="99"/>
        <v>906889.5</v>
      </c>
      <c r="W195" s="3">
        <v>-3921.5</v>
      </c>
      <c r="X195" s="3">
        <f t="shared" si="100"/>
        <v>902968</v>
      </c>
      <c r="Y195" s="1">
        <f>_xlfn.XLOOKUP(R195,'Details PC'!AA:AA,'Details PC'!AI:AI)-X195</f>
        <v>0</v>
      </c>
      <c r="AA195" t="s">
        <v>174</v>
      </c>
      <c r="AB195" t="str">
        <f t="shared" si="34"/>
        <v>Mar-26</v>
      </c>
      <c r="AC195" s="242">
        <v>46107</v>
      </c>
      <c r="AE195" t="s">
        <v>2791</v>
      </c>
      <c r="AG195" t="s">
        <v>3007</v>
      </c>
      <c r="AI195" t="s">
        <v>3040</v>
      </c>
      <c r="AN195" s="3">
        <v>1</v>
      </c>
      <c r="AO195" s="3">
        <v>36660</v>
      </c>
      <c r="AP195" s="3">
        <f t="shared" si="87"/>
        <v>36660</v>
      </c>
      <c r="AQ195" s="3">
        <v>0</v>
      </c>
      <c r="AR195" s="3">
        <f t="shared" si="88"/>
        <v>36660</v>
      </c>
    </row>
    <row r="196" spans="2:44" x14ac:dyDescent="0.3">
      <c r="B196" t="s">
        <v>2743</v>
      </c>
      <c r="C196" t="s">
        <v>174</v>
      </c>
      <c r="D196" t="str">
        <f t="shared" si="31"/>
        <v>Sep-25</v>
      </c>
      <c r="E196" s="242">
        <v>45911</v>
      </c>
      <c r="F196" t="s">
        <v>1697</v>
      </c>
      <c r="G196" t="s">
        <v>1671</v>
      </c>
      <c r="H196" s="233">
        <v>6470</v>
      </c>
      <c r="I196" s="233">
        <v>32.9</v>
      </c>
      <c r="J196" s="233">
        <f t="shared" si="101"/>
        <v>212863</v>
      </c>
      <c r="K196" s="3">
        <v>0</v>
      </c>
      <c r="L196" s="3">
        <f t="shared" ref="L196:L259" si="102">J196+K196</f>
        <v>212863</v>
      </c>
      <c r="M196" s="3"/>
      <c r="N196" t="s">
        <v>2825</v>
      </c>
      <c r="O196" s="240" t="s">
        <v>226</v>
      </c>
      <c r="P196" t="s">
        <v>174</v>
      </c>
      <c r="Q196" s="242">
        <v>46074</v>
      </c>
      <c r="R196" t="s">
        <v>2818</v>
      </c>
      <c r="S196" t="s">
        <v>1465</v>
      </c>
      <c r="T196" s="3">
        <v>28240</v>
      </c>
      <c r="U196" s="233">
        <v>34.1</v>
      </c>
      <c r="V196" s="3">
        <f t="shared" si="99"/>
        <v>962984</v>
      </c>
      <c r="W196" s="3">
        <v>-5797</v>
      </c>
      <c r="X196" s="3">
        <f t="shared" si="100"/>
        <v>957187</v>
      </c>
      <c r="Y196" s="1">
        <f>_xlfn.XLOOKUP(R196,'Details PC'!AA:AA,'Details PC'!AI:AI)-X196</f>
        <v>0</v>
      </c>
      <c r="AA196" t="s">
        <v>174</v>
      </c>
      <c r="AB196" t="str">
        <f t="shared" si="34"/>
        <v>Mar-26</v>
      </c>
      <c r="AC196" s="242">
        <v>46107</v>
      </c>
      <c r="AE196" t="s">
        <v>2791</v>
      </c>
      <c r="AG196" t="s">
        <v>3007</v>
      </c>
      <c r="AI196" t="s">
        <v>3040</v>
      </c>
      <c r="AN196" s="3">
        <v>1</v>
      </c>
      <c r="AO196" s="3">
        <v>3000</v>
      </c>
      <c r="AP196" s="3">
        <f t="shared" si="87"/>
        <v>3000</v>
      </c>
      <c r="AQ196" s="3">
        <v>0</v>
      </c>
      <c r="AR196" s="3">
        <f t="shared" si="88"/>
        <v>3000</v>
      </c>
    </row>
    <row r="197" spans="2:44" x14ac:dyDescent="0.3">
      <c r="B197" t="s">
        <v>2743</v>
      </c>
      <c r="C197" t="s">
        <v>174</v>
      </c>
      <c r="D197" t="str">
        <f t="shared" ref="D197:D260" si="103">TEXT(E197,"mmm-yy")</f>
        <v>Sep-25</v>
      </c>
      <c r="E197" s="242">
        <v>45912</v>
      </c>
      <c r="F197" t="s">
        <v>1718</v>
      </c>
      <c r="G197" t="s">
        <v>1671</v>
      </c>
      <c r="H197" s="233">
        <v>5970</v>
      </c>
      <c r="I197" s="233">
        <v>32.9</v>
      </c>
      <c r="J197" s="233">
        <f t="shared" si="101"/>
        <v>196413</v>
      </c>
      <c r="K197" s="3">
        <v>0</v>
      </c>
      <c r="L197" s="3">
        <f t="shared" si="102"/>
        <v>196413</v>
      </c>
      <c r="M197" s="3"/>
      <c r="N197" t="s">
        <v>2826</v>
      </c>
      <c r="O197" s="240" t="s">
        <v>226</v>
      </c>
      <c r="P197" t="s">
        <v>174</v>
      </c>
      <c r="Q197" s="242">
        <v>46075</v>
      </c>
      <c r="R197" t="s">
        <v>2819</v>
      </c>
      <c r="S197" t="s">
        <v>1465</v>
      </c>
      <c r="T197" s="3">
        <v>27950</v>
      </c>
      <c r="U197" s="233">
        <v>34.1</v>
      </c>
      <c r="V197" s="3">
        <f t="shared" si="99"/>
        <v>953095</v>
      </c>
      <c r="W197" s="3">
        <v>-1023</v>
      </c>
      <c r="X197" s="3">
        <f t="shared" si="100"/>
        <v>952072</v>
      </c>
      <c r="Y197" s="1">
        <f>_xlfn.XLOOKUP(R197,'Details PC'!AA:AA,'Details PC'!AI:AI)-X197</f>
        <v>0</v>
      </c>
      <c r="AA197" t="s">
        <v>174</v>
      </c>
      <c r="AB197" t="str">
        <f t="shared" ref="AB197:AB199" si="104">TEXT(AC197,"mmm-yy")</f>
        <v>Mar-26</v>
      </c>
      <c r="AC197" s="242">
        <v>46108</v>
      </c>
      <c r="AE197" t="s">
        <v>2791</v>
      </c>
      <c r="AG197" t="s">
        <v>3032</v>
      </c>
      <c r="AI197" t="s">
        <v>3041</v>
      </c>
      <c r="AN197" s="3">
        <v>1</v>
      </c>
      <c r="AO197" s="3">
        <v>32500</v>
      </c>
      <c r="AP197" s="3">
        <f t="shared" si="87"/>
        <v>32500</v>
      </c>
      <c r="AQ197" s="3">
        <v>0</v>
      </c>
      <c r="AR197" s="3">
        <f t="shared" si="88"/>
        <v>32500</v>
      </c>
    </row>
    <row r="198" spans="2:44" x14ac:dyDescent="0.3">
      <c r="B198" t="s">
        <v>2743</v>
      </c>
      <c r="C198" t="s">
        <v>174</v>
      </c>
      <c r="D198" t="str">
        <f t="shared" si="103"/>
        <v>Sep-25</v>
      </c>
      <c r="E198" s="242">
        <v>45912</v>
      </c>
      <c r="F198" t="s">
        <v>1719</v>
      </c>
      <c r="G198" t="s">
        <v>400</v>
      </c>
      <c r="H198" s="233">
        <v>20620</v>
      </c>
      <c r="I198" s="233">
        <v>32.65</v>
      </c>
      <c r="J198" s="233">
        <f t="shared" si="101"/>
        <v>673243</v>
      </c>
      <c r="K198" s="3">
        <v>0</v>
      </c>
      <c r="L198" s="3">
        <f t="shared" si="102"/>
        <v>673243</v>
      </c>
      <c r="M198" s="3"/>
      <c r="N198" t="s">
        <v>2836</v>
      </c>
      <c r="O198" s="240" t="s">
        <v>226</v>
      </c>
      <c r="P198" t="s">
        <v>174</v>
      </c>
      <c r="Q198" s="242">
        <v>46076</v>
      </c>
      <c r="R198" t="s">
        <v>2843</v>
      </c>
      <c r="S198" t="s">
        <v>1465</v>
      </c>
      <c r="T198" s="3">
        <v>27105</v>
      </c>
      <c r="U198" s="233">
        <v>34.1</v>
      </c>
      <c r="V198" s="3">
        <f t="shared" si="99"/>
        <v>924280.5</v>
      </c>
      <c r="W198" s="3">
        <v>0</v>
      </c>
      <c r="X198" s="3">
        <f t="shared" si="100"/>
        <v>924280.5</v>
      </c>
      <c r="Y198" s="1">
        <f>_xlfn.XLOOKUP(R198,'Details PC'!AA:AA,'Details PC'!AI:AI)-X198</f>
        <v>0</v>
      </c>
      <c r="AA198" t="s">
        <v>174</v>
      </c>
      <c r="AB198" t="str">
        <f t="shared" si="104"/>
        <v>Mar-26</v>
      </c>
      <c r="AC198" s="242">
        <v>46108</v>
      </c>
      <c r="AE198" t="s">
        <v>2791</v>
      </c>
      <c r="AG198" t="s">
        <v>3032</v>
      </c>
      <c r="AI198" t="s">
        <v>3041</v>
      </c>
      <c r="AN198" s="3">
        <v>1</v>
      </c>
      <c r="AO198" s="3">
        <v>2800</v>
      </c>
      <c r="AP198" s="3">
        <f t="shared" si="87"/>
        <v>2800</v>
      </c>
      <c r="AQ198" s="3">
        <v>0</v>
      </c>
      <c r="AR198" s="3">
        <f t="shared" si="88"/>
        <v>2800</v>
      </c>
    </row>
    <row r="199" spans="2:44" x14ac:dyDescent="0.3">
      <c r="B199" t="s">
        <v>2743</v>
      </c>
      <c r="C199" t="s">
        <v>174</v>
      </c>
      <c r="D199" t="str">
        <f t="shared" si="103"/>
        <v>Sep-25</v>
      </c>
      <c r="E199" s="242">
        <v>45913</v>
      </c>
      <c r="F199" t="s">
        <v>1720</v>
      </c>
      <c r="G199" t="s">
        <v>1671</v>
      </c>
      <c r="H199" s="233">
        <v>5930</v>
      </c>
      <c r="I199" s="233">
        <v>32.9</v>
      </c>
      <c r="J199" s="233">
        <f t="shared" si="101"/>
        <v>195097</v>
      </c>
      <c r="K199" s="3">
        <v>0</v>
      </c>
      <c r="L199" s="3">
        <f t="shared" si="102"/>
        <v>195097</v>
      </c>
      <c r="M199" s="3"/>
      <c r="N199" t="s">
        <v>2837</v>
      </c>
      <c r="O199" s="240" t="s">
        <v>226</v>
      </c>
      <c r="P199" t="s">
        <v>174</v>
      </c>
      <c r="Q199" s="242">
        <v>46077</v>
      </c>
      <c r="R199" t="s">
        <v>2844</v>
      </c>
      <c r="S199" t="s">
        <v>1465</v>
      </c>
      <c r="T199" s="3">
        <v>26150</v>
      </c>
      <c r="U199" s="233">
        <v>34.1</v>
      </c>
      <c r="V199" s="3">
        <f t="shared" si="99"/>
        <v>891715</v>
      </c>
      <c r="W199" s="3">
        <v>-8866</v>
      </c>
      <c r="X199" s="3">
        <f t="shared" si="100"/>
        <v>882849</v>
      </c>
      <c r="Y199" s="1">
        <f>_xlfn.XLOOKUP(R199,'Details PC'!AA:AA,'Details PC'!AI:AI)-X199</f>
        <v>0</v>
      </c>
      <c r="AA199" t="s">
        <v>174</v>
      </c>
      <c r="AB199" t="str">
        <f t="shared" si="104"/>
        <v>Mar-26</v>
      </c>
      <c r="AC199" s="242">
        <v>46112</v>
      </c>
      <c r="AD199" t="s">
        <v>329</v>
      </c>
      <c r="AE199" t="s">
        <v>240</v>
      </c>
      <c r="AG199" t="s">
        <v>3045</v>
      </c>
      <c r="AI199" t="s">
        <v>3046</v>
      </c>
      <c r="AN199" s="3">
        <v>1</v>
      </c>
      <c r="AO199" s="3">
        <v>10600</v>
      </c>
      <c r="AP199" s="3">
        <f t="shared" ref="AP199" si="105">AN199*AO199</f>
        <v>10600</v>
      </c>
      <c r="AQ199" s="3">
        <v>0</v>
      </c>
      <c r="AR199" s="3">
        <f t="shared" ref="AR199" si="106">AP199-AQ199</f>
        <v>10600</v>
      </c>
    </row>
    <row r="200" spans="2:44" x14ac:dyDescent="0.3">
      <c r="B200" t="s">
        <v>2743</v>
      </c>
      <c r="C200" t="s">
        <v>174</v>
      </c>
      <c r="D200" t="str">
        <f t="shared" si="103"/>
        <v>Sep-25</v>
      </c>
      <c r="E200" s="242">
        <v>45913</v>
      </c>
      <c r="F200" t="s">
        <v>1721</v>
      </c>
      <c r="G200" t="s">
        <v>400</v>
      </c>
      <c r="H200" s="233">
        <v>22410</v>
      </c>
      <c r="I200" s="233">
        <v>32.65</v>
      </c>
      <c r="J200" s="233">
        <f t="shared" si="101"/>
        <v>731686.5</v>
      </c>
      <c r="K200" s="3">
        <v>0</v>
      </c>
      <c r="L200" s="3">
        <f t="shared" si="102"/>
        <v>731686.5</v>
      </c>
      <c r="M200" s="3"/>
      <c r="N200" t="s">
        <v>2838</v>
      </c>
      <c r="O200" s="240" t="s">
        <v>226</v>
      </c>
      <c r="P200" t="s">
        <v>174</v>
      </c>
      <c r="Q200" s="242">
        <v>46077</v>
      </c>
      <c r="R200" t="s">
        <v>2845</v>
      </c>
      <c r="S200" t="s">
        <v>1465</v>
      </c>
      <c r="T200" s="3">
        <v>25060</v>
      </c>
      <c r="U200" s="233">
        <v>34.1</v>
      </c>
      <c r="V200" s="3">
        <f t="shared" si="99"/>
        <v>854546</v>
      </c>
      <c r="W200" s="3">
        <v>-6479</v>
      </c>
      <c r="X200" s="3">
        <f t="shared" si="100"/>
        <v>848067</v>
      </c>
      <c r="Y200" s="1">
        <f>_xlfn.XLOOKUP(R200,'Details PC'!AA:AA,'Details PC'!AI:AI)-X200</f>
        <v>0</v>
      </c>
      <c r="AA200" t="s">
        <v>3085</v>
      </c>
      <c r="AB200" t="str">
        <f t="shared" ref="AB200:AB204" si="107">TEXT(AC200,"mmm-yy")</f>
        <v>Apr-26</v>
      </c>
      <c r="AC200" s="242">
        <v>46121</v>
      </c>
      <c r="AD200" t="s">
        <v>3022</v>
      </c>
      <c r="AE200" t="s">
        <v>2415</v>
      </c>
      <c r="AF200" t="s">
        <v>329</v>
      </c>
      <c r="AG200" t="s">
        <v>3294</v>
      </c>
      <c r="AH200" s="242">
        <v>46118</v>
      </c>
      <c r="AI200" t="s">
        <v>3295</v>
      </c>
      <c r="AJ200" s="242">
        <v>46121</v>
      </c>
      <c r="AK200" t="s">
        <v>255</v>
      </c>
      <c r="AL200" t="s">
        <v>3296</v>
      </c>
      <c r="AM200" t="s">
        <v>3297</v>
      </c>
      <c r="AN200" s="3">
        <v>1</v>
      </c>
      <c r="AO200" s="3">
        <v>30000</v>
      </c>
      <c r="AP200" s="3">
        <f t="shared" ref="AP200:AP205" si="108">AN200*AO200</f>
        <v>30000</v>
      </c>
      <c r="AQ200" s="3">
        <v>0</v>
      </c>
      <c r="AR200" s="3">
        <f t="shared" ref="AR200:AR204" si="109">AP200-AQ200</f>
        <v>30000</v>
      </c>
    </row>
    <row r="201" spans="2:44" x14ac:dyDescent="0.3">
      <c r="B201" t="s">
        <v>2743</v>
      </c>
      <c r="C201" t="s">
        <v>174</v>
      </c>
      <c r="D201" t="str">
        <f t="shared" si="103"/>
        <v>Sep-25</v>
      </c>
      <c r="E201" s="242">
        <v>45915</v>
      </c>
      <c r="F201" t="s">
        <v>1809</v>
      </c>
      <c r="G201" t="s">
        <v>1671</v>
      </c>
      <c r="H201" s="233">
        <v>7310</v>
      </c>
      <c r="I201" s="233">
        <v>32.9</v>
      </c>
      <c r="J201" s="233">
        <f t="shared" si="101"/>
        <v>240499</v>
      </c>
      <c r="K201" s="3">
        <v>0</v>
      </c>
      <c r="L201" s="3">
        <f t="shared" si="102"/>
        <v>240499</v>
      </c>
      <c r="M201" s="3"/>
      <c r="N201" t="s">
        <v>2839</v>
      </c>
      <c r="O201" s="240" t="s">
        <v>226</v>
      </c>
      <c r="P201" t="s">
        <v>174</v>
      </c>
      <c r="Q201" s="242">
        <v>46079</v>
      </c>
      <c r="R201" t="s">
        <v>2846</v>
      </c>
      <c r="S201" t="s">
        <v>1465</v>
      </c>
      <c r="T201" s="3">
        <v>27400</v>
      </c>
      <c r="U201" s="233">
        <v>34.1</v>
      </c>
      <c r="V201" s="3">
        <f t="shared" si="99"/>
        <v>934340</v>
      </c>
      <c r="W201" s="3">
        <v>-2387</v>
      </c>
      <c r="X201" s="3">
        <f t="shared" si="100"/>
        <v>931953</v>
      </c>
      <c r="Y201" s="1">
        <f>_xlfn.XLOOKUP(R201,'Details PC'!AA:AA,'Details PC'!AI:AI)-X201</f>
        <v>0</v>
      </c>
      <c r="AA201" t="s">
        <v>3085</v>
      </c>
      <c r="AB201" t="str">
        <f t="shared" si="107"/>
        <v>Apr-26</v>
      </c>
      <c r="AC201" s="242">
        <v>46121</v>
      </c>
      <c r="AD201" t="s">
        <v>329</v>
      </c>
      <c r="AE201" t="s">
        <v>2792</v>
      </c>
      <c r="AF201" t="s">
        <v>329</v>
      </c>
      <c r="AG201" t="s">
        <v>3298</v>
      </c>
      <c r="AH201" s="242">
        <v>46112</v>
      </c>
      <c r="AI201" t="s">
        <v>3299</v>
      </c>
      <c r="AJ201" s="242">
        <v>46121</v>
      </c>
      <c r="AK201" t="s">
        <v>3300</v>
      </c>
      <c r="AL201" t="s">
        <v>329</v>
      </c>
      <c r="AM201" t="s">
        <v>3301</v>
      </c>
      <c r="AN201" s="3">
        <v>1</v>
      </c>
      <c r="AO201" s="3">
        <v>87150</v>
      </c>
      <c r="AP201" s="3">
        <f t="shared" si="108"/>
        <v>87150</v>
      </c>
      <c r="AQ201" s="3">
        <v>0</v>
      </c>
      <c r="AR201" s="3">
        <f t="shared" si="109"/>
        <v>87150</v>
      </c>
    </row>
    <row r="202" spans="2:44" x14ac:dyDescent="0.3">
      <c r="B202" t="s">
        <v>2743</v>
      </c>
      <c r="C202" t="s">
        <v>174</v>
      </c>
      <c r="D202" t="str">
        <f t="shared" si="103"/>
        <v>Sep-25</v>
      </c>
      <c r="E202" s="242">
        <v>45916</v>
      </c>
      <c r="F202" t="s">
        <v>1810</v>
      </c>
      <c r="G202" t="s">
        <v>1671</v>
      </c>
      <c r="H202" s="233">
        <v>5850</v>
      </c>
      <c r="I202" s="233">
        <v>32.9</v>
      </c>
      <c r="J202" s="233">
        <f t="shared" si="101"/>
        <v>192465</v>
      </c>
      <c r="K202" s="3">
        <v>0</v>
      </c>
      <c r="L202" s="3">
        <f t="shared" si="102"/>
        <v>192465</v>
      </c>
      <c r="M202" s="3"/>
      <c r="N202" t="s">
        <v>2840</v>
      </c>
      <c r="O202" s="240" t="s">
        <v>226</v>
      </c>
      <c r="P202" t="s">
        <v>174</v>
      </c>
      <c r="Q202" s="242">
        <v>46079</v>
      </c>
      <c r="R202" t="s">
        <v>2847</v>
      </c>
      <c r="S202" t="s">
        <v>1465</v>
      </c>
      <c r="T202" s="3">
        <v>27030</v>
      </c>
      <c r="U202" s="233">
        <v>34.1</v>
      </c>
      <c r="V202" s="3">
        <f t="shared" si="99"/>
        <v>921723</v>
      </c>
      <c r="W202" s="3">
        <v>0</v>
      </c>
      <c r="X202" s="3">
        <f t="shared" si="100"/>
        <v>921723</v>
      </c>
      <c r="Y202" s="1">
        <f>_xlfn.XLOOKUP(R202,'Details PC'!AA:AA,'Details PC'!AI:AI)-X202</f>
        <v>0</v>
      </c>
      <c r="AA202" t="s">
        <v>3085</v>
      </c>
      <c r="AB202" t="str">
        <f t="shared" si="107"/>
        <v>Apr-26</v>
      </c>
      <c r="AC202" s="242">
        <v>46122</v>
      </c>
      <c r="AD202" t="s">
        <v>2865</v>
      </c>
      <c r="AE202" t="s">
        <v>1433</v>
      </c>
      <c r="AF202" t="s">
        <v>329</v>
      </c>
      <c r="AG202" t="s">
        <v>3302</v>
      </c>
      <c r="AH202" s="242">
        <v>46091</v>
      </c>
      <c r="AI202" t="s">
        <v>3303</v>
      </c>
      <c r="AJ202" s="242">
        <v>46122</v>
      </c>
      <c r="AK202" t="s">
        <v>255</v>
      </c>
      <c r="AL202" t="s">
        <v>2244</v>
      </c>
      <c r="AM202" t="s">
        <v>3297</v>
      </c>
      <c r="AN202" s="3">
        <v>1</v>
      </c>
      <c r="AO202" s="3">
        <v>8550</v>
      </c>
      <c r="AP202" s="3">
        <f t="shared" si="108"/>
        <v>8550</v>
      </c>
      <c r="AQ202" s="3">
        <v>0</v>
      </c>
      <c r="AR202" s="3">
        <f t="shared" si="109"/>
        <v>8550</v>
      </c>
    </row>
    <row r="203" spans="2:44" x14ac:dyDescent="0.3">
      <c r="B203" t="s">
        <v>2743</v>
      </c>
      <c r="C203" t="s">
        <v>174</v>
      </c>
      <c r="D203" t="str">
        <f t="shared" si="103"/>
        <v>Sep-25</v>
      </c>
      <c r="E203" s="242">
        <v>45916</v>
      </c>
      <c r="F203" t="s">
        <v>1812</v>
      </c>
      <c r="G203" t="s">
        <v>400</v>
      </c>
      <c r="H203" s="233">
        <v>14120</v>
      </c>
      <c r="I203" s="233">
        <v>32.65</v>
      </c>
      <c r="J203" s="233">
        <f t="shared" si="101"/>
        <v>461018</v>
      </c>
      <c r="K203" s="3">
        <v>0</v>
      </c>
      <c r="L203" s="3">
        <f t="shared" si="102"/>
        <v>461018</v>
      </c>
      <c r="M203" s="3"/>
      <c r="N203" t="s">
        <v>2841</v>
      </c>
      <c r="O203" s="240" t="s">
        <v>226</v>
      </c>
      <c r="P203" t="s">
        <v>174</v>
      </c>
      <c r="Q203" s="242">
        <v>46080</v>
      </c>
      <c r="R203" t="s">
        <v>2848</v>
      </c>
      <c r="S203" t="s">
        <v>1465</v>
      </c>
      <c r="T203" s="3">
        <v>18195</v>
      </c>
      <c r="U203" s="233">
        <v>34.1</v>
      </c>
      <c r="V203" s="3">
        <f t="shared" si="99"/>
        <v>620449.5</v>
      </c>
      <c r="W203" s="3">
        <v>0</v>
      </c>
      <c r="X203" s="3">
        <f t="shared" si="100"/>
        <v>620449.5</v>
      </c>
      <c r="Y203" s="1">
        <f>_xlfn.XLOOKUP(R203,'Details PC'!AA:AA,'Details PC'!AI:AI)-X203</f>
        <v>0</v>
      </c>
      <c r="AA203" t="s">
        <v>3085</v>
      </c>
      <c r="AB203" t="str">
        <f t="shared" si="107"/>
        <v>Apr-26</v>
      </c>
      <c r="AC203" s="242">
        <v>46122</v>
      </c>
      <c r="AD203" t="s">
        <v>3272</v>
      </c>
      <c r="AE203" t="s">
        <v>196</v>
      </c>
      <c r="AF203" t="s">
        <v>2680</v>
      </c>
      <c r="AG203" t="s">
        <v>3304</v>
      </c>
      <c r="AH203" s="242">
        <v>46112</v>
      </c>
      <c r="AI203" t="s">
        <v>3305</v>
      </c>
      <c r="AJ203" s="242">
        <v>46122</v>
      </c>
      <c r="AK203" t="s">
        <v>255</v>
      </c>
      <c r="AL203" t="s">
        <v>329</v>
      </c>
      <c r="AM203" t="s">
        <v>3297</v>
      </c>
      <c r="AN203" s="3">
        <v>1</v>
      </c>
      <c r="AO203" s="3">
        <v>65040</v>
      </c>
      <c r="AP203" s="3">
        <f t="shared" si="108"/>
        <v>65040</v>
      </c>
      <c r="AQ203" s="3">
        <v>0</v>
      </c>
      <c r="AR203" s="3">
        <f t="shared" si="109"/>
        <v>65040</v>
      </c>
    </row>
    <row r="204" spans="2:44" x14ac:dyDescent="0.3">
      <c r="B204" t="s">
        <v>2743</v>
      </c>
      <c r="C204" t="s">
        <v>174</v>
      </c>
      <c r="D204" t="str">
        <f t="shared" si="103"/>
        <v>Sep-25</v>
      </c>
      <c r="E204" s="242">
        <v>45917</v>
      </c>
      <c r="F204" t="s">
        <v>1811</v>
      </c>
      <c r="G204" t="s">
        <v>1671</v>
      </c>
      <c r="H204" s="233">
        <v>6530</v>
      </c>
      <c r="I204" s="233">
        <v>32.9</v>
      </c>
      <c r="J204" s="233">
        <f t="shared" si="101"/>
        <v>214837</v>
      </c>
      <c r="K204" s="3">
        <v>0</v>
      </c>
      <c r="L204" s="3">
        <f t="shared" si="102"/>
        <v>214837</v>
      </c>
      <c r="M204" s="3"/>
      <c r="N204" t="s">
        <v>2830</v>
      </c>
      <c r="O204" s="240" t="s">
        <v>226</v>
      </c>
      <c r="P204" t="s">
        <v>174</v>
      </c>
      <c r="Q204" s="242">
        <v>46076</v>
      </c>
      <c r="R204" t="s">
        <v>2835</v>
      </c>
      <c r="S204" t="s">
        <v>2435</v>
      </c>
      <c r="T204" s="3">
        <v>7360</v>
      </c>
      <c r="U204" s="233">
        <v>184</v>
      </c>
      <c r="V204" s="3">
        <f t="shared" ref="V204" si="110">U204*T204</f>
        <v>1354240</v>
      </c>
      <c r="W204" s="3">
        <v>0</v>
      </c>
      <c r="X204" s="3">
        <f t="shared" ref="X204" si="111">V204+W204</f>
        <v>1354240</v>
      </c>
      <c r="Y204" s="1">
        <f>_xlfn.XLOOKUP(R204,'Details PC'!AA:AA,'Details PC'!AI:AI)-X204</f>
        <v>-517040</v>
      </c>
      <c r="AA204" t="s">
        <v>3085</v>
      </c>
      <c r="AB204" t="str">
        <f t="shared" si="107"/>
        <v>Apr-26</v>
      </c>
      <c r="AC204" s="242">
        <v>46122</v>
      </c>
      <c r="AD204" t="s">
        <v>3273</v>
      </c>
      <c r="AE204" t="s">
        <v>196</v>
      </c>
      <c r="AF204" t="s">
        <v>2680</v>
      </c>
      <c r="AG204" t="s">
        <v>3306</v>
      </c>
      <c r="AH204" s="242">
        <v>46107</v>
      </c>
      <c r="AI204" t="s">
        <v>3307</v>
      </c>
      <c r="AJ204" s="242">
        <v>46122</v>
      </c>
      <c r="AK204" t="s">
        <v>255</v>
      </c>
      <c r="AL204" t="s">
        <v>329</v>
      </c>
      <c r="AM204" t="s">
        <v>3297</v>
      </c>
      <c r="AN204" s="3">
        <v>1</v>
      </c>
      <c r="AO204" s="3">
        <v>117280</v>
      </c>
      <c r="AP204" s="3">
        <f t="shared" si="108"/>
        <v>117280</v>
      </c>
      <c r="AQ204" s="3">
        <v>0</v>
      </c>
      <c r="AR204" s="3">
        <f t="shared" si="109"/>
        <v>117280</v>
      </c>
    </row>
    <row r="205" spans="2:44" x14ac:dyDescent="0.3">
      <c r="B205" t="s">
        <v>2743</v>
      </c>
      <c r="C205" t="s">
        <v>174</v>
      </c>
      <c r="D205" t="str">
        <f t="shared" si="103"/>
        <v>Sep-25</v>
      </c>
      <c r="E205" s="242">
        <v>45917</v>
      </c>
      <c r="F205" t="s">
        <v>1813</v>
      </c>
      <c r="G205" t="s">
        <v>400</v>
      </c>
      <c r="H205" s="233">
        <v>16640</v>
      </c>
      <c r="I205" s="233">
        <v>32.65</v>
      </c>
      <c r="J205" s="233">
        <f t="shared" si="101"/>
        <v>543296</v>
      </c>
      <c r="K205" s="3">
        <v>0</v>
      </c>
      <c r="L205" s="3">
        <f t="shared" si="102"/>
        <v>543296</v>
      </c>
      <c r="M205" s="3"/>
      <c r="N205" t="s">
        <v>2865</v>
      </c>
      <c r="O205" s="240" t="s">
        <v>226</v>
      </c>
      <c r="P205" t="s">
        <v>174</v>
      </c>
      <c r="Q205" s="242">
        <v>46088</v>
      </c>
      <c r="R205" t="s">
        <v>2866</v>
      </c>
      <c r="S205" t="s">
        <v>1465</v>
      </c>
      <c r="T205" s="3">
        <v>13105</v>
      </c>
      <c r="U205" s="233">
        <v>34.1</v>
      </c>
      <c r="V205" s="3">
        <f t="shared" ref="V205:V214" si="112">U205*T205</f>
        <v>446880.5</v>
      </c>
      <c r="W205" s="3">
        <v>0</v>
      </c>
      <c r="X205" s="3">
        <f t="shared" ref="X205" si="113">V205+W205</f>
        <v>446880.5</v>
      </c>
      <c r="Y205" s="1">
        <f>_xlfn.XLOOKUP(R205,'Details PC'!AA:AA,'Details PC'!AI:AI)-X205</f>
        <v>0</v>
      </c>
      <c r="AA205" t="s">
        <v>3085</v>
      </c>
      <c r="AB205" t="str">
        <f t="shared" ref="AB205" si="114">TEXT(AC205,"mmm-yy")</f>
        <v>Apr-26</v>
      </c>
      <c r="AC205" s="242">
        <v>46119</v>
      </c>
      <c r="AD205" t="s">
        <v>3022</v>
      </c>
      <c r="AE205" t="s">
        <v>2415</v>
      </c>
      <c r="AG205" t="s">
        <v>3308</v>
      </c>
      <c r="AN205" s="3">
        <v>1</v>
      </c>
      <c r="AO205" s="3">
        <v>-3125</v>
      </c>
      <c r="AP205" s="3">
        <f t="shared" si="108"/>
        <v>-3125</v>
      </c>
      <c r="AQ205" s="3">
        <v>0</v>
      </c>
      <c r="AR205" s="3">
        <f t="shared" ref="AR205" si="115">AP205-AQ205</f>
        <v>-3125</v>
      </c>
    </row>
    <row r="206" spans="2:44" x14ac:dyDescent="0.3">
      <c r="B206" t="s">
        <v>2743</v>
      </c>
      <c r="C206" t="s">
        <v>174</v>
      </c>
      <c r="D206" t="str">
        <f t="shared" si="103"/>
        <v>Sep-25</v>
      </c>
      <c r="E206" s="242">
        <v>45918</v>
      </c>
      <c r="F206" t="s">
        <v>1814</v>
      </c>
      <c r="G206" t="s">
        <v>250</v>
      </c>
      <c r="H206" s="233">
        <v>1880</v>
      </c>
      <c r="I206" s="233">
        <v>36</v>
      </c>
      <c r="J206" s="233">
        <f t="shared" si="101"/>
        <v>67680</v>
      </c>
      <c r="K206" s="3">
        <v>0</v>
      </c>
      <c r="L206" s="3">
        <f t="shared" si="102"/>
        <v>67680</v>
      </c>
      <c r="M206" s="3"/>
      <c r="N206" t="s">
        <v>2922</v>
      </c>
      <c r="O206" s="240" t="s">
        <v>226</v>
      </c>
      <c r="P206" t="s">
        <v>174</v>
      </c>
      <c r="Q206" s="242">
        <v>46090</v>
      </c>
      <c r="R206" t="s">
        <v>2921</v>
      </c>
      <c r="S206" t="s">
        <v>2353</v>
      </c>
      <c r="T206" s="3">
        <v>25105</v>
      </c>
      <c r="U206" s="233">
        <v>31.75</v>
      </c>
      <c r="V206" s="3">
        <f t="shared" si="112"/>
        <v>797083.75</v>
      </c>
      <c r="W206" s="3">
        <v>0</v>
      </c>
      <c r="X206" s="3">
        <f t="shared" ref="X206:X213" si="116">V206+W206</f>
        <v>797083.75</v>
      </c>
      <c r="Y206" s="1">
        <f>_xlfn.XLOOKUP(R206,'Details PC'!AA:AA,'Details PC'!AI:AI)-X206</f>
        <v>0</v>
      </c>
      <c r="AA206" t="s">
        <v>3085</v>
      </c>
      <c r="AB206" t="str">
        <f t="shared" ref="AB206:AB207" si="117">TEXT(AC206,"mmm-yy")</f>
        <v>Apr-26</v>
      </c>
      <c r="AC206" s="242">
        <v>46139</v>
      </c>
      <c r="AD206" t="s">
        <v>3276</v>
      </c>
      <c r="AE206" t="s">
        <v>3483</v>
      </c>
      <c r="AF206" t="s">
        <v>3484</v>
      </c>
      <c r="AG206" t="s">
        <v>3485</v>
      </c>
      <c r="AH206" s="242">
        <v>46126</v>
      </c>
      <c r="AI206" t="s">
        <v>3486</v>
      </c>
      <c r="AJ206" s="242">
        <v>46139</v>
      </c>
      <c r="AK206" t="s">
        <v>255</v>
      </c>
      <c r="AL206" t="s">
        <v>3487</v>
      </c>
      <c r="AM206" t="s">
        <v>3297</v>
      </c>
      <c r="AN206" s="3">
        <v>1</v>
      </c>
      <c r="AO206" s="3">
        <v>35000</v>
      </c>
      <c r="AP206" s="3">
        <f t="shared" ref="AP206:AP207" si="118">AN206*AO206</f>
        <v>35000</v>
      </c>
      <c r="AQ206" s="3">
        <v>0</v>
      </c>
      <c r="AR206" s="3">
        <f t="shared" ref="AR206:AR207" si="119">AP206-AQ206</f>
        <v>35000</v>
      </c>
    </row>
    <row r="207" spans="2:44" x14ac:dyDescent="0.3">
      <c r="B207" t="s">
        <v>2743</v>
      </c>
      <c r="C207" t="s">
        <v>174</v>
      </c>
      <c r="D207" t="str">
        <f t="shared" si="103"/>
        <v>Sep-25</v>
      </c>
      <c r="E207" s="242">
        <v>45918</v>
      </c>
      <c r="F207" t="s">
        <v>1815</v>
      </c>
      <c r="G207" t="s">
        <v>250</v>
      </c>
      <c r="H207" s="233">
        <v>2830</v>
      </c>
      <c r="I207" s="233">
        <v>34</v>
      </c>
      <c r="J207" s="233">
        <f t="shared" si="101"/>
        <v>96220</v>
      </c>
      <c r="K207" s="3">
        <v>0</v>
      </c>
      <c r="L207" s="3">
        <f t="shared" si="102"/>
        <v>96220</v>
      </c>
      <c r="M207" s="3"/>
      <c r="N207" t="s">
        <v>2919</v>
      </c>
      <c r="O207" s="240" t="s">
        <v>226</v>
      </c>
      <c r="P207" t="s">
        <v>174</v>
      </c>
      <c r="Q207" s="242">
        <v>46092</v>
      </c>
      <c r="R207" t="s">
        <v>2920</v>
      </c>
      <c r="S207" t="s">
        <v>2353</v>
      </c>
      <c r="T207" s="3">
        <v>23880</v>
      </c>
      <c r="U207" s="233">
        <v>31.75</v>
      </c>
      <c r="V207" s="3">
        <f t="shared" si="112"/>
        <v>758190</v>
      </c>
      <c r="W207" s="3">
        <v>-1270</v>
      </c>
      <c r="X207" s="3">
        <f t="shared" si="116"/>
        <v>756920</v>
      </c>
      <c r="Y207" s="1">
        <f>_xlfn.XLOOKUP(R207,'Details PC'!AA:AA,'Details PC'!AI:AI)-X207</f>
        <v>0</v>
      </c>
      <c r="AA207" t="s">
        <v>3085</v>
      </c>
      <c r="AB207" t="str">
        <f t="shared" si="117"/>
        <v>Apr-26</v>
      </c>
      <c r="AC207" s="242">
        <v>46139</v>
      </c>
      <c r="AD207" t="s">
        <v>3276</v>
      </c>
      <c r="AE207" t="s">
        <v>3483</v>
      </c>
      <c r="AF207" t="s">
        <v>3484</v>
      </c>
      <c r="AG207" t="s">
        <v>3485</v>
      </c>
      <c r="AH207" s="242">
        <v>46126</v>
      </c>
      <c r="AI207" t="s">
        <v>3486</v>
      </c>
      <c r="AJ207" s="242">
        <v>46139</v>
      </c>
      <c r="AK207" t="s">
        <v>255</v>
      </c>
      <c r="AL207" t="s">
        <v>3487</v>
      </c>
      <c r="AM207" t="s">
        <v>3488</v>
      </c>
      <c r="AN207" s="3">
        <v>1</v>
      </c>
      <c r="AO207" s="3">
        <v>100</v>
      </c>
      <c r="AP207" s="3">
        <f t="shared" si="118"/>
        <v>100</v>
      </c>
      <c r="AQ207" s="3">
        <v>0</v>
      </c>
      <c r="AR207" s="3">
        <f t="shared" si="119"/>
        <v>100</v>
      </c>
    </row>
    <row r="208" spans="2:44" x14ac:dyDescent="0.3">
      <c r="B208" t="s">
        <v>2743</v>
      </c>
      <c r="C208" t="s">
        <v>174</v>
      </c>
      <c r="D208" t="str">
        <f t="shared" si="103"/>
        <v>Sep-25</v>
      </c>
      <c r="E208" s="242">
        <v>45919</v>
      </c>
      <c r="F208" t="s">
        <v>1816</v>
      </c>
      <c r="G208" t="s">
        <v>1671</v>
      </c>
      <c r="H208" s="233">
        <v>7000</v>
      </c>
      <c r="I208" s="233">
        <v>32.9</v>
      </c>
      <c r="J208" s="233">
        <f t="shared" si="101"/>
        <v>230300</v>
      </c>
      <c r="K208" s="3">
        <v>0</v>
      </c>
      <c r="L208" s="3">
        <f t="shared" si="102"/>
        <v>230300</v>
      </c>
      <c r="M208" s="3"/>
      <c r="N208" t="s">
        <v>2902</v>
      </c>
      <c r="O208" s="240" t="s">
        <v>226</v>
      </c>
      <c r="P208" t="s">
        <v>174</v>
      </c>
      <c r="Q208" s="242">
        <v>46093</v>
      </c>
      <c r="R208" t="s">
        <v>2904</v>
      </c>
      <c r="S208" t="s">
        <v>2906</v>
      </c>
      <c r="T208" s="3">
        <v>12</v>
      </c>
      <c r="U208" s="233">
        <v>95</v>
      </c>
      <c r="V208" s="3">
        <f t="shared" si="112"/>
        <v>1140</v>
      </c>
      <c r="W208" s="3">
        <v>0</v>
      </c>
      <c r="X208" s="3">
        <f>V208+W208</f>
        <v>1140</v>
      </c>
      <c r="Y208" s="1">
        <f>_xlfn.XLOOKUP(R208,'Details PC'!AA:AA,'Details PC'!AI:AI)-X208</f>
        <v>0</v>
      </c>
      <c r="AA208" t="s">
        <v>3085</v>
      </c>
      <c r="AB208" t="str">
        <f t="shared" ref="AB208" si="120">TEXT(AC208,"mmm-yy")</f>
        <v>May-26</v>
      </c>
      <c r="AC208" s="242">
        <v>46156</v>
      </c>
      <c r="AD208" t="s">
        <v>3626</v>
      </c>
      <c r="AE208" t="s">
        <v>196</v>
      </c>
      <c r="AF208" t="s">
        <v>2680</v>
      </c>
      <c r="AG208" t="s">
        <v>3627</v>
      </c>
      <c r="AH208" s="242">
        <v>46152</v>
      </c>
      <c r="AI208" t="s">
        <v>3628</v>
      </c>
      <c r="AJ208" s="242">
        <v>46156</v>
      </c>
      <c r="AK208" t="s">
        <v>255</v>
      </c>
      <c r="AL208" t="s">
        <v>329</v>
      </c>
      <c r="AM208" t="s">
        <v>3297</v>
      </c>
      <c r="AN208" s="3">
        <v>1</v>
      </c>
      <c r="AO208" s="3">
        <v>118020</v>
      </c>
      <c r="AP208" s="3">
        <f t="shared" ref="AP208" si="121">AN208*AO208</f>
        <v>118020</v>
      </c>
      <c r="AQ208" s="3">
        <v>0</v>
      </c>
      <c r="AR208" s="3">
        <f t="shared" ref="AR208" si="122">AP208-AQ208</f>
        <v>118020</v>
      </c>
    </row>
    <row r="209" spans="2:44" x14ac:dyDescent="0.3">
      <c r="B209" t="s">
        <v>1365</v>
      </c>
      <c r="C209" t="s">
        <v>174</v>
      </c>
      <c r="D209" t="str">
        <f t="shared" si="103"/>
        <v>Sep-25</v>
      </c>
      <c r="E209" s="242">
        <v>45919</v>
      </c>
      <c r="F209" t="s">
        <v>329</v>
      </c>
      <c r="G209" t="s">
        <v>395</v>
      </c>
      <c r="H209" s="233">
        <v>1</v>
      </c>
      <c r="I209" s="233">
        <v>100000</v>
      </c>
      <c r="J209" s="233">
        <f t="shared" si="101"/>
        <v>100000</v>
      </c>
      <c r="K209" s="3">
        <v>0</v>
      </c>
      <c r="L209" s="3">
        <f t="shared" si="102"/>
        <v>100000</v>
      </c>
      <c r="M209" s="3"/>
      <c r="N209" t="s">
        <v>2914</v>
      </c>
      <c r="O209" s="240" t="s">
        <v>226</v>
      </c>
      <c r="P209" t="s">
        <v>174</v>
      </c>
      <c r="Q209" s="242">
        <v>46094</v>
      </c>
      <c r="R209" t="s">
        <v>2910</v>
      </c>
      <c r="S209" t="s">
        <v>2918</v>
      </c>
      <c r="T209" s="3">
        <v>13700</v>
      </c>
      <c r="U209" s="233">
        <v>24</v>
      </c>
      <c r="V209" s="3">
        <f t="shared" si="112"/>
        <v>328800</v>
      </c>
      <c r="W209" s="3">
        <v>0</v>
      </c>
      <c r="X209" s="3">
        <f t="shared" si="116"/>
        <v>328800</v>
      </c>
      <c r="Y209" s="1">
        <f>_xlfn.XLOOKUP(R209,'Details PC'!AA:AA,'Details PC'!AI:AI)-X209</f>
        <v>0</v>
      </c>
      <c r="AA209" t="s">
        <v>3085</v>
      </c>
      <c r="AB209" t="str">
        <f t="shared" ref="AB209" si="123">TEXT(AC209,"mmm-yy")</f>
        <v>May-26</v>
      </c>
      <c r="AC209" s="242">
        <v>46156</v>
      </c>
      <c r="AD209" t="s">
        <v>329</v>
      </c>
      <c r="AE209" t="s">
        <v>2792</v>
      </c>
      <c r="AF209" t="s">
        <v>329</v>
      </c>
      <c r="AG209" t="s">
        <v>3629</v>
      </c>
      <c r="AH209" s="242">
        <v>46142</v>
      </c>
      <c r="AI209" t="s">
        <v>3630</v>
      </c>
      <c r="AJ209" s="242">
        <v>46156</v>
      </c>
      <c r="AK209" t="s">
        <v>3300</v>
      </c>
      <c r="AL209" t="s">
        <v>329</v>
      </c>
      <c r="AM209" t="s">
        <v>3301</v>
      </c>
      <c r="AN209" s="3">
        <v>1</v>
      </c>
      <c r="AO209" s="3">
        <v>94900</v>
      </c>
      <c r="AP209" s="3">
        <f t="shared" ref="AP209" si="124">AN209*AO209</f>
        <v>94900</v>
      </c>
      <c r="AQ209" s="3">
        <v>0</v>
      </c>
      <c r="AR209" s="3">
        <f t="shared" ref="AR209" si="125">AP209-AQ209</f>
        <v>94900</v>
      </c>
    </row>
    <row r="210" spans="2:44" x14ac:dyDescent="0.3">
      <c r="B210" t="s">
        <v>2743</v>
      </c>
      <c r="C210" t="s">
        <v>174</v>
      </c>
      <c r="D210" t="str">
        <f t="shared" si="103"/>
        <v>Sep-25</v>
      </c>
      <c r="E210" s="242">
        <v>45920</v>
      </c>
      <c r="F210" t="s">
        <v>1817</v>
      </c>
      <c r="G210" t="s">
        <v>400</v>
      </c>
      <c r="H210" s="233">
        <v>29060</v>
      </c>
      <c r="I210" s="233">
        <v>32.65</v>
      </c>
      <c r="J210" s="233">
        <f t="shared" si="101"/>
        <v>948809</v>
      </c>
      <c r="K210" s="3">
        <v>0</v>
      </c>
      <c r="L210" s="3">
        <f t="shared" si="102"/>
        <v>948809</v>
      </c>
      <c r="M210" s="3"/>
      <c r="N210" t="s">
        <v>2903</v>
      </c>
      <c r="O210" s="240" t="s">
        <v>226</v>
      </c>
      <c r="P210" t="s">
        <v>174</v>
      </c>
      <c r="Q210" s="242">
        <v>46095</v>
      </c>
      <c r="R210" t="s">
        <v>2905</v>
      </c>
      <c r="S210" t="s">
        <v>2907</v>
      </c>
      <c r="T210" s="3">
        <v>30.2</v>
      </c>
      <c r="U210" s="233">
        <v>180</v>
      </c>
      <c r="V210" s="3">
        <f t="shared" si="112"/>
        <v>5436</v>
      </c>
      <c r="W210" s="3">
        <v>-1050</v>
      </c>
      <c r="X210" s="3">
        <f t="shared" si="116"/>
        <v>4386</v>
      </c>
      <c r="Y210" s="1">
        <f>_xlfn.XLOOKUP(R210,'Details PC'!AA:AA,'Details PC'!AI:AI)-X210</f>
        <v>0</v>
      </c>
      <c r="AA210" t="s">
        <v>3085</v>
      </c>
      <c r="AB210" t="str">
        <f t="shared" ref="AB210:AB224" si="126">TEXT(AC210,"mmm-yy")</f>
        <v>Jun-26</v>
      </c>
      <c r="AC210" s="242">
        <v>46181</v>
      </c>
      <c r="AD210" t="s">
        <v>329</v>
      </c>
      <c r="AE210" t="s">
        <v>2792</v>
      </c>
      <c r="AG210" t="s">
        <v>4005</v>
      </c>
      <c r="AH210" s="242">
        <v>46173</v>
      </c>
      <c r="AI210" t="s">
        <v>4006</v>
      </c>
      <c r="AJ210" s="242">
        <v>46181</v>
      </c>
      <c r="AK210" t="s">
        <v>3300</v>
      </c>
      <c r="AL210" t="s">
        <v>329</v>
      </c>
      <c r="AM210" t="s">
        <v>3301</v>
      </c>
      <c r="AN210" s="3">
        <v>1</v>
      </c>
      <c r="AO210" s="3">
        <v>116550</v>
      </c>
      <c r="AP210" s="3">
        <f t="shared" ref="AP210:AP224" si="127">AN210*AO210</f>
        <v>116550</v>
      </c>
      <c r="AQ210" s="3">
        <v>0</v>
      </c>
      <c r="AR210" s="3">
        <f t="shared" ref="AR210:AR224" si="128">AP210-AQ210</f>
        <v>116550</v>
      </c>
    </row>
    <row r="211" spans="2:44" x14ac:dyDescent="0.3">
      <c r="B211" t="s">
        <v>2743</v>
      </c>
      <c r="C211" t="s">
        <v>174</v>
      </c>
      <c r="D211" t="str">
        <f t="shared" si="103"/>
        <v>Sep-25</v>
      </c>
      <c r="E211" s="242">
        <v>45920</v>
      </c>
      <c r="F211" t="s">
        <v>1818</v>
      </c>
      <c r="G211" t="s">
        <v>250</v>
      </c>
      <c r="H211" s="233">
        <v>6890</v>
      </c>
      <c r="I211" s="233">
        <v>36</v>
      </c>
      <c r="J211" s="233">
        <f t="shared" si="101"/>
        <v>248040</v>
      </c>
      <c r="K211" s="3">
        <v>0</v>
      </c>
      <c r="L211" s="3">
        <f t="shared" si="102"/>
        <v>248040</v>
      </c>
      <c r="M211" s="3"/>
      <c r="N211" t="s">
        <v>2915</v>
      </c>
      <c r="O211" s="240" t="s">
        <v>226</v>
      </c>
      <c r="P211" t="s">
        <v>174</v>
      </c>
      <c r="Q211" s="242">
        <v>46095</v>
      </c>
      <c r="R211" t="s">
        <v>2911</v>
      </c>
      <c r="S211" t="s">
        <v>2918</v>
      </c>
      <c r="T211" s="3">
        <v>17210</v>
      </c>
      <c r="U211" s="233">
        <v>24</v>
      </c>
      <c r="V211" s="3">
        <f t="shared" si="112"/>
        <v>413040</v>
      </c>
      <c r="W211" s="3">
        <v>0</v>
      </c>
      <c r="X211" s="3">
        <f t="shared" si="116"/>
        <v>413040</v>
      </c>
      <c r="Y211" s="1">
        <f>_xlfn.XLOOKUP(R211,'Details PC'!AA:AA,'Details PC'!AI:AI)-X211</f>
        <v>0</v>
      </c>
      <c r="AA211" t="s">
        <v>3085</v>
      </c>
      <c r="AB211" t="str">
        <f t="shared" si="126"/>
        <v>Jun-26</v>
      </c>
      <c r="AC211" s="242">
        <v>46181</v>
      </c>
      <c r="AD211" t="s">
        <v>3744</v>
      </c>
      <c r="AE211" t="s">
        <v>2415</v>
      </c>
      <c r="AG211" t="s">
        <v>4007</v>
      </c>
      <c r="AH211" s="242">
        <v>46175</v>
      </c>
      <c r="AI211" t="s">
        <v>4008</v>
      </c>
      <c r="AJ211" s="242">
        <v>46181</v>
      </c>
      <c r="AK211" t="s">
        <v>255</v>
      </c>
      <c r="AL211" t="s">
        <v>4009</v>
      </c>
      <c r="AM211" t="s">
        <v>3297</v>
      </c>
      <c r="AN211" s="3">
        <v>1</v>
      </c>
      <c r="AO211" s="3">
        <v>30000</v>
      </c>
      <c r="AP211" s="3">
        <f t="shared" si="127"/>
        <v>30000</v>
      </c>
      <c r="AQ211" s="3">
        <v>3300</v>
      </c>
      <c r="AR211" s="3">
        <f t="shared" si="128"/>
        <v>26700</v>
      </c>
    </row>
    <row r="212" spans="2:44" x14ac:dyDescent="0.3">
      <c r="B212" t="s">
        <v>2743</v>
      </c>
      <c r="C212" t="s">
        <v>174</v>
      </c>
      <c r="D212" t="str">
        <f t="shared" si="103"/>
        <v>Sep-25</v>
      </c>
      <c r="E212" s="242">
        <v>45921</v>
      </c>
      <c r="F212" t="s">
        <v>1819</v>
      </c>
      <c r="G212" t="s">
        <v>400</v>
      </c>
      <c r="H212" s="233">
        <v>26730</v>
      </c>
      <c r="I212" s="233">
        <v>32.65</v>
      </c>
      <c r="J212" s="233">
        <f t="shared" si="101"/>
        <v>872734.5</v>
      </c>
      <c r="K212" s="3">
        <v>0</v>
      </c>
      <c r="L212" s="3">
        <f t="shared" si="102"/>
        <v>872734.5</v>
      </c>
      <c r="M212" s="3"/>
      <c r="N212" t="s">
        <v>2916</v>
      </c>
      <c r="O212" s="240" t="s">
        <v>226</v>
      </c>
      <c r="P212" t="s">
        <v>174</v>
      </c>
      <c r="Q212" s="242">
        <v>46095</v>
      </c>
      <c r="R212" t="s">
        <v>2912</v>
      </c>
      <c r="S212" t="s">
        <v>2918</v>
      </c>
      <c r="T212" s="3">
        <v>18040</v>
      </c>
      <c r="U212" s="233">
        <v>24</v>
      </c>
      <c r="V212" s="3">
        <f t="shared" si="112"/>
        <v>432960</v>
      </c>
      <c r="W212" s="3">
        <v>0</v>
      </c>
      <c r="X212" s="3">
        <f t="shared" si="116"/>
        <v>432960</v>
      </c>
      <c r="Y212" s="1">
        <f>_xlfn.XLOOKUP(R212,'Details PC'!AA:AA,'Details PC'!AI:AI)-X212</f>
        <v>0</v>
      </c>
      <c r="AA212" t="s">
        <v>3085</v>
      </c>
      <c r="AB212" t="str">
        <f t="shared" si="126"/>
        <v>Jun-26</v>
      </c>
      <c r="AC212" s="242">
        <v>46181</v>
      </c>
      <c r="AD212" t="s">
        <v>3744</v>
      </c>
      <c r="AE212" t="s">
        <v>2415</v>
      </c>
      <c r="AG212" t="s">
        <v>4007</v>
      </c>
      <c r="AH212" s="242">
        <v>46175</v>
      </c>
      <c r="AI212" t="s">
        <v>4008</v>
      </c>
      <c r="AJ212" s="242">
        <v>46181</v>
      </c>
      <c r="AK212" t="s">
        <v>255</v>
      </c>
      <c r="AL212" t="s">
        <v>4009</v>
      </c>
      <c r="AM212" t="s">
        <v>3297</v>
      </c>
      <c r="AN212" s="3">
        <v>1</v>
      </c>
      <c r="AO212" s="3">
        <v>350</v>
      </c>
      <c r="AP212" s="3">
        <f t="shared" si="127"/>
        <v>350</v>
      </c>
      <c r="AQ212" s="3">
        <v>0</v>
      </c>
      <c r="AR212" s="3">
        <f t="shared" si="128"/>
        <v>350</v>
      </c>
    </row>
    <row r="213" spans="2:44" x14ac:dyDescent="0.3">
      <c r="B213" t="s">
        <v>2743</v>
      </c>
      <c r="C213" t="s">
        <v>174</v>
      </c>
      <c r="D213" t="str">
        <f t="shared" si="103"/>
        <v>Sep-25</v>
      </c>
      <c r="E213" s="242">
        <v>45922</v>
      </c>
      <c r="F213" t="s">
        <v>1858</v>
      </c>
      <c r="G213" t="s">
        <v>250</v>
      </c>
      <c r="H213" s="233">
        <v>6590</v>
      </c>
      <c r="I213" s="233">
        <v>36</v>
      </c>
      <c r="J213" s="233">
        <f t="shared" si="101"/>
        <v>237240</v>
      </c>
      <c r="K213" s="3">
        <v>0</v>
      </c>
      <c r="L213" s="3">
        <f t="shared" si="102"/>
        <v>237240</v>
      </c>
      <c r="M213" s="3"/>
      <c r="N213" t="s">
        <v>2917</v>
      </c>
      <c r="O213" s="240" t="s">
        <v>226</v>
      </c>
      <c r="P213" t="s">
        <v>174</v>
      </c>
      <c r="Q213" s="242">
        <v>46096</v>
      </c>
      <c r="R213" t="s">
        <v>2913</v>
      </c>
      <c r="S213" t="s">
        <v>2918</v>
      </c>
      <c r="T213" s="3">
        <v>11330</v>
      </c>
      <c r="U213" s="233">
        <v>24</v>
      </c>
      <c r="V213" s="3">
        <f t="shared" si="112"/>
        <v>271920</v>
      </c>
      <c r="W213" s="3">
        <v>0</v>
      </c>
      <c r="X213" s="3">
        <f t="shared" si="116"/>
        <v>271920</v>
      </c>
      <c r="Y213" s="1">
        <f>_xlfn.XLOOKUP(R213,'Details PC'!AA:AA,'Details PC'!AI:AI)-X213</f>
        <v>0</v>
      </c>
      <c r="AA213" t="s">
        <v>3085</v>
      </c>
      <c r="AB213" t="str">
        <f t="shared" si="126"/>
        <v>Jun-26</v>
      </c>
      <c r="AC213" s="242">
        <v>46181</v>
      </c>
      <c r="AD213" t="s">
        <v>3721</v>
      </c>
      <c r="AE213" t="s">
        <v>2415</v>
      </c>
      <c r="AG213" t="s">
        <v>4010</v>
      </c>
      <c r="AH213" s="242">
        <v>46175</v>
      </c>
      <c r="AI213" t="s">
        <v>4011</v>
      </c>
      <c r="AJ213" s="242">
        <v>46181</v>
      </c>
      <c r="AK213" t="s">
        <v>255</v>
      </c>
      <c r="AL213" t="s">
        <v>4012</v>
      </c>
      <c r="AM213" t="s">
        <v>3297</v>
      </c>
      <c r="AN213" s="3">
        <v>1</v>
      </c>
      <c r="AO213" s="3">
        <v>30000</v>
      </c>
      <c r="AP213" s="3">
        <f t="shared" si="127"/>
        <v>30000</v>
      </c>
      <c r="AQ213" s="3">
        <v>0</v>
      </c>
      <c r="AR213" s="3">
        <f t="shared" si="128"/>
        <v>30000</v>
      </c>
    </row>
    <row r="214" spans="2:44" x14ac:dyDescent="0.3">
      <c r="B214" t="s">
        <v>2743</v>
      </c>
      <c r="C214" t="s">
        <v>174</v>
      </c>
      <c r="D214" t="str">
        <f t="shared" si="103"/>
        <v>Sep-25</v>
      </c>
      <c r="E214" s="242">
        <v>45922</v>
      </c>
      <c r="F214" t="s">
        <v>1859</v>
      </c>
      <c r="G214" t="s">
        <v>400</v>
      </c>
      <c r="H214" s="233">
        <v>23510</v>
      </c>
      <c r="I214" s="233">
        <v>32.65</v>
      </c>
      <c r="J214" s="233">
        <f t="shared" si="101"/>
        <v>767601.5</v>
      </c>
      <c r="K214" s="3">
        <v>0</v>
      </c>
      <c r="L214" s="3">
        <f t="shared" si="102"/>
        <v>767601.5</v>
      </c>
      <c r="M214" s="3"/>
      <c r="N214" t="s">
        <v>2980</v>
      </c>
      <c r="O214" s="240" t="s">
        <v>226</v>
      </c>
      <c r="P214" t="s">
        <v>174</v>
      </c>
      <c r="Q214" s="242">
        <v>46102</v>
      </c>
      <c r="R214" t="s">
        <v>2981</v>
      </c>
      <c r="S214" t="s">
        <v>2982</v>
      </c>
      <c r="T214" s="3">
        <v>4800</v>
      </c>
      <c r="U214" s="233">
        <v>210</v>
      </c>
      <c r="V214" s="3">
        <f t="shared" si="112"/>
        <v>1008000</v>
      </c>
      <c r="W214" s="3">
        <v>0</v>
      </c>
      <c r="X214" s="3">
        <f t="shared" ref="X214" si="129">V214+W214</f>
        <v>1008000</v>
      </c>
      <c r="Y214" s="1">
        <f>_xlfn.XLOOKUP(R214,'Details PC'!AA:AA,'Details PC'!AI:AI)-X214</f>
        <v>0</v>
      </c>
      <c r="AA214" t="s">
        <v>3085</v>
      </c>
      <c r="AB214" t="str">
        <f t="shared" si="126"/>
        <v>Jun-26</v>
      </c>
      <c r="AC214" s="242">
        <v>46181</v>
      </c>
      <c r="AD214" t="s">
        <v>3721</v>
      </c>
      <c r="AE214" t="s">
        <v>2415</v>
      </c>
      <c r="AG214" t="s">
        <v>4010</v>
      </c>
      <c r="AH214" s="242">
        <v>46175</v>
      </c>
      <c r="AI214" t="s">
        <v>4011</v>
      </c>
      <c r="AJ214" s="242">
        <v>46181</v>
      </c>
      <c r="AK214" t="s">
        <v>255</v>
      </c>
      <c r="AL214" t="s">
        <v>4012</v>
      </c>
      <c r="AM214" t="s">
        <v>3297</v>
      </c>
      <c r="AN214" s="3">
        <v>1</v>
      </c>
      <c r="AO214" s="3">
        <v>350</v>
      </c>
      <c r="AP214" s="3">
        <f t="shared" si="127"/>
        <v>350</v>
      </c>
      <c r="AQ214" s="3">
        <v>0</v>
      </c>
      <c r="AR214" s="3">
        <f t="shared" si="128"/>
        <v>350</v>
      </c>
    </row>
    <row r="215" spans="2:44" x14ac:dyDescent="0.3">
      <c r="B215" t="s">
        <v>2743</v>
      </c>
      <c r="C215" t="s">
        <v>174</v>
      </c>
      <c r="D215" t="str">
        <f t="shared" si="103"/>
        <v>Sep-25</v>
      </c>
      <c r="E215" s="242">
        <v>45923</v>
      </c>
      <c r="F215" t="s">
        <v>1860</v>
      </c>
      <c r="G215" t="s">
        <v>250</v>
      </c>
      <c r="H215" s="233">
        <v>9750</v>
      </c>
      <c r="I215" s="233">
        <v>36</v>
      </c>
      <c r="J215" s="233">
        <f t="shared" si="101"/>
        <v>351000</v>
      </c>
      <c r="K215" s="3">
        <v>0</v>
      </c>
      <c r="L215" s="3">
        <f t="shared" si="102"/>
        <v>351000</v>
      </c>
      <c r="M215" s="3"/>
      <c r="N215" t="s">
        <v>2978</v>
      </c>
      <c r="O215" s="240" t="s">
        <v>226</v>
      </c>
      <c r="P215" t="s">
        <v>174</v>
      </c>
      <c r="Q215" s="242">
        <v>46102</v>
      </c>
      <c r="R215" t="s">
        <v>2979</v>
      </c>
      <c r="S215" t="s">
        <v>250</v>
      </c>
      <c r="T215" s="3">
        <v>1</v>
      </c>
      <c r="U215" s="233">
        <v>64379</v>
      </c>
      <c r="V215" s="3">
        <f t="shared" ref="V215" si="130">U215*T215</f>
        <v>64379</v>
      </c>
      <c r="W215" s="3">
        <v>0</v>
      </c>
      <c r="X215" s="3">
        <f t="shared" ref="X215" si="131">V215+W215</f>
        <v>64379</v>
      </c>
      <c r="Y215" s="1">
        <f>_xlfn.XLOOKUP(R215,'Details PC'!AA:AA,'Details PC'!AI:AI)-X215</f>
        <v>0</v>
      </c>
      <c r="AA215" t="s">
        <v>3085</v>
      </c>
      <c r="AB215" t="str">
        <f t="shared" si="126"/>
        <v>Jun-26</v>
      </c>
      <c r="AC215" s="242">
        <v>46181</v>
      </c>
      <c r="AD215" t="s">
        <v>3274</v>
      </c>
      <c r="AE215" t="s">
        <v>1433</v>
      </c>
      <c r="AG215" t="s">
        <v>3079</v>
      </c>
      <c r="AH215" s="242">
        <v>46137</v>
      </c>
      <c r="AI215" t="s">
        <v>4013</v>
      </c>
      <c r="AJ215" s="242">
        <v>46181</v>
      </c>
      <c r="AK215" t="s">
        <v>255</v>
      </c>
      <c r="AL215" t="s">
        <v>4014</v>
      </c>
      <c r="AM215" t="s">
        <v>3297</v>
      </c>
      <c r="AN215" s="3">
        <v>1</v>
      </c>
      <c r="AO215" s="3">
        <v>36240</v>
      </c>
      <c r="AP215" s="3">
        <f t="shared" si="127"/>
        <v>36240</v>
      </c>
      <c r="AQ215" s="3">
        <v>0</v>
      </c>
      <c r="AR215" s="3">
        <f t="shared" si="128"/>
        <v>36240</v>
      </c>
    </row>
    <row r="216" spans="2:44" x14ac:dyDescent="0.3">
      <c r="B216" t="s">
        <v>2743</v>
      </c>
      <c r="C216" t="s">
        <v>174</v>
      </c>
      <c r="D216" t="str">
        <f t="shared" si="103"/>
        <v>Sep-25</v>
      </c>
      <c r="E216" s="242">
        <v>45923</v>
      </c>
      <c r="F216" t="s">
        <v>1861</v>
      </c>
      <c r="G216" t="s">
        <v>250</v>
      </c>
      <c r="H216" s="233">
        <v>5090</v>
      </c>
      <c r="I216" s="233">
        <v>32.5</v>
      </c>
      <c r="J216" s="233">
        <f t="shared" si="101"/>
        <v>165425</v>
      </c>
      <c r="K216" s="3">
        <v>0</v>
      </c>
      <c r="L216" s="3">
        <f t="shared" si="102"/>
        <v>165425</v>
      </c>
      <c r="M216" s="3"/>
      <c r="N216" t="s">
        <v>3014</v>
      </c>
      <c r="O216" s="240" t="s">
        <v>226</v>
      </c>
      <c r="P216" t="s">
        <v>174</v>
      </c>
      <c r="Q216" s="242">
        <v>46107</v>
      </c>
      <c r="R216" t="s">
        <v>3020</v>
      </c>
      <c r="S216" t="s">
        <v>250</v>
      </c>
      <c r="T216" s="3">
        <v>1</v>
      </c>
      <c r="U216" s="233">
        <v>5000</v>
      </c>
      <c r="V216" s="3">
        <f t="shared" ref="V216:V217" si="132">U216*T216</f>
        <v>5000</v>
      </c>
      <c r="W216" s="3">
        <v>0</v>
      </c>
      <c r="X216" s="3">
        <f t="shared" ref="X216:X217" si="133">V216+W216</f>
        <v>5000</v>
      </c>
      <c r="Y216" s="1">
        <f>_xlfn.XLOOKUP(R216,'Details PC'!AA:AA,'Details PC'!AI:AI)-X216</f>
        <v>0</v>
      </c>
      <c r="AA216" t="s">
        <v>3085</v>
      </c>
      <c r="AB216" t="str">
        <f t="shared" si="126"/>
        <v>Jun-26</v>
      </c>
      <c r="AC216" s="242">
        <v>46181</v>
      </c>
      <c r="AD216" t="s">
        <v>3274</v>
      </c>
      <c r="AE216" t="s">
        <v>1433</v>
      </c>
      <c r="AG216" t="s">
        <v>3079</v>
      </c>
      <c r="AH216" s="242">
        <v>46137</v>
      </c>
      <c r="AI216" t="s">
        <v>4013</v>
      </c>
      <c r="AJ216" s="242">
        <v>46181</v>
      </c>
      <c r="AK216" t="s">
        <v>255</v>
      </c>
      <c r="AL216" t="s">
        <v>4014</v>
      </c>
      <c r="AM216" t="s">
        <v>3297</v>
      </c>
      <c r="AN216" s="3">
        <v>1</v>
      </c>
      <c r="AO216" s="3">
        <v>33000</v>
      </c>
      <c r="AP216" s="3">
        <f t="shared" si="127"/>
        <v>33000</v>
      </c>
      <c r="AQ216" s="3">
        <v>0</v>
      </c>
      <c r="AR216" s="3">
        <f t="shared" si="128"/>
        <v>33000</v>
      </c>
    </row>
    <row r="217" spans="2:44" x14ac:dyDescent="0.3">
      <c r="B217" t="s">
        <v>2743</v>
      </c>
      <c r="C217" t="s">
        <v>174</v>
      </c>
      <c r="D217" t="str">
        <f t="shared" si="103"/>
        <v>Sep-25</v>
      </c>
      <c r="E217" s="242">
        <v>45924</v>
      </c>
      <c r="F217" t="s">
        <v>1862</v>
      </c>
      <c r="G217" t="s">
        <v>400</v>
      </c>
      <c r="H217" s="233">
        <v>15170</v>
      </c>
      <c r="I217" s="233">
        <v>32.65</v>
      </c>
      <c r="J217" s="233">
        <f t="shared" si="101"/>
        <v>495300.5</v>
      </c>
      <c r="K217" s="3">
        <v>0</v>
      </c>
      <c r="L217" s="3">
        <f t="shared" si="102"/>
        <v>495300.5</v>
      </c>
      <c r="M217" s="3"/>
      <c r="N217" t="s">
        <v>3012</v>
      </c>
      <c r="O217" s="240" t="s">
        <v>226</v>
      </c>
      <c r="P217" t="s">
        <v>174</v>
      </c>
      <c r="Q217" s="242">
        <v>46107</v>
      </c>
      <c r="R217" t="s">
        <v>3018</v>
      </c>
      <c r="S217" t="s">
        <v>250</v>
      </c>
      <c r="T217" s="3">
        <v>1</v>
      </c>
      <c r="U217" s="233">
        <v>12654.45</v>
      </c>
      <c r="V217" s="3">
        <f t="shared" si="132"/>
        <v>12654.45</v>
      </c>
      <c r="W217" s="3">
        <v>0</v>
      </c>
      <c r="X217" s="3">
        <f t="shared" si="133"/>
        <v>12654.45</v>
      </c>
      <c r="Y217" s="1">
        <f>_xlfn.XLOOKUP(R217,'Details PC'!AA:AA,'Details PC'!AI:AI)-X217</f>
        <v>0</v>
      </c>
      <c r="AA217" t="s">
        <v>3085</v>
      </c>
      <c r="AB217" t="str">
        <f t="shared" si="126"/>
        <v>Jun-26</v>
      </c>
      <c r="AC217" s="242">
        <v>46189</v>
      </c>
      <c r="AD217" t="s">
        <v>3982</v>
      </c>
      <c r="AE217" t="s">
        <v>2415</v>
      </c>
      <c r="AG217" t="s">
        <v>4015</v>
      </c>
      <c r="AH217" s="242">
        <v>46186</v>
      </c>
      <c r="AI217" t="s">
        <v>4016</v>
      </c>
      <c r="AJ217" s="242">
        <v>46189</v>
      </c>
      <c r="AK217" t="s">
        <v>255</v>
      </c>
      <c r="AL217" t="s">
        <v>4017</v>
      </c>
      <c r="AM217" t="s">
        <v>3297</v>
      </c>
      <c r="AN217" s="3">
        <v>1</v>
      </c>
      <c r="AO217" s="3">
        <v>30000</v>
      </c>
      <c r="AP217" s="3">
        <f t="shared" si="127"/>
        <v>30000</v>
      </c>
      <c r="AQ217" s="3">
        <v>2310</v>
      </c>
      <c r="AR217" s="3">
        <f t="shared" si="128"/>
        <v>27690</v>
      </c>
    </row>
    <row r="218" spans="2:44" x14ac:dyDescent="0.3">
      <c r="B218" t="s">
        <v>2743</v>
      </c>
      <c r="C218" t="s">
        <v>174</v>
      </c>
      <c r="D218" t="str">
        <f t="shared" si="103"/>
        <v>Sep-25</v>
      </c>
      <c r="E218" s="242">
        <v>45924</v>
      </c>
      <c r="F218" t="s">
        <v>1863</v>
      </c>
      <c r="G218" t="s">
        <v>400</v>
      </c>
      <c r="H218" s="233">
        <v>7940</v>
      </c>
      <c r="I218" s="233">
        <v>32.65</v>
      </c>
      <c r="J218" s="233">
        <f t="shared" si="101"/>
        <v>259241</v>
      </c>
      <c r="K218" s="3">
        <v>0</v>
      </c>
      <c r="L218" s="3">
        <f t="shared" si="102"/>
        <v>259241</v>
      </c>
      <c r="M218" s="3"/>
      <c r="N218" t="s">
        <v>3022</v>
      </c>
      <c r="O218" s="240" t="s">
        <v>226</v>
      </c>
      <c r="P218" t="s">
        <v>174</v>
      </c>
      <c r="Q218" s="242">
        <v>46108</v>
      </c>
      <c r="R218" t="s">
        <v>3023</v>
      </c>
      <c r="S218" t="s">
        <v>2353</v>
      </c>
      <c r="T218" s="3">
        <v>19430</v>
      </c>
      <c r="U218" s="233">
        <v>31.25</v>
      </c>
      <c r="V218" s="3">
        <f t="shared" ref="V218" si="134">U218*T218</f>
        <v>607187.5</v>
      </c>
      <c r="W218" s="3">
        <v>0</v>
      </c>
      <c r="X218" s="3">
        <f t="shared" ref="X218" si="135">V218+W218</f>
        <v>607187.5</v>
      </c>
      <c r="Y218" s="1">
        <f>_xlfn.XLOOKUP(R218,'Details PC'!AA:AA,'Details PC'!AI:AI)-X218</f>
        <v>-4688</v>
      </c>
      <c r="AA218" t="s">
        <v>3085</v>
      </c>
      <c r="AB218" t="str">
        <f t="shared" si="126"/>
        <v>Jun-26</v>
      </c>
      <c r="AC218" s="242">
        <v>46189</v>
      </c>
      <c r="AD218" t="s">
        <v>3982</v>
      </c>
      <c r="AE218" t="s">
        <v>2415</v>
      </c>
      <c r="AG218" t="s">
        <v>4015</v>
      </c>
      <c r="AH218" s="242">
        <v>46186</v>
      </c>
      <c r="AI218" t="s">
        <v>4016</v>
      </c>
      <c r="AJ218" s="242">
        <v>46189</v>
      </c>
      <c r="AK218" t="s">
        <v>255</v>
      </c>
      <c r="AL218" t="s">
        <v>4017</v>
      </c>
      <c r="AM218" t="s">
        <v>3297</v>
      </c>
      <c r="AN218" s="3">
        <v>1</v>
      </c>
      <c r="AO218" s="3">
        <v>350</v>
      </c>
      <c r="AP218" s="3">
        <f t="shared" si="127"/>
        <v>350</v>
      </c>
      <c r="AQ218" s="3">
        <v>0</v>
      </c>
      <c r="AR218" s="3">
        <f t="shared" si="128"/>
        <v>350</v>
      </c>
    </row>
    <row r="219" spans="2:44" x14ac:dyDescent="0.3">
      <c r="B219" t="s">
        <v>2743</v>
      </c>
      <c r="C219" t="s">
        <v>174</v>
      </c>
      <c r="D219" t="str">
        <f t="shared" si="103"/>
        <v>Sep-25</v>
      </c>
      <c r="E219" s="242">
        <v>45924</v>
      </c>
      <c r="F219" t="s">
        <v>1864</v>
      </c>
      <c r="G219" t="s">
        <v>400</v>
      </c>
      <c r="H219" s="233">
        <v>6330</v>
      </c>
      <c r="I219" s="233">
        <v>32.65</v>
      </c>
      <c r="J219" s="233">
        <f t="shared" si="101"/>
        <v>206674.5</v>
      </c>
      <c r="K219" s="3">
        <v>0</v>
      </c>
      <c r="L219" s="3">
        <f t="shared" si="102"/>
        <v>206674.5</v>
      </c>
      <c r="M219" s="3"/>
      <c r="N219" t="s">
        <v>3042</v>
      </c>
      <c r="O219" s="240" t="s">
        <v>226</v>
      </c>
      <c r="P219" t="s">
        <v>174</v>
      </c>
      <c r="Q219" s="242">
        <v>46105</v>
      </c>
      <c r="R219" t="s">
        <v>3024</v>
      </c>
      <c r="S219" t="s">
        <v>2918</v>
      </c>
      <c r="T219" s="3">
        <v>1670</v>
      </c>
      <c r="U219" s="233">
        <v>32</v>
      </c>
      <c r="V219" s="3">
        <f t="shared" ref="V219" si="136">U219*T219</f>
        <v>53440</v>
      </c>
      <c r="W219" s="3">
        <v>0</v>
      </c>
      <c r="X219" s="3">
        <f t="shared" ref="X219" si="137">V219+W219</f>
        <v>53440</v>
      </c>
      <c r="Y219" s="1">
        <f>_xlfn.XLOOKUP(R219,'Details PC'!AA:AA,'Details PC'!AI:AI)-X219</f>
        <v>0</v>
      </c>
      <c r="AA219" t="s">
        <v>3085</v>
      </c>
      <c r="AB219" t="str">
        <f t="shared" si="126"/>
        <v>Jun-26</v>
      </c>
      <c r="AC219" s="242">
        <v>46189</v>
      </c>
      <c r="AD219" t="s">
        <v>3980</v>
      </c>
      <c r="AE219" t="s">
        <v>2415</v>
      </c>
      <c r="AG219" t="s">
        <v>4018</v>
      </c>
      <c r="AH219" s="242">
        <v>46186</v>
      </c>
      <c r="AI219" t="s">
        <v>4019</v>
      </c>
      <c r="AJ219" s="242">
        <v>46189</v>
      </c>
      <c r="AK219" t="s">
        <v>255</v>
      </c>
      <c r="AL219" t="s">
        <v>4017</v>
      </c>
      <c r="AM219" t="s">
        <v>3297</v>
      </c>
      <c r="AN219" s="3">
        <v>1</v>
      </c>
      <c r="AO219" s="3">
        <v>30000</v>
      </c>
      <c r="AP219" s="3">
        <f t="shared" si="127"/>
        <v>30000</v>
      </c>
      <c r="AQ219" s="3">
        <v>4455</v>
      </c>
      <c r="AR219" s="3">
        <f t="shared" si="128"/>
        <v>25545</v>
      </c>
    </row>
    <row r="220" spans="2:44" x14ac:dyDescent="0.3">
      <c r="B220" t="s">
        <v>2743</v>
      </c>
      <c r="C220" t="s">
        <v>174</v>
      </c>
      <c r="D220" t="str">
        <f t="shared" si="103"/>
        <v>Sep-25</v>
      </c>
      <c r="E220" s="242">
        <v>45925</v>
      </c>
      <c r="F220" t="s">
        <v>1865</v>
      </c>
      <c r="G220" t="s">
        <v>1671</v>
      </c>
      <c r="H220" s="233">
        <v>6050</v>
      </c>
      <c r="I220" s="233">
        <v>32.299999999999997</v>
      </c>
      <c r="J220" s="233">
        <f t="shared" si="101"/>
        <v>195414.99999999997</v>
      </c>
      <c r="K220" s="3">
        <v>0</v>
      </c>
      <c r="L220" s="3">
        <f t="shared" si="102"/>
        <v>195414.99999999997</v>
      </c>
      <c r="M220" s="3"/>
      <c r="N220" s="547" t="s">
        <v>3275</v>
      </c>
      <c r="O220" s="240" t="s">
        <v>226</v>
      </c>
      <c r="P220" t="s">
        <v>3085</v>
      </c>
      <c r="Q220" s="548">
        <v>46114</v>
      </c>
      <c r="R220" s="547" t="s">
        <v>3277</v>
      </c>
      <c r="S220" s="547" t="s">
        <v>2918</v>
      </c>
      <c r="T220" s="547">
        <v>3225</v>
      </c>
      <c r="U220" s="547">
        <v>5.5</v>
      </c>
      <c r="V220" s="3">
        <f t="shared" ref="V220:V228" si="138">U220*T220</f>
        <v>17737.5</v>
      </c>
      <c r="W220" s="3">
        <v>0</v>
      </c>
      <c r="X220" s="3">
        <f t="shared" ref="X220:X227" si="139">V220+W220</f>
        <v>17737.5</v>
      </c>
      <c r="Y220" s="1">
        <f>_xlfn.XLOOKUP(R220,'Details PC'!AA:AA,'Details PC'!AI:AI)-X220</f>
        <v>0</v>
      </c>
      <c r="AA220" t="s">
        <v>3085</v>
      </c>
      <c r="AB220" t="str">
        <f t="shared" si="126"/>
        <v>Jun-26</v>
      </c>
      <c r="AC220" s="242">
        <v>46189</v>
      </c>
      <c r="AD220" t="s">
        <v>3980</v>
      </c>
      <c r="AE220" t="s">
        <v>2415</v>
      </c>
      <c r="AG220" t="s">
        <v>4018</v>
      </c>
      <c r="AH220" s="242">
        <v>46186</v>
      </c>
      <c r="AI220" t="s">
        <v>4019</v>
      </c>
      <c r="AJ220" s="242">
        <v>46189</v>
      </c>
      <c r="AK220" t="s">
        <v>255</v>
      </c>
      <c r="AL220" t="s">
        <v>4017</v>
      </c>
      <c r="AM220" t="s">
        <v>3297</v>
      </c>
      <c r="AN220" s="3">
        <v>1</v>
      </c>
      <c r="AO220" s="3">
        <v>350</v>
      </c>
      <c r="AP220" s="3">
        <f t="shared" si="127"/>
        <v>350</v>
      </c>
      <c r="AQ220" s="3">
        <v>0</v>
      </c>
      <c r="AR220" s="3">
        <f t="shared" si="128"/>
        <v>350</v>
      </c>
    </row>
    <row r="221" spans="2:44" x14ac:dyDescent="0.3">
      <c r="B221" t="s">
        <v>2743</v>
      </c>
      <c r="C221" t="s">
        <v>174</v>
      </c>
      <c r="D221" t="str">
        <f t="shared" si="103"/>
        <v>Sep-25</v>
      </c>
      <c r="E221" s="242">
        <v>45926</v>
      </c>
      <c r="F221" t="s">
        <v>1866</v>
      </c>
      <c r="G221" t="s">
        <v>400</v>
      </c>
      <c r="H221" s="233">
        <v>25980</v>
      </c>
      <c r="I221" s="233">
        <v>32.65</v>
      </c>
      <c r="J221" s="233">
        <f t="shared" si="101"/>
        <v>848247</v>
      </c>
      <c r="K221" s="3">
        <v>0</v>
      </c>
      <c r="L221" s="3">
        <f t="shared" si="102"/>
        <v>848247</v>
      </c>
      <c r="M221" s="3"/>
      <c r="N221" s="547" t="s">
        <v>3276</v>
      </c>
      <c r="O221" s="240" t="s">
        <v>226</v>
      </c>
      <c r="P221" t="s">
        <v>3085</v>
      </c>
      <c r="Q221" s="548">
        <v>46126</v>
      </c>
      <c r="R221" s="547" t="s">
        <v>3279</v>
      </c>
      <c r="S221" s="547" t="s">
        <v>3282</v>
      </c>
      <c r="T221" s="547">
        <v>1760</v>
      </c>
      <c r="U221" s="547">
        <v>170</v>
      </c>
      <c r="V221" s="3">
        <f t="shared" si="138"/>
        <v>299200</v>
      </c>
      <c r="W221" s="3">
        <v>0</v>
      </c>
      <c r="X221" s="3">
        <f t="shared" si="139"/>
        <v>299200</v>
      </c>
      <c r="Y221" s="1">
        <f>_xlfn.XLOOKUP(R221,'Details PC'!AA:AA,'Details PC'!AI:AI)-X221</f>
        <v>-5208</v>
      </c>
      <c r="AA221" t="s">
        <v>3085</v>
      </c>
      <c r="AB221" t="str">
        <f t="shared" si="126"/>
        <v>Jun-26</v>
      </c>
      <c r="AC221" s="242">
        <v>46196</v>
      </c>
      <c r="AD221" t="s">
        <v>3978</v>
      </c>
      <c r="AE221" t="s">
        <v>2415</v>
      </c>
      <c r="AG221" t="s">
        <v>4020</v>
      </c>
      <c r="AH221" s="242">
        <v>46186</v>
      </c>
      <c r="AI221" t="s">
        <v>4021</v>
      </c>
      <c r="AJ221" s="242">
        <v>46196</v>
      </c>
      <c r="AK221" t="s">
        <v>255</v>
      </c>
      <c r="AL221" t="s">
        <v>4022</v>
      </c>
      <c r="AM221" t="s">
        <v>3297</v>
      </c>
      <c r="AN221" s="3">
        <v>1</v>
      </c>
      <c r="AO221" s="3">
        <v>37440</v>
      </c>
      <c r="AP221" s="3">
        <f t="shared" si="127"/>
        <v>37440</v>
      </c>
      <c r="AQ221" s="3">
        <v>0</v>
      </c>
      <c r="AR221" s="3">
        <f t="shared" si="128"/>
        <v>37440</v>
      </c>
    </row>
    <row r="222" spans="2:44" x14ac:dyDescent="0.3">
      <c r="B222" t="s">
        <v>2743</v>
      </c>
      <c r="C222" t="s">
        <v>174</v>
      </c>
      <c r="D222" t="str">
        <f t="shared" si="103"/>
        <v>Sep-25</v>
      </c>
      <c r="E222" s="242">
        <v>45926</v>
      </c>
      <c r="F222" t="s">
        <v>1867</v>
      </c>
      <c r="G222" t="s">
        <v>250</v>
      </c>
      <c r="H222" s="233">
        <v>12680</v>
      </c>
      <c r="I222" s="233">
        <v>34.25</v>
      </c>
      <c r="J222" s="233">
        <f t="shared" si="101"/>
        <v>434290</v>
      </c>
      <c r="K222" s="3">
        <v>0</v>
      </c>
      <c r="L222" s="3">
        <f t="shared" si="102"/>
        <v>434290</v>
      </c>
      <c r="M222" s="3"/>
      <c r="N222" s="547" t="s">
        <v>3276</v>
      </c>
      <c r="O222" s="240" t="s">
        <v>226</v>
      </c>
      <c r="P222" t="s">
        <v>3085</v>
      </c>
      <c r="Q222" s="548">
        <v>46126</v>
      </c>
      <c r="R222" s="547" t="s">
        <v>3279</v>
      </c>
      <c r="S222" s="547" t="s">
        <v>3282</v>
      </c>
      <c r="T222" s="547">
        <v>860</v>
      </c>
      <c r="U222" s="547">
        <v>160</v>
      </c>
      <c r="V222" s="3">
        <f t="shared" si="138"/>
        <v>137600</v>
      </c>
      <c r="W222" s="3">
        <v>0</v>
      </c>
      <c r="X222" s="3">
        <f t="shared" si="139"/>
        <v>137600</v>
      </c>
      <c r="Y222" s="1">
        <f>_xlfn.XLOOKUP(R222,'Details PC'!AA:AA,'Details PC'!AI:AI)-X222</f>
        <v>156392</v>
      </c>
      <c r="AA222" t="s">
        <v>3085</v>
      </c>
      <c r="AB222" t="str">
        <f t="shared" si="126"/>
        <v>Jun-26</v>
      </c>
      <c r="AC222" s="242">
        <v>46196</v>
      </c>
      <c r="AD222" t="s">
        <v>3978</v>
      </c>
      <c r="AE222" t="s">
        <v>2415</v>
      </c>
      <c r="AG222" t="s">
        <v>4020</v>
      </c>
      <c r="AH222" s="242">
        <v>46186</v>
      </c>
      <c r="AI222" t="s">
        <v>4021</v>
      </c>
      <c r="AJ222" s="242">
        <v>46196</v>
      </c>
      <c r="AK222" t="s">
        <v>255</v>
      </c>
      <c r="AL222" t="s">
        <v>4022</v>
      </c>
      <c r="AM222" t="s">
        <v>4023</v>
      </c>
      <c r="AN222" s="3">
        <v>1</v>
      </c>
      <c r="AO222" s="3">
        <v>7500</v>
      </c>
      <c r="AP222" s="3">
        <f t="shared" si="127"/>
        <v>7500</v>
      </c>
      <c r="AQ222" s="3">
        <v>0</v>
      </c>
      <c r="AR222" s="3">
        <f t="shared" si="128"/>
        <v>7500</v>
      </c>
    </row>
    <row r="223" spans="2:44" x14ac:dyDescent="0.3">
      <c r="B223" t="s">
        <v>2743</v>
      </c>
      <c r="C223" t="s">
        <v>174</v>
      </c>
      <c r="D223" t="str">
        <f t="shared" si="103"/>
        <v>Sep-25</v>
      </c>
      <c r="E223" s="242">
        <v>45927</v>
      </c>
      <c r="F223" t="s">
        <v>1868</v>
      </c>
      <c r="G223" t="s">
        <v>250</v>
      </c>
      <c r="H223" s="233">
        <v>5900</v>
      </c>
      <c r="I223" s="233">
        <v>36</v>
      </c>
      <c r="J223" s="233">
        <f t="shared" si="101"/>
        <v>212400</v>
      </c>
      <c r="K223" s="3">
        <v>0</v>
      </c>
      <c r="L223" s="3">
        <f t="shared" si="102"/>
        <v>212400</v>
      </c>
      <c r="M223" s="3"/>
      <c r="N223" s="547" t="s">
        <v>3276</v>
      </c>
      <c r="O223" s="240" t="s">
        <v>226</v>
      </c>
      <c r="P223" t="s">
        <v>3085</v>
      </c>
      <c r="Q223" s="548">
        <v>46126</v>
      </c>
      <c r="R223" s="547" t="s">
        <v>3279</v>
      </c>
      <c r="S223" s="547" t="s">
        <v>3282</v>
      </c>
      <c r="T223" s="547">
        <v>360</v>
      </c>
      <c r="U223" s="547">
        <v>220</v>
      </c>
      <c r="V223" s="3">
        <f t="shared" si="138"/>
        <v>79200</v>
      </c>
      <c r="W223" s="3">
        <v>0</v>
      </c>
      <c r="X223" s="3">
        <f t="shared" si="139"/>
        <v>79200</v>
      </c>
      <c r="Y223" s="1">
        <f>_xlfn.XLOOKUP(R223,'Details PC'!AA:AA,'Details PC'!AI:AI)-X223</f>
        <v>214792</v>
      </c>
      <c r="AA223" t="s">
        <v>3085</v>
      </c>
      <c r="AB223" t="str">
        <f t="shared" si="126"/>
        <v>Jun-26</v>
      </c>
      <c r="AC223" s="242">
        <v>46196</v>
      </c>
      <c r="AD223" t="s">
        <v>3978</v>
      </c>
      <c r="AE223" t="s">
        <v>2415</v>
      </c>
      <c r="AG223" t="s">
        <v>4020</v>
      </c>
      <c r="AH223" s="242">
        <v>46186</v>
      </c>
      <c r="AI223" t="s">
        <v>4021</v>
      </c>
      <c r="AJ223" s="242">
        <v>46196</v>
      </c>
      <c r="AK223" t="s">
        <v>255</v>
      </c>
      <c r="AL223" t="s">
        <v>4022</v>
      </c>
      <c r="AM223" t="s">
        <v>3297</v>
      </c>
      <c r="AN223" s="3">
        <v>1</v>
      </c>
      <c r="AO223" s="3">
        <v>30000</v>
      </c>
      <c r="AP223" s="3">
        <f t="shared" si="127"/>
        <v>30000</v>
      </c>
      <c r="AQ223" s="3">
        <v>0</v>
      </c>
      <c r="AR223" s="3">
        <f t="shared" si="128"/>
        <v>30000</v>
      </c>
    </row>
    <row r="224" spans="2:44" x14ac:dyDescent="0.3">
      <c r="B224" t="s">
        <v>2743</v>
      </c>
      <c r="C224" t="s">
        <v>174</v>
      </c>
      <c r="D224" t="str">
        <f t="shared" si="103"/>
        <v>Sep-25</v>
      </c>
      <c r="E224" s="242">
        <v>45927</v>
      </c>
      <c r="F224" t="s">
        <v>1869</v>
      </c>
      <c r="G224" t="s">
        <v>400</v>
      </c>
      <c r="H224" s="233">
        <v>11720</v>
      </c>
      <c r="I224" s="233">
        <v>32.65</v>
      </c>
      <c r="J224" s="233">
        <f t="shared" si="101"/>
        <v>382658</v>
      </c>
      <c r="K224" s="3">
        <v>0</v>
      </c>
      <c r="L224" s="3">
        <f t="shared" si="102"/>
        <v>382658</v>
      </c>
      <c r="M224" s="3"/>
      <c r="N224" s="547" t="s">
        <v>3276</v>
      </c>
      <c r="O224" s="240" t="s">
        <v>226</v>
      </c>
      <c r="P224" t="s">
        <v>3085</v>
      </c>
      <c r="Q224" s="548">
        <v>46126</v>
      </c>
      <c r="R224" s="547" t="s">
        <v>3279</v>
      </c>
      <c r="S224" s="547" t="s">
        <v>3282</v>
      </c>
      <c r="T224" s="547">
        <v>180</v>
      </c>
      <c r="U224" s="547">
        <v>190</v>
      </c>
      <c r="V224" s="3">
        <f t="shared" si="138"/>
        <v>34200</v>
      </c>
      <c r="W224" s="3">
        <v>0</v>
      </c>
      <c r="X224" s="3">
        <f t="shared" si="139"/>
        <v>34200</v>
      </c>
      <c r="Y224" s="1">
        <f>_xlfn.XLOOKUP(R224,'Details PC'!AA:AA,'Details PC'!AI:AI)-X224</f>
        <v>259792</v>
      </c>
      <c r="AA224" t="s">
        <v>3085</v>
      </c>
      <c r="AB224" t="str">
        <f t="shared" si="126"/>
        <v>Jun-26</v>
      </c>
      <c r="AC224" s="242">
        <v>46196</v>
      </c>
      <c r="AD224" t="s">
        <v>3978</v>
      </c>
      <c r="AE224" t="s">
        <v>2415</v>
      </c>
      <c r="AG224" t="s">
        <v>4020</v>
      </c>
      <c r="AH224" s="242">
        <v>46186</v>
      </c>
      <c r="AI224" t="s">
        <v>4021</v>
      </c>
      <c r="AJ224" s="242">
        <v>46196</v>
      </c>
      <c r="AK224" t="s">
        <v>255</v>
      </c>
      <c r="AL224" t="s">
        <v>4022</v>
      </c>
      <c r="AM224" t="s">
        <v>3297</v>
      </c>
      <c r="AN224" s="3">
        <v>1</v>
      </c>
      <c r="AO224" s="3">
        <v>350</v>
      </c>
      <c r="AP224" s="3">
        <f t="shared" si="127"/>
        <v>350</v>
      </c>
      <c r="AQ224" s="3">
        <v>0</v>
      </c>
      <c r="AR224" s="3">
        <f t="shared" si="128"/>
        <v>350</v>
      </c>
    </row>
    <row r="225" spans="2:26" x14ac:dyDescent="0.3">
      <c r="B225" t="s">
        <v>2743</v>
      </c>
      <c r="C225" t="s">
        <v>174</v>
      </c>
      <c r="D225" t="str">
        <f t="shared" si="103"/>
        <v>Sep-25</v>
      </c>
      <c r="E225" s="242">
        <v>45927</v>
      </c>
      <c r="F225" t="s">
        <v>1870</v>
      </c>
      <c r="G225" t="s">
        <v>1671</v>
      </c>
      <c r="H225" s="233">
        <v>6290</v>
      </c>
      <c r="I225" s="233">
        <v>32.299999999999997</v>
      </c>
      <c r="J225" s="233">
        <f t="shared" si="101"/>
        <v>203166.99999999997</v>
      </c>
      <c r="K225" s="3">
        <v>0</v>
      </c>
      <c r="L225" s="3">
        <f t="shared" si="102"/>
        <v>203166.99999999997</v>
      </c>
      <c r="M225" s="3"/>
      <c r="N225" s="547" t="s">
        <v>3274</v>
      </c>
      <c r="O225" s="240" t="s">
        <v>226</v>
      </c>
      <c r="P225" t="s">
        <v>3085</v>
      </c>
      <c r="Q225" s="548">
        <v>46126</v>
      </c>
      <c r="R225" s="547" t="s">
        <v>3280</v>
      </c>
      <c r="S225" s="547" t="s">
        <v>2353</v>
      </c>
      <c r="T225" s="547">
        <v>30200</v>
      </c>
      <c r="U225" s="547">
        <v>33.25</v>
      </c>
      <c r="V225" s="3">
        <f t="shared" si="138"/>
        <v>1004150</v>
      </c>
      <c r="W225" s="3">
        <v>-723852.5</v>
      </c>
      <c r="X225" s="3">
        <f t="shared" si="139"/>
        <v>280297.5</v>
      </c>
      <c r="Y225" s="1">
        <f>_xlfn.XLOOKUP(R225,'Details PC'!AA:AA,'Details PC'!AI:AI)-X225</f>
        <v>0</v>
      </c>
    </row>
    <row r="226" spans="2:26" x14ac:dyDescent="0.3">
      <c r="B226" t="s">
        <v>2743</v>
      </c>
      <c r="C226" t="s">
        <v>174</v>
      </c>
      <c r="D226" t="str">
        <f t="shared" si="103"/>
        <v>Sep-25</v>
      </c>
      <c r="E226" s="242">
        <v>45927</v>
      </c>
      <c r="F226" t="s">
        <v>1871</v>
      </c>
      <c r="G226" t="s">
        <v>400</v>
      </c>
      <c r="H226" s="233">
        <v>10530</v>
      </c>
      <c r="I226" s="233">
        <v>32.65</v>
      </c>
      <c r="J226" s="233">
        <f t="shared" si="101"/>
        <v>343804.5</v>
      </c>
      <c r="K226" s="3">
        <v>0</v>
      </c>
      <c r="L226" s="3">
        <f t="shared" si="102"/>
        <v>343804.5</v>
      </c>
      <c r="M226" s="3"/>
      <c r="N226" s="547" t="s">
        <v>3276</v>
      </c>
      <c r="O226" s="240" t="s">
        <v>226</v>
      </c>
      <c r="P226" t="s">
        <v>3085</v>
      </c>
      <c r="Q226" s="548">
        <v>46127</v>
      </c>
      <c r="R226" s="547" t="s">
        <v>3281</v>
      </c>
      <c r="S226" s="547" t="s">
        <v>3282</v>
      </c>
      <c r="T226" s="547">
        <v>1</v>
      </c>
      <c r="U226" s="547">
        <v>35000</v>
      </c>
      <c r="V226" s="3">
        <f t="shared" si="138"/>
        <v>35000</v>
      </c>
      <c r="W226" s="3">
        <v>-5208</v>
      </c>
      <c r="X226" s="3">
        <f t="shared" si="139"/>
        <v>29792</v>
      </c>
      <c r="Y226" s="1">
        <f>_xlfn.XLOOKUP(R226,'Details PC'!AA:AA,'Details PC'!AI:AI)-X226</f>
        <v>5208</v>
      </c>
    </row>
    <row r="227" spans="2:26" x14ac:dyDescent="0.3">
      <c r="B227" t="s">
        <v>2743</v>
      </c>
      <c r="C227" t="s">
        <v>174</v>
      </c>
      <c r="D227" t="str">
        <f t="shared" si="103"/>
        <v>Sep-25</v>
      </c>
      <c r="E227" s="242">
        <v>45928</v>
      </c>
      <c r="F227" t="s">
        <v>1872</v>
      </c>
      <c r="G227" t="s">
        <v>250</v>
      </c>
      <c r="H227" s="233">
        <v>6370</v>
      </c>
      <c r="I227" s="233">
        <v>36</v>
      </c>
      <c r="J227" s="233">
        <f t="shared" si="101"/>
        <v>229320</v>
      </c>
      <c r="K227" s="3">
        <v>0</v>
      </c>
      <c r="L227" s="3">
        <f t="shared" si="102"/>
        <v>229320</v>
      </c>
      <c r="M227" s="3"/>
      <c r="N227" s="547" t="s">
        <v>3276</v>
      </c>
      <c r="O227" s="240" t="s">
        <v>226</v>
      </c>
      <c r="P227" t="s">
        <v>3085</v>
      </c>
      <c r="Q227" s="548">
        <v>46127</v>
      </c>
      <c r="R227" s="547" t="s">
        <v>3281</v>
      </c>
      <c r="S227" s="547" t="s">
        <v>3282</v>
      </c>
      <c r="T227" s="547">
        <v>1</v>
      </c>
      <c r="U227" s="547">
        <v>2000</v>
      </c>
      <c r="V227" s="3">
        <f t="shared" si="138"/>
        <v>2000</v>
      </c>
      <c r="W227" s="3">
        <v>0</v>
      </c>
      <c r="X227" s="3">
        <f t="shared" si="139"/>
        <v>2000</v>
      </c>
      <c r="Y227" s="1">
        <f>_xlfn.XLOOKUP(R227,'Details PC'!AA:AA,'Details PC'!AI:AI)-X227</f>
        <v>33000</v>
      </c>
    </row>
    <row r="228" spans="2:26" x14ac:dyDescent="0.3">
      <c r="B228" t="s">
        <v>2743</v>
      </c>
      <c r="C228" t="s">
        <v>174</v>
      </c>
      <c r="D228" t="str">
        <f t="shared" si="103"/>
        <v>Sep-25</v>
      </c>
      <c r="E228" s="242">
        <v>45929</v>
      </c>
      <c r="F228" t="s">
        <v>1922</v>
      </c>
      <c r="G228" t="s">
        <v>400</v>
      </c>
      <c r="H228" s="233">
        <v>20230</v>
      </c>
      <c r="I228" s="233">
        <v>32.65</v>
      </c>
      <c r="J228" s="233">
        <f t="shared" si="101"/>
        <v>660509.5</v>
      </c>
      <c r="K228" s="3">
        <v>0</v>
      </c>
      <c r="L228" s="3">
        <f t="shared" si="102"/>
        <v>660509.5</v>
      </c>
      <c r="M228" s="3"/>
      <c r="N228" t="s">
        <v>3022</v>
      </c>
      <c r="O228" s="240" t="s">
        <v>226</v>
      </c>
      <c r="P228" t="s">
        <v>3085</v>
      </c>
      <c r="Q228" s="242">
        <v>46119</v>
      </c>
      <c r="R228" t="s">
        <v>3284</v>
      </c>
      <c r="S228" t="s">
        <v>2353</v>
      </c>
      <c r="T228" s="3">
        <v>1</v>
      </c>
      <c r="U228" s="233">
        <v>-4688</v>
      </c>
      <c r="V228" s="3">
        <f t="shared" si="138"/>
        <v>-4688</v>
      </c>
      <c r="W228" s="3">
        <v>0</v>
      </c>
      <c r="X228" s="3">
        <f t="shared" ref="X228" si="140">V228+W228</f>
        <v>-4688</v>
      </c>
      <c r="Y228" s="1" t="e">
        <f>_xlfn.XLOOKUP(R228,'Details PC'!AA:AA,'Details PC'!AI:AI)-X228</f>
        <v>#N/A</v>
      </c>
    </row>
    <row r="229" spans="2:26" x14ac:dyDescent="0.3">
      <c r="B229" t="s">
        <v>2743</v>
      </c>
      <c r="C229" t="s">
        <v>174</v>
      </c>
      <c r="D229" t="str">
        <f t="shared" si="103"/>
        <v>Sep-25</v>
      </c>
      <c r="E229" s="242">
        <v>45929</v>
      </c>
      <c r="F229" t="s">
        <v>1923</v>
      </c>
      <c r="G229" t="s">
        <v>1671</v>
      </c>
      <c r="H229" s="233">
        <v>7640</v>
      </c>
      <c r="I229" s="233">
        <v>32.299999999999997</v>
      </c>
      <c r="J229" s="233">
        <f t="shared" si="101"/>
        <v>246771.99999999997</v>
      </c>
      <c r="K229" s="3">
        <v>0</v>
      </c>
      <c r="L229" s="3">
        <f t="shared" si="102"/>
        <v>246771.99999999997</v>
      </c>
      <c r="M229" s="3"/>
      <c r="O229" s="240" t="s">
        <v>226</v>
      </c>
      <c r="P229" t="s">
        <v>3085</v>
      </c>
      <c r="Q229" s="242">
        <v>46154</v>
      </c>
      <c r="R229" t="s">
        <v>3621</v>
      </c>
      <c r="S229" t="s">
        <v>2325</v>
      </c>
      <c r="T229" s="3">
        <v>108400</v>
      </c>
      <c r="U229" s="233">
        <v>32</v>
      </c>
      <c r="V229" s="3">
        <f t="shared" ref="V229:V231" si="141">U229*T229</f>
        <v>3468800</v>
      </c>
      <c r="W229" s="3">
        <v>0</v>
      </c>
      <c r="X229" s="3">
        <f t="shared" ref="X229" si="142">V229+W229</f>
        <v>3468800</v>
      </c>
      <c r="Y229" s="1">
        <f>_xlfn.XLOOKUP(R229,'Details PC'!AA:AA,'Details PC'!AI:AI)-X229</f>
        <v>0</v>
      </c>
    </row>
    <row r="230" spans="2:26" x14ac:dyDescent="0.3">
      <c r="B230" t="s">
        <v>2743</v>
      </c>
      <c r="C230" t="s">
        <v>174</v>
      </c>
      <c r="D230" t="str">
        <f t="shared" si="103"/>
        <v>Sep-25</v>
      </c>
      <c r="E230" s="242">
        <v>45930</v>
      </c>
      <c r="F230" t="s">
        <v>1924</v>
      </c>
      <c r="G230" t="s">
        <v>250</v>
      </c>
      <c r="H230" s="233">
        <v>7700</v>
      </c>
      <c r="I230" s="233">
        <v>34.799999999999997</v>
      </c>
      <c r="J230" s="233">
        <f t="shared" si="101"/>
        <v>267960</v>
      </c>
      <c r="K230" s="3">
        <v>0</v>
      </c>
      <c r="L230" s="3">
        <f t="shared" si="102"/>
        <v>267960</v>
      </c>
      <c r="M230" s="3"/>
      <c r="N230" t="s">
        <v>3721</v>
      </c>
      <c r="O230" s="240" t="s">
        <v>226</v>
      </c>
      <c r="P230" t="s">
        <v>3085</v>
      </c>
      <c r="Q230" s="242">
        <v>46169</v>
      </c>
      <c r="R230" t="s">
        <v>3722</v>
      </c>
      <c r="S230" t="s">
        <v>2353</v>
      </c>
      <c r="T230" s="3">
        <v>24380</v>
      </c>
      <c r="U230" s="233">
        <v>33</v>
      </c>
      <c r="V230" s="3">
        <f t="shared" si="141"/>
        <v>804540</v>
      </c>
      <c r="W230" s="3">
        <v>-14065.33</v>
      </c>
      <c r="X230" s="3">
        <f t="shared" ref="X230" si="143">V230+W230</f>
        <v>790474.67</v>
      </c>
      <c r="Y230" s="1">
        <f>_xlfn.XLOOKUP(R230,'Details PC'!AA:AA,'Details PC'!AI:AI)-X230</f>
        <v>0</v>
      </c>
    </row>
    <row r="231" spans="2:26" x14ac:dyDescent="0.3">
      <c r="B231" t="s">
        <v>2743</v>
      </c>
      <c r="C231" t="s">
        <v>174</v>
      </c>
      <c r="D231" t="str">
        <f t="shared" si="103"/>
        <v>Sep-25</v>
      </c>
      <c r="E231" s="242">
        <v>45930</v>
      </c>
      <c r="F231" t="s">
        <v>1925</v>
      </c>
      <c r="G231" t="s">
        <v>250</v>
      </c>
      <c r="H231" s="233">
        <v>8270</v>
      </c>
      <c r="I231" s="233">
        <v>36</v>
      </c>
      <c r="J231" s="233">
        <f t="shared" si="101"/>
        <v>297720</v>
      </c>
      <c r="K231" s="3">
        <v>0</v>
      </c>
      <c r="L231" s="3">
        <f t="shared" si="102"/>
        <v>297720</v>
      </c>
      <c r="M231" s="3"/>
      <c r="N231" t="s">
        <v>3744</v>
      </c>
      <c r="O231" s="240" t="s">
        <v>226</v>
      </c>
      <c r="P231" t="s">
        <v>3085</v>
      </c>
      <c r="Q231" s="242">
        <v>46171</v>
      </c>
      <c r="R231" t="s">
        <v>3745</v>
      </c>
      <c r="S231" t="s">
        <v>2353</v>
      </c>
      <c r="T231" s="3">
        <v>24320</v>
      </c>
      <c r="U231" s="233">
        <v>33</v>
      </c>
      <c r="V231" s="3">
        <f t="shared" si="141"/>
        <v>802560</v>
      </c>
      <c r="W231" s="3">
        <v>-24420</v>
      </c>
      <c r="X231" s="3">
        <f t="shared" ref="X231" si="144">V231+W231</f>
        <v>778140</v>
      </c>
      <c r="Y231" s="1">
        <f>_xlfn.XLOOKUP(R231,'Details PC'!AA:AA,'Details PC'!AI:AI)-X231</f>
        <v>0</v>
      </c>
    </row>
    <row r="232" spans="2:26" x14ac:dyDescent="0.3">
      <c r="B232" t="s">
        <v>2743</v>
      </c>
      <c r="C232" t="s">
        <v>174</v>
      </c>
      <c r="D232" t="str">
        <f t="shared" si="103"/>
        <v>Sep-25</v>
      </c>
      <c r="E232" s="242">
        <v>45930</v>
      </c>
      <c r="F232" t="s">
        <v>1926</v>
      </c>
      <c r="G232" t="s">
        <v>400</v>
      </c>
      <c r="H232" s="233">
        <v>24100</v>
      </c>
      <c r="I232" s="233">
        <v>32.65</v>
      </c>
      <c r="J232" s="233">
        <f t="shared" si="101"/>
        <v>786865</v>
      </c>
      <c r="K232" s="3">
        <v>0</v>
      </c>
      <c r="L232" s="3">
        <f t="shared" si="102"/>
        <v>786865</v>
      </c>
      <c r="M232" s="3"/>
      <c r="N232" t="s">
        <v>3978</v>
      </c>
      <c r="O232" s="240" t="s">
        <v>226</v>
      </c>
      <c r="P232" t="s">
        <v>3085</v>
      </c>
      <c r="Q232" s="242">
        <v>46174</v>
      </c>
      <c r="R232" t="s">
        <v>3979</v>
      </c>
      <c r="S232" t="s">
        <v>2353</v>
      </c>
      <c r="T232" s="3">
        <v>31200</v>
      </c>
      <c r="U232" s="233">
        <v>33</v>
      </c>
      <c r="V232" s="3">
        <f t="shared" ref="V232:V234" si="145">U232*T232</f>
        <v>1029600</v>
      </c>
      <c r="W232" s="3">
        <v>-886710</v>
      </c>
      <c r="X232" s="3">
        <f t="shared" ref="X232:X234" si="146">V232+W232</f>
        <v>142890</v>
      </c>
      <c r="Y232" s="1">
        <f>_xlfn.XLOOKUP(R232,'Details PC'!AA:AA,'Details PC'!AI:AI)-X232</f>
        <v>0</v>
      </c>
      <c r="Z232" s="1"/>
    </row>
    <row r="233" spans="2:26" x14ac:dyDescent="0.3">
      <c r="B233" t="s">
        <v>2743</v>
      </c>
      <c r="C233" t="s">
        <v>174</v>
      </c>
      <c r="D233" t="str">
        <f t="shared" si="103"/>
        <v>Sep-25</v>
      </c>
      <c r="E233" s="242">
        <v>45930</v>
      </c>
      <c r="F233" t="s">
        <v>1927</v>
      </c>
      <c r="G233" t="s">
        <v>1671</v>
      </c>
      <c r="H233" s="233">
        <v>7610</v>
      </c>
      <c r="I233" s="233">
        <v>32.299999999999997</v>
      </c>
      <c r="J233" s="233">
        <f t="shared" si="101"/>
        <v>245802.99999999997</v>
      </c>
      <c r="K233" s="3">
        <v>0</v>
      </c>
      <c r="L233" s="3">
        <f t="shared" si="102"/>
        <v>245802.99999999997</v>
      </c>
      <c r="M233" s="3"/>
      <c r="N233" t="s">
        <v>3980</v>
      </c>
      <c r="O233" s="240" t="s">
        <v>226</v>
      </c>
      <c r="P233" t="s">
        <v>3085</v>
      </c>
      <c r="Q233" s="242">
        <v>46180</v>
      </c>
      <c r="R233" t="s">
        <v>3981</v>
      </c>
      <c r="S233" t="s">
        <v>2353</v>
      </c>
      <c r="T233" s="3">
        <v>24475</v>
      </c>
      <c r="U233" s="233">
        <v>33</v>
      </c>
      <c r="V233" s="3">
        <f t="shared" si="145"/>
        <v>807675</v>
      </c>
      <c r="W233" s="3">
        <f>-4059-6105</f>
        <v>-10164</v>
      </c>
      <c r="X233" s="3">
        <f t="shared" si="146"/>
        <v>797511</v>
      </c>
      <c r="Y233" s="1">
        <f>_xlfn.XLOOKUP(R233,'Details PC'!AA:AA,'Details PC'!AI:AI)-X233</f>
        <v>0</v>
      </c>
    </row>
    <row r="234" spans="2:26" x14ac:dyDescent="0.3">
      <c r="B234" t="s">
        <v>2743</v>
      </c>
      <c r="C234" t="s">
        <v>174</v>
      </c>
      <c r="D234" t="str">
        <f t="shared" si="103"/>
        <v>Sep-25</v>
      </c>
      <c r="E234" s="242">
        <v>45930</v>
      </c>
      <c r="F234" t="s">
        <v>1942</v>
      </c>
      <c r="G234" t="s">
        <v>400</v>
      </c>
      <c r="H234" s="233">
        <v>15570</v>
      </c>
      <c r="I234" s="233">
        <v>32.65</v>
      </c>
      <c r="J234" s="233">
        <f t="shared" si="101"/>
        <v>508360.5</v>
      </c>
      <c r="K234" s="3">
        <v>0</v>
      </c>
      <c r="L234" s="3">
        <f t="shared" si="102"/>
        <v>508360.5</v>
      </c>
      <c r="M234" s="3"/>
      <c r="N234" t="s">
        <v>3982</v>
      </c>
      <c r="O234" s="240" t="s">
        <v>226</v>
      </c>
      <c r="P234" t="s">
        <v>3085</v>
      </c>
      <c r="Q234" s="242">
        <v>46184</v>
      </c>
      <c r="R234" t="s">
        <v>3983</v>
      </c>
      <c r="S234" t="s">
        <v>2353</v>
      </c>
      <c r="T234" s="3">
        <v>24960</v>
      </c>
      <c r="U234" s="233">
        <v>33</v>
      </c>
      <c r="V234" s="3">
        <f t="shared" si="145"/>
        <v>823680</v>
      </c>
      <c r="W234" s="3">
        <v>-19965</v>
      </c>
      <c r="X234" s="3">
        <f t="shared" si="146"/>
        <v>803715</v>
      </c>
      <c r="Y234" s="1">
        <f>_xlfn.XLOOKUP(R234,'Details PC'!AA:AA,'Details PC'!AI:AI)-X234</f>
        <v>0</v>
      </c>
    </row>
    <row r="235" spans="2:26" x14ac:dyDescent="0.3">
      <c r="B235" t="s">
        <v>2743</v>
      </c>
      <c r="C235" t="s">
        <v>174</v>
      </c>
      <c r="D235" t="str">
        <f t="shared" si="103"/>
        <v>Oct-25</v>
      </c>
      <c r="E235" s="242">
        <v>45931</v>
      </c>
      <c r="F235" t="s">
        <v>1943</v>
      </c>
      <c r="G235" t="s">
        <v>250</v>
      </c>
      <c r="H235" s="233">
        <v>6010</v>
      </c>
      <c r="I235" s="233">
        <v>32.5</v>
      </c>
      <c r="J235" s="233">
        <f t="shared" si="101"/>
        <v>195325</v>
      </c>
      <c r="K235" s="3">
        <v>0</v>
      </c>
      <c r="L235" s="3">
        <f t="shared" si="102"/>
        <v>195325</v>
      </c>
      <c r="M235" s="3"/>
    </row>
    <row r="236" spans="2:26" x14ac:dyDescent="0.3">
      <c r="B236" t="s">
        <v>2743</v>
      </c>
      <c r="C236" t="s">
        <v>174</v>
      </c>
      <c r="D236" t="str">
        <f t="shared" si="103"/>
        <v>Oct-25</v>
      </c>
      <c r="E236" s="242">
        <v>45931</v>
      </c>
      <c r="F236" t="s">
        <v>1944</v>
      </c>
      <c r="G236" t="s">
        <v>250</v>
      </c>
      <c r="H236" s="233">
        <v>4270</v>
      </c>
      <c r="I236" s="233">
        <v>36</v>
      </c>
      <c r="J236" s="233">
        <f t="shared" si="101"/>
        <v>153720</v>
      </c>
      <c r="K236" s="3">
        <v>0</v>
      </c>
      <c r="L236" s="3">
        <f t="shared" si="102"/>
        <v>153720</v>
      </c>
      <c r="M236" s="3"/>
    </row>
    <row r="237" spans="2:26" x14ac:dyDescent="0.3">
      <c r="B237" t="s">
        <v>2743</v>
      </c>
      <c r="C237" t="s">
        <v>174</v>
      </c>
      <c r="D237" t="str">
        <f t="shared" si="103"/>
        <v>Oct-25</v>
      </c>
      <c r="E237" s="242">
        <v>45931</v>
      </c>
      <c r="F237" t="s">
        <v>1945</v>
      </c>
      <c r="G237" t="s">
        <v>250</v>
      </c>
      <c r="H237" s="233">
        <v>5060</v>
      </c>
      <c r="I237" s="233">
        <v>36</v>
      </c>
      <c r="J237" s="233">
        <f t="shared" si="101"/>
        <v>182160</v>
      </c>
      <c r="K237" s="3">
        <v>0</v>
      </c>
      <c r="L237" s="3">
        <f t="shared" si="102"/>
        <v>182160</v>
      </c>
      <c r="M237" s="3"/>
    </row>
    <row r="238" spans="2:26" x14ac:dyDescent="0.3">
      <c r="B238" t="s">
        <v>2743</v>
      </c>
      <c r="C238" t="s">
        <v>174</v>
      </c>
      <c r="D238" t="str">
        <f t="shared" si="103"/>
        <v>Oct-25</v>
      </c>
      <c r="E238" s="242">
        <v>45933</v>
      </c>
      <c r="F238" t="s">
        <v>1946</v>
      </c>
      <c r="G238" t="s">
        <v>1961</v>
      </c>
      <c r="H238" s="233">
        <v>7670</v>
      </c>
      <c r="I238" s="233">
        <v>32.1</v>
      </c>
      <c r="J238" s="233">
        <f t="shared" si="101"/>
        <v>246207</v>
      </c>
      <c r="K238" s="3">
        <v>0</v>
      </c>
      <c r="L238" s="3">
        <f t="shared" si="102"/>
        <v>246207</v>
      </c>
      <c r="M238" s="3"/>
    </row>
    <row r="239" spans="2:26" x14ac:dyDescent="0.3">
      <c r="B239" t="s">
        <v>2743</v>
      </c>
      <c r="C239" t="s">
        <v>174</v>
      </c>
      <c r="D239" t="str">
        <f t="shared" si="103"/>
        <v>Oct-25</v>
      </c>
      <c r="E239" s="242">
        <v>45933</v>
      </c>
      <c r="F239" t="s">
        <v>1947</v>
      </c>
      <c r="G239" t="s">
        <v>1961</v>
      </c>
      <c r="H239" s="233">
        <v>6940</v>
      </c>
      <c r="I239" s="233">
        <v>32.1</v>
      </c>
      <c r="J239" s="233">
        <f t="shared" si="101"/>
        <v>222774</v>
      </c>
      <c r="K239" s="3">
        <v>0</v>
      </c>
      <c r="L239" s="3">
        <f t="shared" si="102"/>
        <v>222774</v>
      </c>
      <c r="M239" s="3"/>
    </row>
    <row r="240" spans="2:26" x14ac:dyDescent="0.3">
      <c r="B240" t="s">
        <v>1365</v>
      </c>
      <c r="C240" t="s">
        <v>174</v>
      </c>
      <c r="D240" t="str">
        <f t="shared" si="103"/>
        <v>Oct-25</v>
      </c>
      <c r="E240" s="242">
        <v>45933</v>
      </c>
      <c r="F240" t="s">
        <v>329</v>
      </c>
      <c r="G240" t="s">
        <v>395</v>
      </c>
      <c r="H240" s="233">
        <v>1</v>
      </c>
      <c r="I240" s="233">
        <v>160350</v>
      </c>
      <c r="J240" s="233">
        <f t="shared" si="101"/>
        <v>160350</v>
      </c>
      <c r="K240" s="3">
        <v>0</v>
      </c>
      <c r="L240" s="3">
        <f t="shared" si="102"/>
        <v>160350</v>
      </c>
      <c r="M240" s="3"/>
    </row>
    <row r="241" spans="2:13" x14ac:dyDescent="0.3">
      <c r="B241" t="s">
        <v>1365</v>
      </c>
      <c r="C241" t="s">
        <v>174</v>
      </c>
      <c r="D241" t="str">
        <f t="shared" si="103"/>
        <v>Oct-25</v>
      </c>
      <c r="E241" s="242">
        <v>45933</v>
      </c>
      <c r="F241" t="s">
        <v>329</v>
      </c>
      <c r="G241" t="s">
        <v>240</v>
      </c>
      <c r="H241" s="233">
        <v>1</v>
      </c>
      <c r="I241" s="233">
        <v>80600</v>
      </c>
      <c r="J241" s="233">
        <f t="shared" si="101"/>
        <v>80600</v>
      </c>
      <c r="K241" s="3">
        <v>0</v>
      </c>
      <c r="L241" s="3">
        <f t="shared" si="102"/>
        <v>80600</v>
      </c>
      <c r="M241" s="3"/>
    </row>
    <row r="242" spans="2:13" x14ac:dyDescent="0.3">
      <c r="B242" t="s">
        <v>2743</v>
      </c>
      <c r="C242" t="s">
        <v>174</v>
      </c>
      <c r="D242" t="str">
        <f t="shared" si="103"/>
        <v>Oct-25</v>
      </c>
      <c r="E242" s="242">
        <v>45933</v>
      </c>
      <c r="F242" t="s">
        <v>2074</v>
      </c>
      <c r="G242" t="s">
        <v>1671</v>
      </c>
      <c r="H242" s="233">
        <v>7560</v>
      </c>
      <c r="I242" s="233">
        <v>32.299999999999997</v>
      </c>
      <c r="J242" s="233">
        <f t="shared" si="101"/>
        <v>244187.99999999997</v>
      </c>
      <c r="K242" s="3">
        <v>0</v>
      </c>
      <c r="L242" s="3">
        <f t="shared" si="102"/>
        <v>244187.99999999997</v>
      </c>
      <c r="M242" s="3"/>
    </row>
    <row r="243" spans="2:13" x14ac:dyDescent="0.3">
      <c r="B243" t="s">
        <v>2743</v>
      </c>
      <c r="C243" t="s">
        <v>174</v>
      </c>
      <c r="D243" t="str">
        <f t="shared" si="103"/>
        <v>Oct-25</v>
      </c>
      <c r="E243" s="242">
        <v>45934</v>
      </c>
      <c r="F243" t="s">
        <v>1948</v>
      </c>
      <c r="G243" t="s">
        <v>1961</v>
      </c>
      <c r="H243" s="233">
        <v>8690</v>
      </c>
      <c r="I243" s="233">
        <v>32.1</v>
      </c>
      <c r="J243" s="233">
        <f t="shared" si="101"/>
        <v>278949</v>
      </c>
      <c r="K243" s="3">
        <v>0</v>
      </c>
      <c r="L243" s="3">
        <f t="shared" si="102"/>
        <v>278949</v>
      </c>
      <c r="M243" s="3"/>
    </row>
    <row r="244" spans="2:13" x14ac:dyDescent="0.3">
      <c r="B244" t="s">
        <v>2743</v>
      </c>
      <c r="C244" t="s">
        <v>174</v>
      </c>
      <c r="D244" t="str">
        <f t="shared" si="103"/>
        <v>Oct-25</v>
      </c>
      <c r="E244" s="242">
        <v>45934</v>
      </c>
      <c r="F244" t="s">
        <v>1949</v>
      </c>
      <c r="G244" t="s">
        <v>1961</v>
      </c>
      <c r="H244" s="233">
        <v>7430</v>
      </c>
      <c r="I244" s="233">
        <v>32.1</v>
      </c>
      <c r="J244" s="233">
        <f t="shared" si="101"/>
        <v>238503</v>
      </c>
      <c r="K244" s="3">
        <v>0</v>
      </c>
      <c r="L244" s="3">
        <f t="shared" si="102"/>
        <v>238503</v>
      </c>
      <c r="M244" s="3"/>
    </row>
    <row r="245" spans="2:13" x14ac:dyDescent="0.3">
      <c r="B245" t="s">
        <v>2743</v>
      </c>
      <c r="C245" t="s">
        <v>174</v>
      </c>
      <c r="D245" t="str">
        <f t="shared" si="103"/>
        <v>Oct-25</v>
      </c>
      <c r="E245" s="242">
        <v>45934</v>
      </c>
      <c r="F245" t="s">
        <v>1950</v>
      </c>
      <c r="G245" t="s">
        <v>1961</v>
      </c>
      <c r="H245" s="233">
        <v>8920</v>
      </c>
      <c r="I245" s="233">
        <v>32.1</v>
      </c>
      <c r="J245" s="233">
        <f t="shared" si="101"/>
        <v>286332</v>
      </c>
      <c r="K245" s="3">
        <v>0</v>
      </c>
      <c r="L245" s="3">
        <f t="shared" si="102"/>
        <v>286332</v>
      </c>
      <c r="M245" s="3"/>
    </row>
    <row r="246" spans="2:13" x14ac:dyDescent="0.3">
      <c r="B246" t="s">
        <v>2743</v>
      </c>
      <c r="C246" t="s">
        <v>174</v>
      </c>
      <c r="D246" t="str">
        <f t="shared" si="103"/>
        <v>Oct-25</v>
      </c>
      <c r="E246" s="242">
        <v>45934</v>
      </c>
      <c r="F246" t="s">
        <v>1951</v>
      </c>
      <c r="G246" t="s">
        <v>400</v>
      </c>
      <c r="H246" s="233">
        <v>14890</v>
      </c>
      <c r="I246" s="233">
        <v>32.799999999999997</v>
      </c>
      <c r="J246" s="233">
        <f t="shared" si="101"/>
        <v>488391.99999999994</v>
      </c>
      <c r="K246" s="3">
        <v>0</v>
      </c>
      <c r="L246" s="3">
        <f t="shared" si="102"/>
        <v>488391.99999999994</v>
      </c>
      <c r="M246" s="3"/>
    </row>
    <row r="247" spans="2:13" x14ac:dyDescent="0.3">
      <c r="B247" t="s">
        <v>2743</v>
      </c>
      <c r="C247" t="s">
        <v>174</v>
      </c>
      <c r="D247" t="str">
        <f t="shared" si="103"/>
        <v>Oct-25</v>
      </c>
      <c r="E247" s="242">
        <v>45934</v>
      </c>
      <c r="F247" t="s">
        <v>1952</v>
      </c>
      <c r="G247" t="s">
        <v>1961</v>
      </c>
      <c r="H247" s="233">
        <v>8150</v>
      </c>
      <c r="I247" s="233">
        <v>32.1</v>
      </c>
      <c r="J247" s="233">
        <f t="shared" si="101"/>
        <v>261615</v>
      </c>
      <c r="K247" s="3">
        <v>0</v>
      </c>
      <c r="L247" s="3">
        <f t="shared" si="102"/>
        <v>261615</v>
      </c>
      <c r="M247" s="3"/>
    </row>
    <row r="248" spans="2:13" x14ac:dyDescent="0.3">
      <c r="B248" t="s">
        <v>2743</v>
      </c>
      <c r="C248" t="s">
        <v>174</v>
      </c>
      <c r="D248" t="str">
        <f t="shared" si="103"/>
        <v>Oct-25</v>
      </c>
      <c r="E248" s="242">
        <v>45934</v>
      </c>
      <c r="F248" t="s">
        <v>1953</v>
      </c>
      <c r="G248" t="s">
        <v>1961</v>
      </c>
      <c r="H248" s="233">
        <v>8830</v>
      </c>
      <c r="I248" s="233">
        <v>32.1</v>
      </c>
      <c r="J248" s="233">
        <f t="shared" si="101"/>
        <v>283443</v>
      </c>
      <c r="K248" s="3">
        <v>0</v>
      </c>
      <c r="L248" s="3">
        <f t="shared" si="102"/>
        <v>283443</v>
      </c>
      <c r="M248" s="3"/>
    </row>
    <row r="249" spans="2:13" x14ac:dyDescent="0.3">
      <c r="B249" t="s">
        <v>2743</v>
      </c>
      <c r="C249" t="s">
        <v>174</v>
      </c>
      <c r="D249" t="str">
        <f t="shared" si="103"/>
        <v>Oct-25</v>
      </c>
      <c r="E249" s="242">
        <v>45934</v>
      </c>
      <c r="F249" t="s">
        <v>1954</v>
      </c>
      <c r="G249" t="s">
        <v>250</v>
      </c>
      <c r="H249" s="233">
        <v>6410</v>
      </c>
      <c r="I249" s="233">
        <v>33</v>
      </c>
      <c r="J249" s="233">
        <f t="shared" si="101"/>
        <v>211530</v>
      </c>
      <c r="K249" s="3">
        <v>0</v>
      </c>
      <c r="L249" s="3">
        <f t="shared" si="102"/>
        <v>211530</v>
      </c>
      <c r="M249" s="3"/>
    </row>
    <row r="250" spans="2:13" x14ac:dyDescent="0.3">
      <c r="B250" t="s">
        <v>2743</v>
      </c>
      <c r="C250" t="s">
        <v>174</v>
      </c>
      <c r="D250" t="str">
        <f t="shared" si="103"/>
        <v>Oct-25</v>
      </c>
      <c r="E250" s="242">
        <v>45934</v>
      </c>
      <c r="F250" t="s">
        <v>1955</v>
      </c>
      <c r="G250" t="s">
        <v>400</v>
      </c>
      <c r="H250" s="233">
        <v>31120</v>
      </c>
      <c r="I250" s="233">
        <v>32.799999999999997</v>
      </c>
      <c r="J250" s="233">
        <f t="shared" si="101"/>
        <v>1020735.9999999999</v>
      </c>
      <c r="K250" s="3">
        <v>0</v>
      </c>
      <c r="L250" s="3">
        <f t="shared" si="102"/>
        <v>1020735.9999999999</v>
      </c>
      <c r="M250" s="3"/>
    </row>
    <row r="251" spans="2:13" x14ac:dyDescent="0.3">
      <c r="B251" t="s">
        <v>2743</v>
      </c>
      <c r="C251" t="s">
        <v>174</v>
      </c>
      <c r="D251" t="str">
        <f t="shared" si="103"/>
        <v>Oct-25</v>
      </c>
      <c r="E251" s="242">
        <v>45934</v>
      </c>
      <c r="F251" t="s">
        <v>1960</v>
      </c>
      <c r="G251" t="s">
        <v>250</v>
      </c>
      <c r="H251" s="233">
        <v>6190</v>
      </c>
      <c r="I251" s="233">
        <v>36</v>
      </c>
      <c r="J251" s="233">
        <f t="shared" si="101"/>
        <v>222840</v>
      </c>
      <c r="K251" s="3">
        <v>-18570</v>
      </c>
      <c r="L251" s="3">
        <f t="shared" si="102"/>
        <v>204270</v>
      </c>
      <c r="M251" s="3"/>
    </row>
    <row r="252" spans="2:13" x14ac:dyDescent="0.3">
      <c r="B252" t="s">
        <v>2743</v>
      </c>
      <c r="C252" t="s">
        <v>174</v>
      </c>
      <c r="D252" t="str">
        <f t="shared" si="103"/>
        <v>Oct-25</v>
      </c>
      <c r="E252" s="242">
        <v>45935</v>
      </c>
      <c r="F252" t="s">
        <v>1956</v>
      </c>
      <c r="G252" t="s">
        <v>1961</v>
      </c>
      <c r="H252" s="233">
        <v>10320</v>
      </c>
      <c r="I252" s="233">
        <v>32.1</v>
      </c>
      <c r="J252" s="233">
        <f t="shared" si="101"/>
        <v>331272</v>
      </c>
      <c r="K252" s="3">
        <v>0</v>
      </c>
      <c r="L252" s="3">
        <f t="shared" si="102"/>
        <v>331272</v>
      </c>
      <c r="M252" s="3"/>
    </row>
    <row r="253" spans="2:13" x14ac:dyDescent="0.3">
      <c r="B253" t="s">
        <v>2743</v>
      </c>
      <c r="C253" t="s">
        <v>174</v>
      </c>
      <c r="D253" t="str">
        <f t="shared" si="103"/>
        <v>Oct-25</v>
      </c>
      <c r="E253" s="242">
        <v>45935</v>
      </c>
      <c r="F253" t="s">
        <v>1957</v>
      </c>
      <c r="G253" t="s">
        <v>1961</v>
      </c>
      <c r="H253" s="233">
        <v>8220</v>
      </c>
      <c r="I253" s="233">
        <v>32.1</v>
      </c>
      <c r="J253" s="233">
        <f t="shared" si="101"/>
        <v>263862</v>
      </c>
      <c r="K253" s="3">
        <v>0</v>
      </c>
      <c r="L253" s="3">
        <f t="shared" si="102"/>
        <v>263862</v>
      </c>
      <c r="M253" s="3"/>
    </row>
    <row r="254" spans="2:13" x14ac:dyDescent="0.3">
      <c r="B254" t="s">
        <v>2743</v>
      </c>
      <c r="C254" t="s">
        <v>174</v>
      </c>
      <c r="D254" t="str">
        <f t="shared" si="103"/>
        <v>Oct-25</v>
      </c>
      <c r="E254" s="242">
        <v>45935</v>
      </c>
      <c r="F254" t="s">
        <v>1958</v>
      </c>
      <c r="G254" t="s">
        <v>400</v>
      </c>
      <c r="H254" s="233">
        <v>9550</v>
      </c>
      <c r="I254" s="233">
        <v>32.799999999999997</v>
      </c>
      <c r="J254" s="233">
        <f t="shared" si="101"/>
        <v>313240</v>
      </c>
      <c r="K254" s="3">
        <v>0</v>
      </c>
      <c r="L254" s="3">
        <f t="shared" si="102"/>
        <v>313240</v>
      </c>
      <c r="M254" s="3"/>
    </row>
    <row r="255" spans="2:13" x14ac:dyDescent="0.3">
      <c r="B255" t="s">
        <v>2743</v>
      </c>
      <c r="C255" t="s">
        <v>174</v>
      </c>
      <c r="D255" t="str">
        <f t="shared" si="103"/>
        <v>Oct-25</v>
      </c>
      <c r="E255" s="242">
        <v>45935</v>
      </c>
      <c r="F255" t="s">
        <v>1959</v>
      </c>
      <c r="G255" t="s">
        <v>400</v>
      </c>
      <c r="H255" s="233">
        <v>23400</v>
      </c>
      <c r="I255" s="233">
        <v>32.799999999999997</v>
      </c>
      <c r="J255" s="233">
        <f t="shared" si="101"/>
        <v>767519.99999999988</v>
      </c>
      <c r="K255" s="3">
        <v>0</v>
      </c>
      <c r="L255" s="3">
        <f t="shared" si="102"/>
        <v>767519.99999999988</v>
      </c>
      <c r="M255" s="3"/>
    </row>
    <row r="256" spans="2:13" x14ac:dyDescent="0.3">
      <c r="B256" t="s">
        <v>2743</v>
      </c>
      <c r="C256" t="s">
        <v>174</v>
      </c>
      <c r="D256" t="str">
        <f t="shared" si="103"/>
        <v>Oct-25</v>
      </c>
      <c r="E256" s="242">
        <v>45936</v>
      </c>
      <c r="F256" t="s">
        <v>2007</v>
      </c>
      <c r="G256" t="s">
        <v>1961</v>
      </c>
      <c r="H256" s="233">
        <v>8330</v>
      </c>
      <c r="I256" s="233">
        <v>32.1</v>
      </c>
      <c r="J256" s="233">
        <f t="shared" si="101"/>
        <v>267393</v>
      </c>
      <c r="K256" s="3">
        <v>0</v>
      </c>
      <c r="L256" s="3">
        <f t="shared" si="102"/>
        <v>267393</v>
      </c>
      <c r="M256" s="3"/>
    </row>
    <row r="257" spans="2:13" x14ac:dyDescent="0.3">
      <c r="B257" t="s">
        <v>2743</v>
      </c>
      <c r="C257" t="s">
        <v>174</v>
      </c>
      <c r="D257" t="str">
        <f t="shared" si="103"/>
        <v>Oct-25</v>
      </c>
      <c r="E257" s="242">
        <v>45936</v>
      </c>
      <c r="F257" t="s">
        <v>2008</v>
      </c>
      <c r="G257" t="s">
        <v>1961</v>
      </c>
      <c r="H257" s="233">
        <v>7720</v>
      </c>
      <c r="I257" s="233">
        <v>32.1</v>
      </c>
      <c r="J257" s="233">
        <f t="shared" si="101"/>
        <v>247812</v>
      </c>
      <c r="K257" s="3">
        <v>0</v>
      </c>
      <c r="L257" s="3">
        <f t="shared" si="102"/>
        <v>247812</v>
      </c>
      <c r="M257" s="3"/>
    </row>
    <row r="258" spans="2:13" x14ac:dyDescent="0.3">
      <c r="B258" t="s">
        <v>2743</v>
      </c>
      <c r="C258" t="s">
        <v>174</v>
      </c>
      <c r="D258" t="str">
        <f t="shared" si="103"/>
        <v>Oct-25</v>
      </c>
      <c r="E258" s="242">
        <v>45936</v>
      </c>
      <c r="F258" t="s">
        <v>2009</v>
      </c>
      <c r="G258" t="s">
        <v>1961</v>
      </c>
      <c r="H258" s="233">
        <v>8390</v>
      </c>
      <c r="I258" s="233">
        <v>32.1</v>
      </c>
      <c r="J258" s="233">
        <f t="shared" si="101"/>
        <v>269319</v>
      </c>
      <c r="K258" s="3">
        <v>0</v>
      </c>
      <c r="L258" s="3">
        <f t="shared" si="102"/>
        <v>269319</v>
      </c>
      <c r="M258" s="3"/>
    </row>
    <row r="259" spans="2:13" x14ac:dyDescent="0.3">
      <c r="B259" t="s">
        <v>2743</v>
      </c>
      <c r="C259" t="s">
        <v>174</v>
      </c>
      <c r="D259" t="str">
        <f t="shared" si="103"/>
        <v>Oct-25</v>
      </c>
      <c r="E259" s="242">
        <v>45936</v>
      </c>
      <c r="F259" t="s">
        <v>2010</v>
      </c>
      <c r="G259" t="s">
        <v>400</v>
      </c>
      <c r="H259" s="233">
        <v>18900</v>
      </c>
      <c r="I259" s="233">
        <v>32.799999999999997</v>
      </c>
      <c r="J259" s="233">
        <f t="shared" ref="J259:J322" si="147">H259*I259</f>
        <v>619920</v>
      </c>
      <c r="K259" s="3">
        <v>0</v>
      </c>
      <c r="L259" s="3">
        <f t="shared" si="102"/>
        <v>619920</v>
      </c>
      <c r="M259" s="3"/>
    </row>
    <row r="260" spans="2:13" x14ac:dyDescent="0.3">
      <c r="B260" t="s">
        <v>2743</v>
      </c>
      <c r="C260" t="s">
        <v>174</v>
      </c>
      <c r="D260" t="str">
        <f t="shared" si="103"/>
        <v>Oct-25</v>
      </c>
      <c r="E260" s="242">
        <v>45936</v>
      </c>
      <c r="F260" t="s">
        <v>2011</v>
      </c>
      <c r="G260" t="s">
        <v>400</v>
      </c>
      <c r="H260" s="233">
        <v>23120</v>
      </c>
      <c r="I260" s="233">
        <v>32.799999999999997</v>
      </c>
      <c r="J260" s="233">
        <f t="shared" si="147"/>
        <v>758335.99999999988</v>
      </c>
      <c r="K260" s="3">
        <v>0</v>
      </c>
      <c r="L260" s="3">
        <f t="shared" ref="L260:L323" si="148">J260+K260</f>
        <v>758335.99999999988</v>
      </c>
      <c r="M260" s="3"/>
    </row>
    <row r="261" spans="2:13" x14ac:dyDescent="0.3">
      <c r="B261" t="s">
        <v>2743</v>
      </c>
      <c r="C261" t="s">
        <v>174</v>
      </c>
      <c r="D261" t="str">
        <f t="shared" ref="D261:D324" si="149">TEXT(E261,"mmm-yy")</f>
        <v>Oct-25</v>
      </c>
      <c r="E261" s="242">
        <v>45936</v>
      </c>
      <c r="F261" t="s">
        <v>2012</v>
      </c>
      <c r="G261" t="s">
        <v>1671</v>
      </c>
      <c r="H261" s="233">
        <v>6030</v>
      </c>
      <c r="I261" s="233">
        <v>32.299999999999997</v>
      </c>
      <c r="J261" s="233">
        <f t="shared" si="147"/>
        <v>194768.99999999997</v>
      </c>
      <c r="K261" s="3">
        <v>0</v>
      </c>
      <c r="L261" s="3">
        <f t="shared" si="148"/>
        <v>194768.99999999997</v>
      </c>
      <c r="M261" s="3"/>
    </row>
    <row r="262" spans="2:13" x14ac:dyDescent="0.3">
      <c r="B262" t="s">
        <v>1365</v>
      </c>
      <c r="C262" t="s">
        <v>174</v>
      </c>
      <c r="D262" t="str">
        <f t="shared" si="149"/>
        <v>Oct-25</v>
      </c>
      <c r="E262" s="242">
        <v>45936</v>
      </c>
      <c r="G262" t="s">
        <v>2054</v>
      </c>
      <c r="H262" s="233">
        <v>1</v>
      </c>
      <c r="I262" s="233">
        <v>113312.5</v>
      </c>
      <c r="J262" s="233">
        <f t="shared" si="147"/>
        <v>113312.5</v>
      </c>
      <c r="K262" s="3">
        <v>0</v>
      </c>
      <c r="L262" s="3">
        <f t="shared" si="148"/>
        <v>113312.5</v>
      </c>
      <c r="M262" s="3"/>
    </row>
    <row r="263" spans="2:13" x14ac:dyDescent="0.3">
      <c r="B263" t="s">
        <v>2743</v>
      </c>
      <c r="C263" t="s">
        <v>174</v>
      </c>
      <c r="D263" t="str">
        <f t="shared" si="149"/>
        <v>Oct-25</v>
      </c>
      <c r="E263" s="242">
        <v>45937</v>
      </c>
      <c r="F263" t="s">
        <v>2013</v>
      </c>
      <c r="G263" t="s">
        <v>1961</v>
      </c>
      <c r="H263" s="233">
        <v>10150</v>
      </c>
      <c r="I263" s="233">
        <v>32.1</v>
      </c>
      <c r="J263" s="233">
        <f t="shared" si="147"/>
        <v>325815</v>
      </c>
      <c r="K263" s="3">
        <v>0</v>
      </c>
      <c r="L263" s="3">
        <f t="shared" si="148"/>
        <v>325815</v>
      </c>
      <c r="M263" s="3"/>
    </row>
    <row r="264" spans="2:13" x14ac:dyDescent="0.3">
      <c r="B264" t="s">
        <v>2743</v>
      </c>
      <c r="C264" t="s">
        <v>174</v>
      </c>
      <c r="D264" t="str">
        <f t="shared" si="149"/>
        <v>Oct-25</v>
      </c>
      <c r="E264" s="242">
        <v>45937</v>
      </c>
      <c r="F264" t="s">
        <v>2014</v>
      </c>
      <c r="G264" t="s">
        <v>1961</v>
      </c>
      <c r="H264" s="233">
        <v>10240</v>
      </c>
      <c r="I264" s="233">
        <v>32.1</v>
      </c>
      <c r="J264" s="233">
        <f t="shared" si="147"/>
        <v>328704</v>
      </c>
      <c r="K264" s="3">
        <v>0</v>
      </c>
      <c r="L264" s="3">
        <f t="shared" si="148"/>
        <v>328704</v>
      </c>
      <c r="M264" s="3"/>
    </row>
    <row r="265" spans="2:13" x14ac:dyDescent="0.3">
      <c r="B265" t="s">
        <v>2743</v>
      </c>
      <c r="C265" t="s">
        <v>174</v>
      </c>
      <c r="D265" t="str">
        <f t="shared" si="149"/>
        <v>Oct-25</v>
      </c>
      <c r="E265" s="242">
        <v>45937</v>
      </c>
      <c r="F265" t="s">
        <v>2015</v>
      </c>
      <c r="G265" t="s">
        <v>400</v>
      </c>
      <c r="H265" s="233">
        <v>25850</v>
      </c>
      <c r="I265" s="233">
        <v>32.799999999999997</v>
      </c>
      <c r="J265" s="233">
        <f t="shared" si="147"/>
        <v>847879.99999999988</v>
      </c>
      <c r="K265" s="3">
        <v>0</v>
      </c>
      <c r="L265" s="3">
        <f t="shared" si="148"/>
        <v>847879.99999999988</v>
      </c>
      <c r="M265" s="3"/>
    </row>
    <row r="266" spans="2:13" x14ac:dyDescent="0.3">
      <c r="B266" t="s">
        <v>2743</v>
      </c>
      <c r="C266" t="s">
        <v>174</v>
      </c>
      <c r="D266" t="str">
        <f t="shared" si="149"/>
        <v>Oct-25</v>
      </c>
      <c r="E266" s="242">
        <v>45937</v>
      </c>
      <c r="F266" t="s">
        <v>2016</v>
      </c>
      <c r="G266" t="s">
        <v>400</v>
      </c>
      <c r="H266" s="233">
        <v>17070</v>
      </c>
      <c r="I266" s="233">
        <v>32.799999999999997</v>
      </c>
      <c r="J266" s="233">
        <f t="shared" si="147"/>
        <v>559896</v>
      </c>
      <c r="K266" s="3">
        <v>0</v>
      </c>
      <c r="L266" s="3">
        <f t="shared" si="148"/>
        <v>559896</v>
      </c>
      <c r="M266" s="3"/>
    </row>
    <row r="267" spans="2:13" x14ac:dyDescent="0.3">
      <c r="B267" t="s">
        <v>1365</v>
      </c>
      <c r="C267" t="s">
        <v>174</v>
      </c>
      <c r="D267" t="str">
        <f t="shared" si="149"/>
        <v>Oct-25</v>
      </c>
      <c r="E267" s="242">
        <v>45937</v>
      </c>
      <c r="G267" t="s">
        <v>462</v>
      </c>
      <c r="H267" s="233">
        <v>376</v>
      </c>
      <c r="I267" s="233">
        <v>240</v>
      </c>
      <c r="J267" s="233">
        <f t="shared" si="147"/>
        <v>90240</v>
      </c>
      <c r="K267" s="3">
        <v>0</v>
      </c>
      <c r="L267" s="3">
        <f t="shared" si="148"/>
        <v>90240</v>
      </c>
      <c r="M267" s="3"/>
    </row>
    <row r="268" spans="2:13" x14ac:dyDescent="0.3">
      <c r="B268" t="s">
        <v>1365</v>
      </c>
      <c r="C268" t="s">
        <v>174</v>
      </c>
      <c r="D268" t="str">
        <f t="shared" si="149"/>
        <v>Oct-25</v>
      </c>
      <c r="E268" s="242">
        <v>45937</v>
      </c>
      <c r="G268" t="s">
        <v>462</v>
      </c>
      <c r="H268" s="233">
        <v>37</v>
      </c>
      <c r="I268" s="233">
        <v>1850</v>
      </c>
      <c r="J268" s="233">
        <f t="shared" si="147"/>
        <v>68450</v>
      </c>
      <c r="K268" s="3">
        <v>0</v>
      </c>
      <c r="L268" s="3">
        <f t="shared" si="148"/>
        <v>68450</v>
      </c>
      <c r="M268" s="3"/>
    </row>
    <row r="269" spans="2:13" x14ac:dyDescent="0.3">
      <c r="B269" t="s">
        <v>2743</v>
      </c>
      <c r="C269" t="s">
        <v>174</v>
      </c>
      <c r="D269" t="str">
        <f t="shared" si="149"/>
        <v>Oct-25</v>
      </c>
      <c r="E269" s="242">
        <v>45938</v>
      </c>
      <c r="F269" t="s">
        <v>2017</v>
      </c>
      <c r="G269" t="s">
        <v>1961</v>
      </c>
      <c r="H269" s="233">
        <v>10910</v>
      </c>
      <c r="I269" s="233">
        <v>32.1</v>
      </c>
      <c r="J269" s="233">
        <f t="shared" si="147"/>
        <v>350211</v>
      </c>
      <c r="K269" s="3">
        <v>0</v>
      </c>
      <c r="L269" s="3">
        <f t="shared" si="148"/>
        <v>350211</v>
      </c>
      <c r="M269" s="3"/>
    </row>
    <row r="270" spans="2:13" x14ac:dyDescent="0.3">
      <c r="B270" t="s">
        <v>2743</v>
      </c>
      <c r="C270" t="s">
        <v>174</v>
      </c>
      <c r="D270" t="str">
        <f t="shared" si="149"/>
        <v>Oct-25</v>
      </c>
      <c r="E270" s="242">
        <v>45938</v>
      </c>
      <c r="F270" t="s">
        <v>2018</v>
      </c>
      <c r="G270" t="s">
        <v>1961</v>
      </c>
      <c r="H270" s="233">
        <v>9620</v>
      </c>
      <c r="I270" s="233">
        <v>32.1</v>
      </c>
      <c r="J270" s="233">
        <f t="shared" si="147"/>
        <v>308802</v>
      </c>
      <c r="K270" s="3">
        <v>0</v>
      </c>
      <c r="L270" s="3">
        <f t="shared" si="148"/>
        <v>308802</v>
      </c>
      <c r="M270" s="3"/>
    </row>
    <row r="271" spans="2:13" x14ac:dyDescent="0.3">
      <c r="B271" t="s">
        <v>2743</v>
      </c>
      <c r="C271" t="s">
        <v>174</v>
      </c>
      <c r="D271" t="str">
        <f t="shared" si="149"/>
        <v>Oct-25</v>
      </c>
      <c r="E271" s="242">
        <v>45938</v>
      </c>
      <c r="F271" t="s">
        <v>2019</v>
      </c>
      <c r="G271" t="s">
        <v>1961</v>
      </c>
      <c r="H271" s="233">
        <v>9730</v>
      </c>
      <c r="I271" s="233">
        <v>32.1</v>
      </c>
      <c r="J271" s="233">
        <f t="shared" si="147"/>
        <v>312333</v>
      </c>
      <c r="K271" s="3">
        <v>0</v>
      </c>
      <c r="L271" s="3">
        <f t="shared" si="148"/>
        <v>312333</v>
      </c>
      <c r="M271" s="3"/>
    </row>
    <row r="272" spans="2:13" x14ac:dyDescent="0.3">
      <c r="B272" t="s">
        <v>2743</v>
      </c>
      <c r="C272" t="s">
        <v>174</v>
      </c>
      <c r="D272" t="str">
        <f t="shared" si="149"/>
        <v>Oct-25</v>
      </c>
      <c r="E272" s="242">
        <v>45938</v>
      </c>
      <c r="F272" t="s">
        <v>2020</v>
      </c>
      <c r="G272" t="s">
        <v>400</v>
      </c>
      <c r="H272" s="233">
        <v>21780</v>
      </c>
      <c r="I272" s="233">
        <v>32.799999999999997</v>
      </c>
      <c r="J272" s="233">
        <f t="shared" si="147"/>
        <v>714383.99999999988</v>
      </c>
      <c r="K272" s="3">
        <v>0</v>
      </c>
      <c r="L272" s="3">
        <f t="shared" si="148"/>
        <v>714383.99999999988</v>
      </c>
      <c r="M272" s="3"/>
    </row>
    <row r="273" spans="2:13" x14ac:dyDescent="0.3">
      <c r="B273" t="s">
        <v>2743</v>
      </c>
      <c r="C273" t="s">
        <v>174</v>
      </c>
      <c r="D273" t="str">
        <f t="shared" si="149"/>
        <v>Oct-25</v>
      </c>
      <c r="E273" s="242">
        <v>45938</v>
      </c>
      <c r="F273" t="s">
        <v>2021</v>
      </c>
      <c r="G273" t="s">
        <v>400</v>
      </c>
      <c r="H273" s="233">
        <v>19640</v>
      </c>
      <c r="I273" s="233">
        <v>32.799999999999997</v>
      </c>
      <c r="J273" s="233">
        <f t="shared" si="147"/>
        <v>644192</v>
      </c>
      <c r="K273" s="3">
        <v>0</v>
      </c>
      <c r="L273" s="3">
        <f t="shared" si="148"/>
        <v>644192</v>
      </c>
      <c r="M273" s="3"/>
    </row>
    <row r="274" spans="2:13" x14ac:dyDescent="0.3">
      <c r="B274" t="s">
        <v>2743</v>
      </c>
      <c r="C274" t="s">
        <v>174</v>
      </c>
      <c r="D274" t="str">
        <f t="shared" si="149"/>
        <v>Oct-25</v>
      </c>
      <c r="E274" s="242">
        <v>45938</v>
      </c>
      <c r="F274" t="s">
        <v>2022</v>
      </c>
      <c r="G274" t="s">
        <v>1961</v>
      </c>
      <c r="H274" s="233">
        <v>12120</v>
      </c>
      <c r="I274" s="233">
        <v>32.1</v>
      </c>
      <c r="J274" s="233">
        <f t="shared" si="147"/>
        <v>389052</v>
      </c>
      <c r="K274" s="3">
        <v>0</v>
      </c>
      <c r="L274" s="3">
        <f t="shared" si="148"/>
        <v>389052</v>
      </c>
      <c r="M274" s="3"/>
    </row>
    <row r="275" spans="2:13" x14ac:dyDescent="0.3">
      <c r="B275" t="s">
        <v>2743</v>
      </c>
      <c r="C275" t="s">
        <v>174</v>
      </c>
      <c r="D275" t="str">
        <f t="shared" si="149"/>
        <v>Oct-25</v>
      </c>
      <c r="E275" s="242">
        <v>45939</v>
      </c>
      <c r="F275" t="s">
        <v>2023</v>
      </c>
      <c r="G275" t="s">
        <v>1961</v>
      </c>
      <c r="H275" s="233">
        <v>6810</v>
      </c>
      <c r="I275" s="233">
        <v>32.1</v>
      </c>
      <c r="J275" s="233">
        <f t="shared" si="147"/>
        <v>218601</v>
      </c>
      <c r="K275" s="3">
        <v>0</v>
      </c>
      <c r="L275" s="3">
        <f t="shared" si="148"/>
        <v>218601</v>
      </c>
      <c r="M275" s="3"/>
    </row>
    <row r="276" spans="2:13" x14ac:dyDescent="0.3">
      <c r="B276" t="s">
        <v>2743</v>
      </c>
      <c r="C276" t="s">
        <v>174</v>
      </c>
      <c r="D276" t="str">
        <f t="shared" si="149"/>
        <v>Oct-25</v>
      </c>
      <c r="E276" s="242">
        <v>45939</v>
      </c>
      <c r="F276" t="s">
        <v>2024</v>
      </c>
      <c r="G276" t="s">
        <v>1961</v>
      </c>
      <c r="H276" s="233">
        <v>6740</v>
      </c>
      <c r="I276" s="233">
        <v>32.1</v>
      </c>
      <c r="J276" s="233">
        <f t="shared" si="147"/>
        <v>216354</v>
      </c>
      <c r="K276" s="3">
        <v>0</v>
      </c>
      <c r="L276" s="3">
        <f t="shared" si="148"/>
        <v>216354</v>
      </c>
      <c r="M276" s="3"/>
    </row>
    <row r="277" spans="2:13" x14ac:dyDescent="0.3">
      <c r="B277" t="s">
        <v>2743</v>
      </c>
      <c r="C277" t="s">
        <v>174</v>
      </c>
      <c r="D277" t="str">
        <f t="shared" si="149"/>
        <v>Oct-25</v>
      </c>
      <c r="E277" s="242">
        <v>45939</v>
      </c>
      <c r="F277" t="s">
        <v>2025</v>
      </c>
      <c r="G277" t="s">
        <v>1961</v>
      </c>
      <c r="H277" s="233">
        <v>7600</v>
      </c>
      <c r="I277" s="233">
        <v>32.1</v>
      </c>
      <c r="J277" s="233">
        <f t="shared" si="147"/>
        <v>243960</v>
      </c>
      <c r="K277" s="3">
        <v>0</v>
      </c>
      <c r="L277" s="3">
        <f t="shared" si="148"/>
        <v>243960</v>
      </c>
      <c r="M277" s="3"/>
    </row>
    <row r="278" spans="2:13" x14ac:dyDescent="0.3">
      <c r="B278" t="s">
        <v>2743</v>
      </c>
      <c r="C278" t="s">
        <v>174</v>
      </c>
      <c r="D278" t="str">
        <f t="shared" si="149"/>
        <v>Oct-25</v>
      </c>
      <c r="E278" s="242">
        <v>45940</v>
      </c>
      <c r="F278" t="s">
        <v>2026</v>
      </c>
      <c r="G278" t="s">
        <v>1961</v>
      </c>
      <c r="H278" s="233">
        <v>10160</v>
      </c>
      <c r="I278" s="233">
        <v>32.1</v>
      </c>
      <c r="J278" s="233">
        <f t="shared" si="147"/>
        <v>326136</v>
      </c>
      <c r="K278" s="3">
        <v>0</v>
      </c>
      <c r="L278" s="3">
        <f t="shared" si="148"/>
        <v>326136</v>
      </c>
      <c r="M278" s="3"/>
    </row>
    <row r="279" spans="2:13" x14ac:dyDescent="0.3">
      <c r="B279" t="s">
        <v>2743</v>
      </c>
      <c r="C279" t="s">
        <v>174</v>
      </c>
      <c r="D279" t="str">
        <f t="shared" si="149"/>
        <v>Oct-25</v>
      </c>
      <c r="E279" s="242">
        <v>45940</v>
      </c>
      <c r="F279" t="s">
        <v>2027</v>
      </c>
      <c r="G279" t="s">
        <v>1961</v>
      </c>
      <c r="H279" s="233">
        <v>9630</v>
      </c>
      <c r="I279" s="233">
        <v>32.1</v>
      </c>
      <c r="J279" s="233">
        <f t="shared" si="147"/>
        <v>309123</v>
      </c>
      <c r="K279" s="3">
        <v>0</v>
      </c>
      <c r="L279" s="3">
        <f t="shared" si="148"/>
        <v>309123</v>
      </c>
      <c r="M279" s="3"/>
    </row>
    <row r="280" spans="2:13" x14ac:dyDescent="0.3">
      <c r="B280" t="s">
        <v>2743</v>
      </c>
      <c r="C280" t="s">
        <v>174</v>
      </c>
      <c r="D280" t="str">
        <f t="shared" si="149"/>
        <v>Oct-25</v>
      </c>
      <c r="E280" s="242">
        <v>45940</v>
      </c>
      <c r="F280" t="s">
        <v>2028</v>
      </c>
      <c r="G280" t="s">
        <v>1961</v>
      </c>
      <c r="H280" s="233">
        <v>10130</v>
      </c>
      <c r="I280" s="233">
        <v>32.1</v>
      </c>
      <c r="J280" s="233">
        <f t="shared" si="147"/>
        <v>325173</v>
      </c>
      <c r="K280" s="3">
        <v>0</v>
      </c>
      <c r="L280" s="3">
        <f t="shared" si="148"/>
        <v>325173</v>
      </c>
      <c r="M280" s="3"/>
    </row>
    <row r="281" spans="2:13" x14ac:dyDescent="0.3">
      <c r="B281" t="s">
        <v>2743</v>
      </c>
      <c r="C281" t="s">
        <v>174</v>
      </c>
      <c r="D281" t="str">
        <f t="shared" si="149"/>
        <v>Oct-25</v>
      </c>
      <c r="E281" s="242">
        <v>45940</v>
      </c>
      <c r="F281" t="s">
        <v>2029</v>
      </c>
      <c r="G281" t="s">
        <v>400</v>
      </c>
      <c r="H281" s="233">
        <v>26250</v>
      </c>
      <c r="I281" s="233">
        <v>32.799999999999997</v>
      </c>
      <c r="J281" s="233">
        <f t="shared" si="147"/>
        <v>860999.99999999988</v>
      </c>
      <c r="K281" s="3">
        <v>0</v>
      </c>
      <c r="L281" s="3">
        <f t="shared" si="148"/>
        <v>860999.99999999988</v>
      </c>
      <c r="M281" s="3"/>
    </row>
    <row r="282" spans="2:13" x14ac:dyDescent="0.3">
      <c r="B282" t="s">
        <v>2743</v>
      </c>
      <c r="C282" t="s">
        <v>174</v>
      </c>
      <c r="D282" t="str">
        <f t="shared" si="149"/>
        <v>Oct-25</v>
      </c>
      <c r="E282" s="242">
        <v>45940</v>
      </c>
      <c r="F282" t="s">
        <v>2030</v>
      </c>
      <c r="G282" t="s">
        <v>400</v>
      </c>
      <c r="H282" s="233">
        <v>18110</v>
      </c>
      <c r="I282" s="233">
        <v>32.799999999999997</v>
      </c>
      <c r="J282" s="233">
        <f t="shared" si="147"/>
        <v>594008</v>
      </c>
      <c r="K282" s="3">
        <v>0</v>
      </c>
      <c r="L282" s="3">
        <f t="shared" si="148"/>
        <v>594008</v>
      </c>
      <c r="M282" s="3"/>
    </row>
    <row r="283" spans="2:13" x14ac:dyDescent="0.3">
      <c r="B283" t="s">
        <v>2743</v>
      </c>
      <c r="C283" t="s">
        <v>174</v>
      </c>
      <c r="D283" t="str">
        <f t="shared" si="149"/>
        <v>Oct-25</v>
      </c>
      <c r="E283" s="242">
        <v>45940</v>
      </c>
      <c r="F283" t="s">
        <v>2031</v>
      </c>
      <c r="G283" t="s">
        <v>400</v>
      </c>
      <c r="H283" s="233">
        <v>22030</v>
      </c>
      <c r="I283" s="233">
        <v>32.799999999999997</v>
      </c>
      <c r="J283" s="233">
        <f t="shared" si="147"/>
        <v>722583.99999999988</v>
      </c>
      <c r="K283" s="3">
        <v>0</v>
      </c>
      <c r="L283" s="3">
        <f t="shared" si="148"/>
        <v>722583.99999999988</v>
      </c>
      <c r="M283" s="3"/>
    </row>
    <row r="284" spans="2:13" x14ac:dyDescent="0.3">
      <c r="B284" t="s">
        <v>2743</v>
      </c>
      <c r="C284" t="s">
        <v>174</v>
      </c>
      <c r="D284" t="str">
        <f t="shared" si="149"/>
        <v>Oct-25</v>
      </c>
      <c r="E284" s="242">
        <v>45940</v>
      </c>
      <c r="F284" t="s">
        <v>2107</v>
      </c>
      <c r="G284" t="s">
        <v>250</v>
      </c>
      <c r="H284" s="233">
        <v>8740</v>
      </c>
      <c r="I284" s="233">
        <v>34</v>
      </c>
      <c r="J284" s="233">
        <f t="shared" si="147"/>
        <v>297160</v>
      </c>
      <c r="K284" s="3">
        <v>0</v>
      </c>
      <c r="L284" s="3">
        <f t="shared" si="148"/>
        <v>297160</v>
      </c>
      <c r="M284" s="3"/>
    </row>
    <row r="285" spans="2:13" x14ac:dyDescent="0.3">
      <c r="B285" t="s">
        <v>2743</v>
      </c>
      <c r="C285" t="s">
        <v>174</v>
      </c>
      <c r="D285" t="str">
        <f t="shared" si="149"/>
        <v>Oct-25</v>
      </c>
      <c r="E285" s="242">
        <v>45941</v>
      </c>
      <c r="F285" t="s">
        <v>2032</v>
      </c>
      <c r="G285" t="s">
        <v>400</v>
      </c>
      <c r="H285" s="233">
        <v>20570</v>
      </c>
      <c r="I285" s="233">
        <v>32.799999999999997</v>
      </c>
      <c r="J285" s="233">
        <f t="shared" si="147"/>
        <v>674695.99999999988</v>
      </c>
      <c r="K285" s="3">
        <v>0</v>
      </c>
      <c r="L285" s="3">
        <f t="shared" si="148"/>
        <v>674695.99999999988</v>
      </c>
      <c r="M285" s="3"/>
    </row>
    <row r="286" spans="2:13" x14ac:dyDescent="0.3">
      <c r="B286" t="s">
        <v>2743</v>
      </c>
      <c r="C286" t="s">
        <v>174</v>
      </c>
      <c r="D286" t="str">
        <f t="shared" si="149"/>
        <v>Oct-25</v>
      </c>
      <c r="E286" s="242">
        <v>45941</v>
      </c>
      <c r="F286" t="s">
        <v>2033</v>
      </c>
      <c r="G286" t="s">
        <v>1961</v>
      </c>
      <c r="H286" s="233">
        <v>9640</v>
      </c>
      <c r="I286" s="233">
        <v>32.1</v>
      </c>
      <c r="J286" s="233">
        <f t="shared" si="147"/>
        <v>309444</v>
      </c>
      <c r="K286" s="3">
        <v>0</v>
      </c>
      <c r="L286" s="3">
        <f t="shared" si="148"/>
        <v>309444</v>
      </c>
      <c r="M286" s="3"/>
    </row>
    <row r="287" spans="2:13" x14ac:dyDescent="0.3">
      <c r="B287" t="s">
        <v>2743</v>
      </c>
      <c r="C287" t="s">
        <v>174</v>
      </c>
      <c r="D287" t="str">
        <f t="shared" si="149"/>
        <v>Oct-25</v>
      </c>
      <c r="E287" s="242">
        <v>45941</v>
      </c>
      <c r="F287" t="s">
        <v>2034</v>
      </c>
      <c r="G287" t="s">
        <v>1961</v>
      </c>
      <c r="H287" s="233">
        <v>8120</v>
      </c>
      <c r="I287" s="233">
        <v>32.1</v>
      </c>
      <c r="J287" s="233">
        <f t="shared" si="147"/>
        <v>260652</v>
      </c>
      <c r="K287" s="3">
        <v>0</v>
      </c>
      <c r="L287" s="3">
        <f t="shared" si="148"/>
        <v>260652</v>
      </c>
      <c r="M287" s="3"/>
    </row>
    <row r="288" spans="2:13" x14ac:dyDescent="0.3">
      <c r="B288" t="s">
        <v>2743</v>
      </c>
      <c r="C288" t="s">
        <v>174</v>
      </c>
      <c r="D288" t="str">
        <f t="shared" si="149"/>
        <v>Oct-25</v>
      </c>
      <c r="E288" s="242">
        <v>45941</v>
      </c>
      <c r="F288" t="s">
        <v>2035</v>
      </c>
      <c r="G288" t="s">
        <v>1961</v>
      </c>
      <c r="H288" s="233">
        <v>9020</v>
      </c>
      <c r="I288" s="233">
        <v>32.1</v>
      </c>
      <c r="J288" s="233">
        <f t="shared" si="147"/>
        <v>289542</v>
      </c>
      <c r="K288" s="3">
        <v>0</v>
      </c>
      <c r="L288" s="3">
        <f t="shared" si="148"/>
        <v>289542</v>
      </c>
      <c r="M288" s="3"/>
    </row>
    <row r="289" spans="2:13" x14ac:dyDescent="0.3">
      <c r="B289" t="s">
        <v>2743</v>
      </c>
      <c r="C289" t="s">
        <v>174</v>
      </c>
      <c r="D289" t="str">
        <f t="shared" si="149"/>
        <v>Oct-25</v>
      </c>
      <c r="E289" s="242">
        <v>45941</v>
      </c>
      <c r="F289" t="s">
        <v>2036</v>
      </c>
      <c r="G289" t="s">
        <v>1961</v>
      </c>
      <c r="H289" s="233">
        <v>9160</v>
      </c>
      <c r="I289" s="233">
        <v>32.1</v>
      </c>
      <c r="J289" s="233">
        <f t="shared" si="147"/>
        <v>294036</v>
      </c>
      <c r="K289" s="3">
        <v>0</v>
      </c>
      <c r="L289" s="3">
        <f t="shared" si="148"/>
        <v>294036</v>
      </c>
      <c r="M289" s="3"/>
    </row>
    <row r="290" spans="2:13" x14ac:dyDescent="0.3">
      <c r="B290" t="s">
        <v>2743</v>
      </c>
      <c r="C290" t="s">
        <v>174</v>
      </c>
      <c r="D290" t="str">
        <f t="shared" si="149"/>
        <v>Oct-25</v>
      </c>
      <c r="E290" s="242">
        <v>45941</v>
      </c>
      <c r="F290" t="s">
        <v>2037</v>
      </c>
      <c r="G290" t="s">
        <v>1671</v>
      </c>
      <c r="H290" s="233">
        <v>7240</v>
      </c>
      <c r="I290" s="233">
        <v>32.299999999999997</v>
      </c>
      <c r="J290" s="233">
        <f t="shared" si="147"/>
        <v>233851.99999999997</v>
      </c>
      <c r="K290" s="3">
        <v>0</v>
      </c>
      <c r="L290" s="3">
        <f t="shared" si="148"/>
        <v>233851.99999999997</v>
      </c>
      <c r="M290" s="3"/>
    </row>
    <row r="291" spans="2:13" x14ac:dyDescent="0.3">
      <c r="B291" t="s">
        <v>2743</v>
      </c>
      <c r="C291" t="s">
        <v>174</v>
      </c>
      <c r="D291" t="str">
        <f t="shared" si="149"/>
        <v>Oct-25</v>
      </c>
      <c r="E291" s="242">
        <v>45941</v>
      </c>
      <c r="F291" t="s">
        <v>2038</v>
      </c>
      <c r="G291" t="s">
        <v>400</v>
      </c>
      <c r="H291" s="233">
        <v>14270</v>
      </c>
      <c r="I291" s="233">
        <v>32.799999999999997</v>
      </c>
      <c r="J291" s="233">
        <f t="shared" si="147"/>
        <v>468055.99999999994</v>
      </c>
      <c r="K291" s="3">
        <v>0</v>
      </c>
      <c r="L291" s="3">
        <f t="shared" si="148"/>
        <v>468055.99999999994</v>
      </c>
      <c r="M291" s="3"/>
    </row>
    <row r="292" spans="2:13" x14ac:dyDescent="0.3">
      <c r="B292" t="s">
        <v>2743</v>
      </c>
      <c r="C292" t="s">
        <v>174</v>
      </c>
      <c r="D292" t="str">
        <f t="shared" si="149"/>
        <v>Oct-25</v>
      </c>
      <c r="E292" s="242">
        <v>45942</v>
      </c>
      <c r="F292" t="s">
        <v>2039</v>
      </c>
      <c r="G292" t="s">
        <v>1961</v>
      </c>
      <c r="H292" s="233">
        <v>8120</v>
      </c>
      <c r="I292" s="233">
        <v>32.1</v>
      </c>
      <c r="J292" s="233">
        <f t="shared" si="147"/>
        <v>260652</v>
      </c>
      <c r="K292" s="3">
        <v>0</v>
      </c>
      <c r="L292" s="3">
        <f t="shared" si="148"/>
        <v>260652</v>
      </c>
      <c r="M292" s="3"/>
    </row>
    <row r="293" spans="2:13" x14ac:dyDescent="0.3">
      <c r="B293" t="s">
        <v>2743</v>
      </c>
      <c r="C293" t="s">
        <v>174</v>
      </c>
      <c r="D293" t="str">
        <f t="shared" si="149"/>
        <v>Oct-25</v>
      </c>
      <c r="E293" s="242">
        <v>45942</v>
      </c>
      <c r="F293" t="s">
        <v>2040</v>
      </c>
      <c r="G293" t="s">
        <v>1961</v>
      </c>
      <c r="H293" s="233">
        <v>9270</v>
      </c>
      <c r="I293" s="233">
        <v>32.1</v>
      </c>
      <c r="J293" s="233">
        <f t="shared" si="147"/>
        <v>297567</v>
      </c>
      <c r="K293" s="3">
        <v>0</v>
      </c>
      <c r="L293" s="3">
        <f t="shared" si="148"/>
        <v>297567</v>
      </c>
      <c r="M293" s="3"/>
    </row>
    <row r="294" spans="2:13" x14ac:dyDescent="0.3">
      <c r="B294" t="s">
        <v>2743</v>
      </c>
      <c r="C294" t="s">
        <v>174</v>
      </c>
      <c r="D294" t="str">
        <f t="shared" si="149"/>
        <v>Oct-25</v>
      </c>
      <c r="E294" s="242">
        <v>45942</v>
      </c>
      <c r="F294" t="s">
        <v>2041</v>
      </c>
      <c r="G294" t="s">
        <v>400</v>
      </c>
      <c r="H294" s="233">
        <v>23710</v>
      </c>
      <c r="I294" s="233">
        <v>32.799999999999997</v>
      </c>
      <c r="J294" s="233">
        <f t="shared" si="147"/>
        <v>777687.99999999988</v>
      </c>
      <c r="K294" s="3">
        <v>0</v>
      </c>
      <c r="L294" s="3">
        <f t="shared" si="148"/>
        <v>777687.99999999988</v>
      </c>
      <c r="M294" s="3"/>
    </row>
    <row r="295" spans="2:13" x14ac:dyDescent="0.3">
      <c r="B295" t="s">
        <v>2743</v>
      </c>
      <c r="C295" t="s">
        <v>174</v>
      </c>
      <c r="D295" t="str">
        <f t="shared" si="149"/>
        <v>Oct-25</v>
      </c>
      <c r="E295" s="242">
        <v>45943</v>
      </c>
      <c r="F295" t="s">
        <v>2104</v>
      </c>
      <c r="G295" t="s">
        <v>400</v>
      </c>
      <c r="H295" s="233">
        <v>10620</v>
      </c>
      <c r="I295" s="233">
        <v>32.799999999999997</v>
      </c>
      <c r="J295" s="233">
        <f t="shared" si="147"/>
        <v>348335.99999999994</v>
      </c>
      <c r="K295" s="3">
        <v>0</v>
      </c>
      <c r="L295" s="3">
        <f t="shared" si="148"/>
        <v>348335.99999999994</v>
      </c>
      <c r="M295" s="3"/>
    </row>
    <row r="296" spans="2:13" x14ac:dyDescent="0.3">
      <c r="B296" t="s">
        <v>1365</v>
      </c>
      <c r="C296" t="s">
        <v>174</v>
      </c>
      <c r="D296" t="str">
        <f t="shared" si="149"/>
        <v>Oct-25</v>
      </c>
      <c r="E296" s="242">
        <v>45943</v>
      </c>
      <c r="G296" t="s">
        <v>253</v>
      </c>
      <c r="H296" s="233">
        <v>1</v>
      </c>
      <c r="I296" s="233">
        <v>6224.2</v>
      </c>
      <c r="J296" s="233">
        <f t="shared" si="147"/>
        <v>6224.2</v>
      </c>
      <c r="K296" s="3">
        <v>0</v>
      </c>
      <c r="L296" s="3">
        <f t="shared" si="148"/>
        <v>6224.2</v>
      </c>
      <c r="M296" s="3"/>
    </row>
    <row r="297" spans="2:13" x14ac:dyDescent="0.3">
      <c r="B297" t="s">
        <v>1365</v>
      </c>
      <c r="C297" t="s">
        <v>174</v>
      </c>
      <c r="D297" t="str">
        <f t="shared" si="149"/>
        <v>Oct-25</v>
      </c>
      <c r="E297" s="242">
        <v>45943</v>
      </c>
      <c r="G297" t="s">
        <v>253</v>
      </c>
      <c r="H297" s="233">
        <v>1</v>
      </c>
      <c r="I297" s="233">
        <v>6161.96</v>
      </c>
      <c r="J297" s="233">
        <f t="shared" si="147"/>
        <v>6161.96</v>
      </c>
      <c r="K297" s="3">
        <v>0</v>
      </c>
      <c r="L297" s="3">
        <f t="shared" si="148"/>
        <v>6161.96</v>
      </c>
      <c r="M297" s="3"/>
    </row>
    <row r="298" spans="2:13" x14ac:dyDescent="0.3">
      <c r="B298" t="s">
        <v>1365</v>
      </c>
      <c r="C298" t="s">
        <v>174</v>
      </c>
      <c r="D298" t="str">
        <f t="shared" si="149"/>
        <v>Oct-25</v>
      </c>
      <c r="E298" s="242">
        <v>45943</v>
      </c>
      <c r="G298" t="s">
        <v>253</v>
      </c>
      <c r="H298" s="233">
        <v>1</v>
      </c>
      <c r="I298" s="233">
        <v>5000</v>
      </c>
      <c r="J298" s="233">
        <f t="shared" si="147"/>
        <v>5000</v>
      </c>
      <c r="K298" s="3">
        <v>0</v>
      </c>
      <c r="L298" s="3">
        <f t="shared" si="148"/>
        <v>5000</v>
      </c>
      <c r="M298" s="3"/>
    </row>
    <row r="299" spans="2:13" x14ac:dyDescent="0.3">
      <c r="B299" t="s">
        <v>1365</v>
      </c>
      <c r="C299" t="s">
        <v>174</v>
      </c>
      <c r="D299" t="str">
        <f t="shared" si="149"/>
        <v>Oct-25</v>
      </c>
      <c r="E299" s="242">
        <v>45943</v>
      </c>
      <c r="G299" t="s">
        <v>253</v>
      </c>
      <c r="H299" s="233">
        <v>1</v>
      </c>
      <c r="I299" s="233">
        <v>9336.2999999999993</v>
      </c>
      <c r="J299" s="233">
        <f t="shared" si="147"/>
        <v>9336.2999999999993</v>
      </c>
      <c r="K299" s="3">
        <v>0</v>
      </c>
      <c r="L299" s="3">
        <f t="shared" si="148"/>
        <v>9336.2999999999993</v>
      </c>
      <c r="M299" s="3"/>
    </row>
    <row r="300" spans="2:13" x14ac:dyDescent="0.3">
      <c r="B300" t="s">
        <v>1365</v>
      </c>
      <c r="C300" t="s">
        <v>174</v>
      </c>
      <c r="D300" t="str">
        <f t="shared" si="149"/>
        <v>Oct-25</v>
      </c>
      <c r="E300" s="242">
        <v>45943</v>
      </c>
      <c r="G300" t="s">
        <v>253</v>
      </c>
      <c r="H300" s="233">
        <v>1</v>
      </c>
      <c r="I300" s="233">
        <v>7360.12</v>
      </c>
      <c r="J300" s="233">
        <f t="shared" si="147"/>
        <v>7360.12</v>
      </c>
      <c r="K300" s="3">
        <v>0</v>
      </c>
      <c r="L300" s="3">
        <f t="shared" si="148"/>
        <v>7360.12</v>
      </c>
      <c r="M300" s="3"/>
    </row>
    <row r="301" spans="2:13" x14ac:dyDescent="0.3">
      <c r="B301" t="s">
        <v>2743</v>
      </c>
      <c r="C301" t="s">
        <v>174</v>
      </c>
      <c r="D301" t="str">
        <f t="shared" si="149"/>
        <v>Oct-25</v>
      </c>
      <c r="E301" s="242">
        <v>45943</v>
      </c>
      <c r="F301" t="s">
        <v>2229</v>
      </c>
      <c r="G301" t="s">
        <v>1961</v>
      </c>
      <c r="H301" s="233">
        <v>9740</v>
      </c>
      <c r="I301" s="233">
        <v>32.1</v>
      </c>
      <c r="J301" s="233">
        <f t="shared" si="147"/>
        <v>312654</v>
      </c>
      <c r="K301" s="3">
        <v>0</v>
      </c>
      <c r="L301" s="3">
        <f t="shared" si="148"/>
        <v>312654</v>
      </c>
      <c r="M301" s="3"/>
    </row>
    <row r="302" spans="2:13" x14ac:dyDescent="0.3">
      <c r="B302" t="s">
        <v>2743</v>
      </c>
      <c r="C302" t="s">
        <v>174</v>
      </c>
      <c r="D302" t="str">
        <f t="shared" si="149"/>
        <v>Oct-25</v>
      </c>
      <c r="E302" s="242">
        <v>45943</v>
      </c>
      <c r="F302" t="s">
        <v>2230</v>
      </c>
      <c r="G302" t="s">
        <v>1961</v>
      </c>
      <c r="H302" s="233">
        <v>10890</v>
      </c>
      <c r="I302" s="233">
        <v>32.1</v>
      </c>
      <c r="J302" s="233">
        <f t="shared" si="147"/>
        <v>349569</v>
      </c>
      <c r="K302" s="3">
        <v>0</v>
      </c>
      <c r="L302" s="3">
        <f t="shared" si="148"/>
        <v>349569</v>
      </c>
      <c r="M302" s="3"/>
    </row>
    <row r="303" spans="2:13" x14ac:dyDescent="0.3">
      <c r="B303" t="s">
        <v>2743</v>
      </c>
      <c r="C303" t="s">
        <v>174</v>
      </c>
      <c r="D303" t="str">
        <f t="shared" si="149"/>
        <v>Oct-25</v>
      </c>
      <c r="E303" s="242">
        <v>45943</v>
      </c>
      <c r="F303" t="s">
        <v>2231</v>
      </c>
      <c r="G303" t="s">
        <v>1961</v>
      </c>
      <c r="H303" s="233">
        <v>9390</v>
      </c>
      <c r="I303" s="233">
        <v>32.1</v>
      </c>
      <c r="J303" s="233">
        <f t="shared" si="147"/>
        <v>301419</v>
      </c>
      <c r="K303" s="3">
        <v>0</v>
      </c>
      <c r="L303" s="3">
        <f t="shared" si="148"/>
        <v>301419</v>
      </c>
      <c r="M303" s="3"/>
    </row>
    <row r="304" spans="2:13" x14ac:dyDescent="0.3">
      <c r="B304" t="s">
        <v>2743</v>
      </c>
      <c r="C304" t="s">
        <v>174</v>
      </c>
      <c r="D304" t="str">
        <f t="shared" si="149"/>
        <v>Oct-25</v>
      </c>
      <c r="E304" s="242">
        <v>45944</v>
      </c>
      <c r="F304" t="s">
        <v>2105</v>
      </c>
      <c r="G304" t="s">
        <v>400</v>
      </c>
      <c r="H304" s="233">
        <v>17890</v>
      </c>
      <c r="I304" s="233">
        <v>32.799999999999997</v>
      </c>
      <c r="J304" s="233">
        <f t="shared" si="147"/>
        <v>586792</v>
      </c>
      <c r="K304" s="3">
        <v>0</v>
      </c>
      <c r="L304" s="3">
        <f t="shared" si="148"/>
        <v>586792</v>
      </c>
      <c r="M304" s="3"/>
    </row>
    <row r="305" spans="2:13" x14ac:dyDescent="0.3">
      <c r="B305" t="s">
        <v>1365</v>
      </c>
      <c r="C305" t="s">
        <v>174</v>
      </c>
      <c r="D305" t="str">
        <f t="shared" si="149"/>
        <v>Oct-25</v>
      </c>
      <c r="E305" s="242">
        <v>45944</v>
      </c>
      <c r="G305" t="s">
        <v>270</v>
      </c>
      <c r="H305" s="233">
        <v>1</v>
      </c>
      <c r="I305" s="233">
        <v>4237.29</v>
      </c>
      <c r="J305" s="233">
        <f t="shared" si="147"/>
        <v>4237.29</v>
      </c>
      <c r="K305" s="3">
        <v>0</v>
      </c>
      <c r="L305" s="3">
        <f t="shared" si="148"/>
        <v>4237.29</v>
      </c>
      <c r="M305" s="3"/>
    </row>
    <row r="306" spans="2:13" x14ac:dyDescent="0.3">
      <c r="B306" t="s">
        <v>1365</v>
      </c>
      <c r="C306" t="s">
        <v>174</v>
      </c>
      <c r="D306" t="str">
        <f t="shared" si="149"/>
        <v>Oct-25</v>
      </c>
      <c r="E306" s="242">
        <v>45944</v>
      </c>
      <c r="G306" t="s">
        <v>270</v>
      </c>
      <c r="H306" s="233">
        <v>1</v>
      </c>
      <c r="I306" s="233">
        <v>37983.269999999997</v>
      </c>
      <c r="J306" s="233">
        <f t="shared" si="147"/>
        <v>37983.269999999997</v>
      </c>
      <c r="K306" s="3">
        <v>0</v>
      </c>
      <c r="L306" s="3">
        <f t="shared" si="148"/>
        <v>37983.269999999997</v>
      </c>
      <c r="M306" s="3"/>
    </row>
    <row r="307" spans="2:13" x14ac:dyDescent="0.3">
      <c r="B307" t="s">
        <v>2743</v>
      </c>
      <c r="C307" t="s">
        <v>174</v>
      </c>
      <c r="D307" t="str">
        <f t="shared" si="149"/>
        <v>Oct-25</v>
      </c>
      <c r="E307" s="242">
        <v>45944</v>
      </c>
      <c r="F307" t="s">
        <v>2232</v>
      </c>
      <c r="G307" t="s">
        <v>1961</v>
      </c>
      <c r="H307" s="233">
        <v>9700</v>
      </c>
      <c r="I307" s="233">
        <v>32.1</v>
      </c>
      <c r="J307" s="233">
        <f t="shared" si="147"/>
        <v>311370</v>
      </c>
      <c r="K307" s="3">
        <v>0</v>
      </c>
      <c r="L307" s="3">
        <f t="shared" si="148"/>
        <v>311370</v>
      </c>
      <c r="M307" s="3"/>
    </row>
    <row r="308" spans="2:13" x14ac:dyDescent="0.3">
      <c r="B308" t="s">
        <v>2743</v>
      </c>
      <c r="C308" t="s">
        <v>174</v>
      </c>
      <c r="D308" t="str">
        <f t="shared" si="149"/>
        <v>Oct-25</v>
      </c>
      <c r="E308" s="242">
        <v>45944</v>
      </c>
      <c r="F308" t="s">
        <v>2233</v>
      </c>
      <c r="G308" t="s">
        <v>1961</v>
      </c>
      <c r="H308" s="233">
        <v>7450</v>
      </c>
      <c r="I308" s="233">
        <v>32.1</v>
      </c>
      <c r="J308" s="233">
        <f t="shared" si="147"/>
        <v>239145</v>
      </c>
      <c r="K308" s="3">
        <v>0</v>
      </c>
      <c r="L308" s="3">
        <f t="shared" si="148"/>
        <v>239145</v>
      </c>
      <c r="M308" s="3"/>
    </row>
    <row r="309" spans="2:13" x14ac:dyDescent="0.3">
      <c r="B309" t="s">
        <v>2743</v>
      </c>
      <c r="C309" t="s">
        <v>174</v>
      </c>
      <c r="D309" t="str">
        <f t="shared" si="149"/>
        <v>Oct-25</v>
      </c>
      <c r="E309" s="242">
        <v>45944</v>
      </c>
      <c r="F309" t="s">
        <v>2234</v>
      </c>
      <c r="G309" t="s">
        <v>1961</v>
      </c>
      <c r="H309" s="233">
        <v>3810</v>
      </c>
      <c r="I309" s="233">
        <v>32.1</v>
      </c>
      <c r="J309" s="233">
        <f t="shared" si="147"/>
        <v>122301</v>
      </c>
      <c r="K309" s="3">
        <v>0</v>
      </c>
      <c r="L309" s="3">
        <f t="shared" si="148"/>
        <v>122301</v>
      </c>
      <c r="M309" s="3"/>
    </row>
    <row r="310" spans="2:13" x14ac:dyDescent="0.3">
      <c r="B310" t="s">
        <v>2743</v>
      </c>
      <c r="C310" t="s">
        <v>174</v>
      </c>
      <c r="D310" t="str">
        <f t="shared" si="149"/>
        <v>Oct-25</v>
      </c>
      <c r="E310" s="242">
        <v>45944</v>
      </c>
      <c r="F310" t="s">
        <v>2259</v>
      </c>
      <c r="G310" t="s">
        <v>1961</v>
      </c>
      <c r="H310" s="233">
        <v>7850</v>
      </c>
      <c r="I310" s="233">
        <v>32.1</v>
      </c>
      <c r="J310" s="233">
        <f t="shared" si="147"/>
        <v>251985</v>
      </c>
      <c r="K310" s="3">
        <v>0</v>
      </c>
      <c r="L310" s="3">
        <f t="shared" si="148"/>
        <v>251985</v>
      </c>
      <c r="M310" s="3"/>
    </row>
    <row r="311" spans="2:13" x14ac:dyDescent="0.3">
      <c r="B311" t="s">
        <v>2743</v>
      </c>
      <c r="C311" t="s">
        <v>174</v>
      </c>
      <c r="D311" t="str">
        <f t="shared" si="149"/>
        <v>Oct-25</v>
      </c>
      <c r="E311" s="242">
        <v>45944</v>
      </c>
      <c r="F311" t="s">
        <v>2260</v>
      </c>
      <c r="G311" t="s">
        <v>1961</v>
      </c>
      <c r="H311" s="233">
        <v>6850</v>
      </c>
      <c r="I311" s="233">
        <v>32.1</v>
      </c>
      <c r="J311" s="233">
        <f t="shared" si="147"/>
        <v>219885</v>
      </c>
      <c r="K311" s="3">
        <v>0</v>
      </c>
      <c r="L311" s="3">
        <f t="shared" si="148"/>
        <v>219885</v>
      </c>
      <c r="M311" s="3"/>
    </row>
    <row r="312" spans="2:13" x14ac:dyDescent="0.3">
      <c r="B312" t="s">
        <v>2743</v>
      </c>
      <c r="C312" t="s">
        <v>174</v>
      </c>
      <c r="D312" t="str">
        <f t="shared" si="149"/>
        <v>Oct-25</v>
      </c>
      <c r="E312" s="242">
        <v>45945</v>
      </c>
      <c r="F312" t="s">
        <v>2106</v>
      </c>
      <c r="G312" t="s">
        <v>1961</v>
      </c>
      <c r="H312" s="233">
        <v>6730</v>
      </c>
      <c r="I312" s="233">
        <v>32.1</v>
      </c>
      <c r="J312" s="233">
        <f t="shared" si="147"/>
        <v>216033</v>
      </c>
      <c r="K312" s="3">
        <v>0</v>
      </c>
      <c r="L312" s="3">
        <f t="shared" si="148"/>
        <v>216033</v>
      </c>
      <c r="M312" s="3"/>
    </row>
    <row r="313" spans="2:13" x14ac:dyDescent="0.3">
      <c r="B313" t="s">
        <v>2743</v>
      </c>
      <c r="C313" t="s">
        <v>174</v>
      </c>
      <c r="D313" t="str">
        <f t="shared" si="149"/>
        <v>Oct-25</v>
      </c>
      <c r="E313" s="242">
        <v>45945</v>
      </c>
      <c r="F313" t="s">
        <v>2108</v>
      </c>
      <c r="G313" t="s">
        <v>250</v>
      </c>
      <c r="H313" s="233">
        <v>3440</v>
      </c>
      <c r="I313" s="233">
        <v>32.5</v>
      </c>
      <c r="J313" s="233">
        <f t="shared" si="147"/>
        <v>111800</v>
      </c>
      <c r="K313" s="3">
        <v>0</v>
      </c>
      <c r="L313" s="3">
        <f t="shared" si="148"/>
        <v>111800</v>
      </c>
      <c r="M313" s="3"/>
    </row>
    <row r="314" spans="2:13" x14ac:dyDescent="0.3">
      <c r="B314" t="s">
        <v>2743</v>
      </c>
      <c r="C314" t="s">
        <v>174</v>
      </c>
      <c r="D314" t="str">
        <f t="shared" si="149"/>
        <v>Oct-25</v>
      </c>
      <c r="E314" s="242">
        <v>45945</v>
      </c>
      <c r="F314" t="s">
        <v>2109</v>
      </c>
      <c r="G314" t="s">
        <v>400</v>
      </c>
      <c r="H314" s="233">
        <v>9020</v>
      </c>
      <c r="I314" s="233">
        <v>32.799999999999997</v>
      </c>
      <c r="J314" s="233">
        <f t="shared" si="147"/>
        <v>295856</v>
      </c>
      <c r="K314" s="3">
        <v>0</v>
      </c>
      <c r="L314" s="3">
        <f t="shared" si="148"/>
        <v>295856</v>
      </c>
      <c r="M314" s="3"/>
    </row>
    <row r="315" spans="2:13" x14ac:dyDescent="0.3">
      <c r="B315" t="s">
        <v>2743</v>
      </c>
      <c r="C315" t="s">
        <v>174</v>
      </c>
      <c r="D315" t="str">
        <f t="shared" si="149"/>
        <v>Oct-25</v>
      </c>
      <c r="E315" s="242">
        <v>45945</v>
      </c>
      <c r="F315" t="s">
        <v>2110</v>
      </c>
      <c r="G315" t="s">
        <v>400</v>
      </c>
      <c r="H315" s="233">
        <v>32630</v>
      </c>
      <c r="I315" s="233">
        <v>32.799999999999997</v>
      </c>
      <c r="J315" s="233">
        <f t="shared" si="147"/>
        <v>1070264</v>
      </c>
      <c r="K315" s="3">
        <v>0</v>
      </c>
      <c r="L315" s="3">
        <f t="shared" si="148"/>
        <v>1070264</v>
      </c>
      <c r="M315" s="3"/>
    </row>
    <row r="316" spans="2:13" x14ac:dyDescent="0.3">
      <c r="B316" t="s">
        <v>1365</v>
      </c>
      <c r="C316" t="s">
        <v>174</v>
      </c>
      <c r="D316" t="str">
        <f t="shared" si="149"/>
        <v>Oct-25</v>
      </c>
      <c r="E316" s="242">
        <v>45945</v>
      </c>
      <c r="G316" t="s">
        <v>395</v>
      </c>
      <c r="H316" s="233">
        <v>1</v>
      </c>
      <c r="I316" s="233">
        <v>251000</v>
      </c>
      <c r="J316" s="233">
        <f t="shared" si="147"/>
        <v>251000</v>
      </c>
      <c r="K316" s="3">
        <v>0</v>
      </c>
      <c r="L316" s="3">
        <f t="shared" si="148"/>
        <v>251000</v>
      </c>
      <c r="M316" s="3"/>
    </row>
    <row r="317" spans="2:13" x14ac:dyDescent="0.3">
      <c r="B317" t="s">
        <v>2743</v>
      </c>
      <c r="C317" t="s">
        <v>174</v>
      </c>
      <c r="D317" t="str">
        <f t="shared" si="149"/>
        <v>Oct-25</v>
      </c>
      <c r="E317" s="242">
        <v>45945</v>
      </c>
      <c r="F317" t="s">
        <v>2261</v>
      </c>
      <c r="G317" t="s">
        <v>1961</v>
      </c>
      <c r="H317" s="233">
        <v>6330</v>
      </c>
      <c r="I317" s="233">
        <v>32.1</v>
      </c>
      <c r="J317" s="233">
        <f t="shared" si="147"/>
        <v>203193</v>
      </c>
      <c r="K317" s="3">
        <v>0</v>
      </c>
      <c r="L317" s="3">
        <f t="shared" si="148"/>
        <v>203193</v>
      </c>
      <c r="M317" s="3"/>
    </row>
    <row r="318" spans="2:13" x14ac:dyDescent="0.3">
      <c r="B318" t="s">
        <v>2743</v>
      </c>
      <c r="C318" t="s">
        <v>174</v>
      </c>
      <c r="D318" t="str">
        <f t="shared" si="149"/>
        <v>Oct-25</v>
      </c>
      <c r="E318" s="242">
        <v>45945</v>
      </c>
      <c r="F318" t="s">
        <v>2262</v>
      </c>
      <c r="G318" t="s">
        <v>1961</v>
      </c>
      <c r="H318" s="233">
        <v>6610</v>
      </c>
      <c r="I318" s="233">
        <v>32.1</v>
      </c>
      <c r="J318" s="233">
        <f t="shared" si="147"/>
        <v>212181</v>
      </c>
      <c r="K318" s="3">
        <v>0</v>
      </c>
      <c r="L318" s="3">
        <f t="shared" si="148"/>
        <v>212181</v>
      </c>
      <c r="M318" s="3"/>
    </row>
    <row r="319" spans="2:13" x14ac:dyDescent="0.3">
      <c r="B319" t="s">
        <v>2743</v>
      </c>
      <c r="C319" t="s">
        <v>174</v>
      </c>
      <c r="D319" t="str">
        <f t="shared" si="149"/>
        <v>Oct-25</v>
      </c>
      <c r="E319" s="242">
        <v>45945</v>
      </c>
      <c r="F319" t="s">
        <v>2263</v>
      </c>
      <c r="G319" t="s">
        <v>1961</v>
      </c>
      <c r="H319" s="233">
        <v>5930</v>
      </c>
      <c r="I319" s="233">
        <v>32.1</v>
      </c>
      <c r="J319" s="233">
        <f t="shared" si="147"/>
        <v>190353</v>
      </c>
      <c r="K319" s="3">
        <v>0</v>
      </c>
      <c r="L319" s="3">
        <f t="shared" si="148"/>
        <v>190353</v>
      </c>
      <c r="M319" s="3"/>
    </row>
    <row r="320" spans="2:13" x14ac:dyDescent="0.3">
      <c r="B320" t="s">
        <v>2743</v>
      </c>
      <c r="C320" t="s">
        <v>174</v>
      </c>
      <c r="D320" t="str">
        <f t="shared" si="149"/>
        <v>Oct-25</v>
      </c>
      <c r="E320" s="242">
        <v>45945</v>
      </c>
      <c r="F320" t="s">
        <v>2264</v>
      </c>
      <c r="G320" t="s">
        <v>1961</v>
      </c>
      <c r="H320" s="233">
        <v>7670</v>
      </c>
      <c r="I320" s="233">
        <v>32.1</v>
      </c>
      <c r="J320" s="233">
        <f t="shared" si="147"/>
        <v>246207</v>
      </c>
      <c r="K320" s="3">
        <v>0</v>
      </c>
      <c r="L320" s="3">
        <f t="shared" si="148"/>
        <v>246207</v>
      </c>
      <c r="M320" s="3"/>
    </row>
    <row r="321" spans="2:13" x14ac:dyDescent="0.3">
      <c r="B321" t="s">
        <v>2743</v>
      </c>
      <c r="C321" t="s">
        <v>174</v>
      </c>
      <c r="D321" t="str">
        <f t="shared" si="149"/>
        <v>Oct-25</v>
      </c>
      <c r="E321" s="242">
        <v>45946</v>
      </c>
      <c r="F321" t="s">
        <v>2265</v>
      </c>
      <c r="G321" t="s">
        <v>1961</v>
      </c>
      <c r="H321" s="233">
        <v>10250</v>
      </c>
      <c r="I321" s="233">
        <v>32.1</v>
      </c>
      <c r="J321" s="233">
        <f t="shared" si="147"/>
        <v>329025</v>
      </c>
      <c r="K321" s="3">
        <v>0</v>
      </c>
      <c r="L321" s="3">
        <f t="shared" si="148"/>
        <v>329025</v>
      </c>
      <c r="M321" s="3"/>
    </row>
    <row r="322" spans="2:13" x14ac:dyDescent="0.3">
      <c r="B322" t="s">
        <v>2743</v>
      </c>
      <c r="C322" t="s">
        <v>174</v>
      </c>
      <c r="D322" t="str">
        <f t="shared" si="149"/>
        <v>Oct-25</v>
      </c>
      <c r="E322" s="242">
        <v>45946</v>
      </c>
      <c r="F322" t="s">
        <v>2266</v>
      </c>
      <c r="G322" t="s">
        <v>1961</v>
      </c>
      <c r="H322" s="233">
        <v>6230</v>
      </c>
      <c r="I322" s="233">
        <v>32.1</v>
      </c>
      <c r="J322" s="233">
        <f t="shared" si="147"/>
        <v>199983</v>
      </c>
      <c r="K322" s="3">
        <v>0</v>
      </c>
      <c r="L322" s="3">
        <f t="shared" si="148"/>
        <v>199983</v>
      </c>
      <c r="M322" s="3"/>
    </row>
    <row r="323" spans="2:13" x14ac:dyDescent="0.3">
      <c r="B323" t="s">
        <v>2743</v>
      </c>
      <c r="C323" t="s">
        <v>174</v>
      </c>
      <c r="D323" t="str">
        <f t="shared" si="149"/>
        <v>Oct-25</v>
      </c>
      <c r="E323" s="242">
        <v>45946</v>
      </c>
      <c r="F323" t="s">
        <v>2267</v>
      </c>
      <c r="G323" t="s">
        <v>1961</v>
      </c>
      <c r="H323" s="233">
        <v>9940</v>
      </c>
      <c r="I323" s="233">
        <v>32.1</v>
      </c>
      <c r="J323" s="233">
        <f t="shared" ref="J323:J376" si="150">H323*I323</f>
        <v>319074</v>
      </c>
      <c r="K323" s="3">
        <v>0</v>
      </c>
      <c r="L323" s="3">
        <f t="shared" si="148"/>
        <v>319074</v>
      </c>
      <c r="M323" s="3"/>
    </row>
    <row r="324" spans="2:13" x14ac:dyDescent="0.3">
      <c r="B324" t="s">
        <v>2743</v>
      </c>
      <c r="C324" t="s">
        <v>174</v>
      </c>
      <c r="D324" t="str">
        <f t="shared" si="149"/>
        <v>Oct-25</v>
      </c>
      <c r="E324" s="242">
        <v>45947</v>
      </c>
      <c r="F324" t="s">
        <v>2111</v>
      </c>
      <c r="G324" t="s">
        <v>400</v>
      </c>
      <c r="H324" s="233">
        <v>26500</v>
      </c>
      <c r="I324" s="233">
        <v>32.799999999999997</v>
      </c>
      <c r="J324" s="233">
        <f t="shared" si="150"/>
        <v>869199.99999999988</v>
      </c>
      <c r="K324" s="3">
        <v>0</v>
      </c>
      <c r="L324" s="3">
        <f t="shared" ref="L324:L384" si="151">J324+K324</f>
        <v>869199.99999999988</v>
      </c>
      <c r="M324" s="3"/>
    </row>
    <row r="325" spans="2:13" x14ac:dyDescent="0.3">
      <c r="B325" t="s">
        <v>2743</v>
      </c>
      <c r="C325" t="s">
        <v>174</v>
      </c>
      <c r="D325" t="str">
        <f t="shared" ref="D325:D388" si="152">TEXT(E325,"mmm-yy")</f>
        <v>Oct-25</v>
      </c>
      <c r="E325" s="242">
        <v>45947</v>
      </c>
      <c r="F325" t="s">
        <v>2112</v>
      </c>
      <c r="G325" t="s">
        <v>400</v>
      </c>
      <c r="H325" s="233">
        <v>20330</v>
      </c>
      <c r="I325" s="233">
        <v>32.799999999999997</v>
      </c>
      <c r="J325" s="233">
        <f t="shared" si="150"/>
        <v>666824</v>
      </c>
      <c r="K325" s="3">
        <v>0</v>
      </c>
      <c r="L325" s="3">
        <f t="shared" si="151"/>
        <v>666824</v>
      </c>
      <c r="M325" s="3"/>
    </row>
    <row r="326" spans="2:13" x14ac:dyDescent="0.3">
      <c r="B326" t="s">
        <v>2743</v>
      </c>
      <c r="C326" t="s">
        <v>174</v>
      </c>
      <c r="D326" t="str">
        <f t="shared" si="152"/>
        <v>Oct-25</v>
      </c>
      <c r="E326" s="242">
        <v>45947</v>
      </c>
      <c r="F326" t="s">
        <v>2268</v>
      </c>
      <c r="G326" t="s">
        <v>1961</v>
      </c>
      <c r="H326" s="233">
        <v>7220</v>
      </c>
      <c r="I326" s="233">
        <v>32.1</v>
      </c>
      <c r="J326" s="233">
        <f t="shared" si="150"/>
        <v>231762</v>
      </c>
      <c r="K326" s="3">
        <v>0</v>
      </c>
      <c r="L326" s="3">
        <f t="shared" si="151"/>
        <v>231762</v>
      </c>
      <c r="M326" s="3"/>
    </row>
    <row r="327" spans="2:13" x14ac:dyDescent="0.3">
      <c r="B327" t="s">
        <v>2743</v>
      </c>
      <c r="C327" t="s">
        <v>174</v>
      </c>
      <c r="D327" t="str">
        <f t="shared" si="152"/>
        <v>Oct-25</v>
      </c>
      <c r="E327" s="242">
        <v>45947</v>
      </c>
      <c r="F327" t="s">
        <v>2269</v>
      </c>
      <c r="G327" t="s">
        <v>1961</v>
      </c>
      <c r="H327" s="233">
        <v>10840</v>
      </c>
      <c r="I327" s="233">
        <v>32.1</v>
      </c>
      <c r="J327" s="233">
        <f t="shared" si="150"/>
        <v>347964</v>
      </c>
      <c r="K327" s="3">
        <v>0</v>
      </c>
      <c r="L327" s="3">
        <f t="shared" si="151"/>
        <v>347964</v>
      </c>
      <c r="M327" s="3"/>
    </row>
    <row r="328" spans="2:13" x14ac:dyDescent="0.3">
      <c r="B328" t="s">
        <v>2743</v>
      </c>
      <c r="C328" t="s">
        <v>174</v>
      </c>
      <c r="D328" t="str">
        <f t="shared" si="152"/>
        <v>Oct-25</v>
      </c>
      <c r="E328" s="242">
        <v>45948</v>
      </c>
      <c r="F328" t="s">
        <v>2113</v>
      </c>
      <c r="G328" t="s">
        <v>250</v>
      </c>
      <c r="H328" s="233">
        <v>7770</v>
      </c>
      <c r="I328" s="233">
        <v>32.5</v>
      </c>
      <c r="J328" s="233">
        <f t="shared" si="150"/>
        <v>252525</v>
      </c>
      <c r="K328" s="3">
        <v>0</v>
      </c>
      <c r="L328" s="3">
        <f t="shared" si="151"/>
        <v>252525</v>
      </c>
      <c r="M328" s="3"/>
    </row>
    <row r="329" spans="2:13" x14ac:dyDescent="0.3">
      <c r="B329" t="s">
        <v>2743</v>
      </c>
      <c r="C329" t="s">
        <v>174</v>
      </c>
      <c r="D329" t="str">
        <f t="shared" si="152"/>
        <v>Oct-25</v>
      </c>
      <c r="E329" s="242">
        <v>45948</v>
      </c>
      <c r="F329" t="s">
        <v>2114</v>
      </c>
      <c r="G329" t="s">
        <v>400</v>
      </c>
      <c r="H329" s="233">
        <v>17940</v>
      </c>
      <c r="I329" s="233">
        <v>32.799999999999997</v>
      </c>
      <c r="J329" s="233">
        <f t="shared" si="150"/>
        <v>588432</v>
      </c>
      <c r="K329" s="3">
        <v>0</v>
      </c>
      <c r="L329" s="3">
        <f t="shared" si="151"/>
        <v>588432</v>
      </c>
      <c r="M329" s="3"/>
    </row>
    <row r="330" spans="2:13" x14ac:dyDescent="0.3">
      <c r="B330" t="s">
        <v>2743</v>
      </c>
      <c r="C330" t="s">
        <v>174</v>
      </c>
      <c r="D330" t="str">
        <f t="shared" si="152"/>
        <v>Oct-25</v>
      </c>
      <c r="E330" s="242">
        <v>45948</v>
      </c>
      <c r="F330" t="s">
        <v>2270</v>
      </c>
      <c r="G330" t="s">
        <v>1961</v>
      </c>
      <c r="H330" s="233">
        <v>6680</v>
      </c>
      <c r="I330" s="233">
        <v>32.1</v>
      </c>
      <c r="J330" s="233">
        <f t="shared" si="150"/>
        <v>214428</v>
      </c>
      <c r="K330" s="3">
        <v>0</v>
      </c>
      <c r="L330" s="3">
        <f t="shared" si="151"/>
        <v>214428</v>
      </c>
      <c r="M330" s="3"/>
    </row>
    <row r="331" spans="2:13" x14ac:dyDescent="0.3">
      <c r="B331" t="s">
        <v>2743</v>
      </c>
      <c r="C331" t="s">
        <v>174</v>
      </c>
      <c r="D331" t="str">
        <f t="shared" si="152"/>
        <v>Oct-25</v>
      </c>
      <c r="E331" s="242">
        <v>45948</v>
      </c>
      <c r="F331" t="s">
        <v>2271</v>
      </c>
      <c r="G331" t="s">
        <v>1961</v>
      </c>
      <c r="H331" s="233">
        <v>8820</v>
      </c>
      <c r="I331" s="233">
        <v>32.1</v>
      </c>
      <c r="J331" s="233">
        <f t="shared" si="150"/>
        <v>283122</v>
      </c>
      <c r="K331" s="3">
        <v>0</v>
      </c>
      <c r="L331" s="3">
        <f t="shared" si="151"/>
        <v>283122</v>
      </c>
      <c r="M331" s="3"/>
    </row>
    <row r="332" spans="2:13" x14ac:dyDescent="0.3">
      <c r="B332" t="s">
        <v>2743</v>
      </c>
      <c r="C332" t="s">
        <v>174</v>
      </c>
      <c r="D332" t="str">
        <f t="shared" si="152"/>
        <v>Oct-25</v>
      </c>
      <c r="E332" s="242">
        <v>45948</v>
      </c>
      <c r="F332" t="s">
        <v>2272</v>
      </c>
      <c r="G332" t="s">
        <v>1961</v>
      </c>
      <c r="H332" s="233">
        <v>10210</v>
      </c>
      <c r="I332" s="233">
        <v>32.1</v>
      </c>
      <c r="J332" s="233">
        <f t="shared" si="150"/>
        <v>327741</v>
      </c>
      <c r="K332" s="3">
        <v>0</v>
      </c>
      <c r="L332" s="3">
        <f t="shared" si="151"/>
        <v>327741</v>
      </c>
      <c r="M332" s="3"/>
    </row>
    <row r="333" spans="2:13" x14ac:dyDescent="0.3">
      <c r="B333" t="s">
        <v>2743</v>
      </c>
      <c r="C333" t="s">
        <v>174</v>
      </c>
      <c r="D333" t="str">
        <f t="shared" si="152"/>
        <v>Oct-25</v>
      </c>
      <c r="E333" s="242">
        <v>45949</v>
      </c>
      <c r="F333" t="s">
        <v>2115</v>
      </c>
      <c r="G333" t="s">
        <v>400</v>
      </c>
      <c r="H333" s="233">
        <v>16880</v>
      </c>
      <c r="I333" s="233">
        <v>32.799999999999997</v>
      </c>
      <c r="J333" s="233">
        <f t="shared" si="150"/>
        <v>553664</v>
      </c>
      <c r="K333" s="3">
        <v>0</v>
      </c>
      <c r="L333" s="3">
        <f t="shared" si="151"/>
        <v>553664</v>
      </c>
      <c r="M333" s="3"/>
    </row>
    <row r="334" spans="2:13" x14ac:dyDescent="0.3">
      <c r="B334" t="s">
        <v>2743</v>
      </c>
      <c r="C334" t="s">
        <v>174</v>
      </c>
      <c r="D334" t="str">
        <f t="shared" si="152"/>
        <v>Oct-25</v>
      </c>
      <c r="E334" s="242">
        <v>45949</v>
      </c>
      <c r="F334" t="s">
        <v>2116</v>
      </c>
      <c r="G334" t="s">
        <v>400</v>
      </c>
      <c r="H334" s="233">
        <v>19610</v>
      </c>
      <c r="I334" s="233">
        <v>32.799999999999997</v>
      </c>
      <c r="J334" s="233">
        <f t="shared" si="150"/>
        <v>643208</v>
      </c>
      <c r="K334" s="3">
        <v>0</v>
      </c>
      <c r="L334" s="3">
        <f t="shared" si="151"/>
        <v>643208</v>
      </c>
      <c r="M334" s="3"/>
    </row>
    <row r="335" spans="2:13" x14ac:dyDescent="0.3">
      <c r="B335" t="s">
        <v>2743</v>
      </c>
      <c r="C335" t="s">
        <v>174</v>
      </c>
      <c r="D335" t="str">
        <f t="shared" si="152"/>
        <v>Oct-25</v>
      </c>
      <c r="E335" s="242">
        <v>45949</v>
      </c>
      <c r="F335" t="s">
        <v>2273</v>
      </c>
      <c r="G335" t="s">
        <v>1961</v>
      </c>
      <c r="H335" s="233">
        <v>9040</v>
      </c>
      <c r="I335" s="233">
        <v>32.1</v>
      </c>
      <c r="J335" s="233">
        <f t="shared" si="150"/>
        <v>290184</v>
      </c>
      <c r="K335" s="3">
        <v>0</v>
      </c>
      <c r="L335" s="3">
        <f t="shared" si="151"/>
        <v>290184</v>
      </c>
      <c r="M335" s="3"/>
    </row>
    <row r="336" spans="2:13" x14ac:dyDescent="0.3">
      <c r="B336" t="s">
        <v>2743</v>
      </c>
      <c r="C336" t="s">
        <v>174</v>
      </c>
      <c r="D336" t="str">
        <f t="shared" si="152"/>
        <v>Oct-25</v>
      </c>
      <c r="E336" s="242">
        <v>45949</v>
      </c>
      <c r="F336" t="s">
        <v>2274</v>
      </c>
      <c r="G336" t="s">
        <v>1961</v>
      </c>
      <c r="H336" s="233">
        <v>8080</v>
      </c>
      <c r="I336" s="233">
        <v>32.1</v>
      </c>
      <c r="J336" s="233">
        <f t="shared" si="150"/>
        <v>259368</v>
      </c>
      <c r="K336" s="3">
        <v>0</v>
      </c>
      <c r="L336" s="3">
        <f t="shared" si="151"/>
        <v>259368</v>
      </c>
      <c r="M336" s="3"/>
    </row>
    <row r="337" spans="2:13" x14ac:dyDescent="0.3">
      <c r="B337" t="s">
        <v>2743</v>
      </c>
      <c r="C337" t="s">
        <v>174</v>
      </c>
      <c r="D337" t="str">
        <f t="shared" si="152"/>
        <v>Oct-25</v>
      </c>
      <c r="E337" s="242">
        <v>45954</v>
      </c>
      <c r="F337" t="s">
        <v>2275</v>
      </c>
      <c r="G337" t="s">
        <v>1961</v>
      </c>
      <c r="H337" s="233">
        <v>7390</v>
      </c>
      <c r="I337" s="233">
        <v>32.1</v>
      </c>
      <c r="J337" s="233">
        <f t="shared" si="150"/>
        <v>237219</v>
      </c>
      <c r="K337" s="3">
        <v>0</v>
      </c>
      <c r="L337" s="3">
        <f t="shared" si="151"/>
        <v>237219</v>
      </c>
      <c r="M337" s="3"/>
    </row>
    <row r="338" spans="2:13" x14ac:dyDescent="0.3">
      <c r="B338" t="s">
        <v>2743</v>
      </c>
      <c r="C338" t="s">
        <v>174</v>
      </c>
      <c r="D338" t="str">
        <f t="shared" si="152"/>
        <v>Oct-25</v>
      </c>
      <c r="E338" s="242">
        <v>45954</v>
      </c>
      <c r="F338" t="s">
        <v>2276</v>
      </c>
      <c r="G338" t="s">
        <v>1961</v>
      </c>
      <c r="H338" s="233">
        <v>8890</v>
      </c>
      <c r="I338" s="233">
        <v>32.1</v>
      </c>
      <c r="J338" s="233">
        <f t="shared" si="150"/>
        <v>285369</v>
      </c>
      <c r="K338" s="3">
        <v>0</v>
      </c>
      <c r="L338" s="3">
        <f t="shared" si="151"/>
        <v>285369</v>
      </c>
      <c r="M338" s="3"/>
    </row>
    <row r="339" spans="2:13" x14ac:dyDescent="0.3">
      <c r="B339" t="s">
        <v>2743</v>
      </c>
      <c r="C339" t="s">
        <v>174</v>
      </c>
      <c r="D339" t="str">
        <f t="shared" si="152"/>
        <v>Oct-25</v>
      </c>
      <c r="E339" s="242">
        <v>45954</v>
      </c>
      <c r="F339" t="s">
        <v>2277</v>
      </c>
      <c r="G339" t="s">
        <v>1961</v>
      </c>
      <c r="H339" s="233">
        <v>8090</v>
      </c>
      <c r="I339" s="233">
        <v>32.1</v>
      </c>
      <c r="J339" s="233">
        <f t="shared" si="150"/>
        <v>259689</v>
      </c>
      <c r="K339" s="3">
        <v>0</v>
      </c>
      <c r="L339" s="3">
        <f t="shared" si="151"/>
        <v>259689</v>
      </c>
      <c r="M339" s="3"/>
    </row>
    <row r="340" spans="2:13" x14ac:dyDescent="0.3">
      <c r="B340" t="s">
        <v>2743</v>
      </c>
      <c r="C340" t="s">
        <v>174</v>
      </c>
      <c r="D340" t="str">
        <f t="shared" si="152"/>
        <v>Oct-25</v>
      </c>
      <c r="E340" s="242">
        <v>45954</v>
      </c>
      <c r="F340" t="s">
        <v>2278</v>
      </c>
      <c r="G340" t="s">
        <v>1961</v>
      </c>
      <c r="H340" s="233">
        <v>8380</v>
      </c>
      <c r="I340" s="233">
        <v>32.1</v>
      </c>
      <c r="J340" s="233">
        <f t="shared" si="150"/>
        <v>268998</v>
      </c>
      <c r="K340" s="3">
        <v>0</v>
      </c>
      <c r="L340" s="3">
        <f t="shared" si="151"/>
        <v>268998</v>
      </c>
      <c r="M340" s="3"/>
    </row>
    <row r="341" spans="2:13" x14ac:dyDescent="0.3">
      <c r="B341" t="s">
        <v>2743</v>
      </c>
      <c r="C341" t="s">
        <v>174</v>
      </c>
      <c r="D341" t="str">
        <f t="shared" si="152"/>
        <v>Oct-25</v>
      </c>
      <c r="E341" s="242">
        <v>45955</v>
      </c>
      <c r="F341" t="s">
        <v>2182</v>
      </c>
      <c r="G341" t="s">
        <v>1961</v>
      </c>
      <c r="H341" s="233">
        <v>10940</v>
      </c>
      <c r="I341" s="233">
        <v>32.1</v>
      </c>
      <c r="J341" s="233">
        <f t="shared" si="150"/>
        <v>351174</v>
      </c>
      <c r="K341" s="3">
        <v>0</v>
      </c>
      <c r="L341" s="3">
        <f t="shared" si="151"/>
        <v>351174</v>
      </c>
      <c r="M341" s="3"/>
    </row>
    <row r="342" spans="2:13" x14ac:dyDescent="0.3">
      <c r="B342" t="s">
        <v>2743</v>
      </c>
      <c r="C342" t="s">
        <v>174</v>
      </c>
      <c r="D342" t="str">
        <f t="shared" si="152"/>
        <v>Oct-25</v>
      </c>
      <c r="E342" s="242">
        <v>45955</v>
      </c>
      <c r="F342" t="s">
        <v>2183</v>
      </c>
      <c r="G342" t="s">
        <v>1961</v>
      </c>
      <c r="H342" s="233">
        <v>9420</v>
      </c>
      <c r="I342" s="233">
        <v>32.1</v>
      </c>
      <c r="J342" s="233">
        <f t="shared" si="150"/>
        <v>302382</v>
      </c>
      <c r="K342" s="3">
        <v>0</v>
      </c>
      <c r="L342" s="3">
        <f t="shared" si="151"/>
        <v>302382</v>
      </c>
      <c r="M342" s="3"/>
    </row>
    <row r="343" spans="2:13" x14ac:dyDescent="0.3">
      <c r="B343" t="s">
        <v>2743</v>
      </c>
      <c r="C343" t="s">
        <v>174</v>
      </c>
      <c r="D343" t="str">
        <f t="shared" si="152"/>
        <v>Oct-25</v>
      </c>
      <c r="E343" s="242">
        <v>45955</v>
      </c>
      <c r="F343" t="s">
        <v>2184</v>
      </c>
      <c r="G343" t="s">
        <v>1961</v>
      </c>
      <c r="H343" s="233">
        <v>8160</v>
      </c>
      <c r="I343" s="233">
        <v>32.1</v>
      </c>
      <c r="J343" s="233">
        <f t="shared" si="150"/>
        <v>261936</v>
      </c>
      <c r="K343" s="3">
        <v>0</v>
      </c>
      <c r="L343" s="3">
        <f t="shared" si="151"/>
        <v>261936</v>
      </c>
      <c r="M343" s="3"/>
    </row>
    <row r="344" spans="2:13" x14ac:dyDescent="0.3">
      <c r="B344" t="s">
        <v>2743</v>
      </c>
      <c r="C344" t="s">
        <v>174</v>
      </c>
      <c r="D344" t="str">
        <f t="shared" si="152"/>
        <v>Oct-25</v>
      </c>
      <c r="E344" s="242">
        <v>45955</v>
      </c>
      <c r="F344" t="s">
        <v>2185</v>
      </c>
      <c r="G344" t="s">
        <v>1961</v>
      </c>
      <c r="H344" s="233">
        <v>7000</v>
      </c>
      <c r="I344" s="233">
        <v>32.1</v>
      </c>
      <c r="J344" s="233">
        <f t="shared" si="150"/>
        <v>224700</v>
      </c>
      <c r="K344" s="3">
        <v>0</v>
      </c>
      <c r="L344" s="3">
        <f t="shared" si="151"/>
        <v>224700</v>
      </c>
      <c r="M344" s="3"/>
    </row>
    <row r="345" spans="2:13" x14ac:dyDescent="0.3">
      <c r="B345" t="s">
        <v>2743</v>
      </c>
      <c r="C345" t="s">
        <v>174</v>
      </c>
      <c r="D345" t="str">
        <f t="shared" si="152"/>
        <v>Oct-25</v>
      </c>
      <c r="E345" s="242">
        <v>45955</v>
      </c>
      <c r="F345" t="s">
        <v>2186</v>
      </c>
      <c r="G345" t="s">
        <v>1961</v>
      </c>
      <c r="H345" s="233">
        <v>810</v>
      </c>
      <c r="I345" s="233">
        <v>32.1</v>
      </c>
      <c r="J345" s="233">
        <f t="shared" si="150"/>
        <v>26001</v>
      </c>
      <c r="K345" s="3">
        <v>0</v>
      </c>
      <c r="L345" s="3">
        <f t="shared" si="151"/>
        <v>26001</v>
      </c>
      <c r="M345" s="3"/>
    </row>
    <row r="346" spans="2:13" x14ac:dyDescent="0.3">
      <c r="B346" t="s">
        <v>2743</v>
      </c>
      <c r="C346" t="s">
        <v>174</v>
      </c>
      <c r="D346" t="str">
        <f t="shared" si="152"/>
        <v>Oct-25</v>
      </c>
      <c r="E346" s="242">
        <v>45956</v>
      </c>
      <c r="F346" t="s">
        <v>2187</v>
      </c>
      <c r="G346" t="s">
        <v>1961</v>
      </c>
      <c r="H346" s="233">
        <v>8480</v>
      </c>
      <c r="I346" s="233">
        <v>32.1</v>
      </c>
      <c r="J346" s="233">
        <f t="shared" si="150"/>
        <v>272208</v>
      </c>
      <c r="K346" s="3">
        <v>0</v>
      </c>
      <c r="L346" s="3">
        <f t="shared" si="151"/>
        <v>272208</v>
      </c>
      <c r="M346" s="3"/>
    </row>
    <row r="347" spans="2:13" x14ac:dyDescent="0.3">
      <c r="B347" t="s">
        <v>2743</v>
      </c>
      <c r="C347" t="s">
        <v>174</v>
      </c>
      <c r="D347" t="str">
        <f t="shared" si="152"/>
        <v>Oct-25</v>
      </c>
      <c r="E347" s="242">
        <v>45956</v>
      </c>
      <c r="F347" t="s">
        <v>2188</v>
      </c>
      <c r="G347" t="s">
        <v>1961</v>
      </c>
      <c r="H347" s="233">
        <v>6420</v>
      </c>
      <c r="I347" s="233">
        <v>32.1</v>
      </c>
      <c r="J347" s="233">
        <f t="shared" si="150"/>
        <v>206082</v>
      </c>
      <c r="K347" s="3">
        <v>0</v>
      </c>
      <c r="L347" s="3">
        <f t="shared" si="151"/>
        <v>206082</v>
      </c>
      <c r="M347" s="3"/>
    </row>
    <row r="348" spans="2:13" x14ac:dyDescent="0.3">
      <c r="B348" t="s">
        <v>2743</v>
      </c>
      <c r="C348" t="s">
        <v>174</v>
      </c>
      <c r="D348" t="str">
        <f t="shared" si="152"/>
        <v>Oct-25</v>
      </c>
      <c r="E348" s="242">
        <v>45956</v>
      </c>
      <c r="F348" t="s">
        <v>2189</v>
      </c>
      <c r="G348" t="s">
        <v>1961</v>
      </c>
      <c r="H348" s="233">
        <v>8580</v>
      </c>
      <c r="I348" s="233">
        <v>32.1</v>
      </c>
      <c r="J348" s="233">
        <f t="shared" si="150"/>
        <v>275418</v>
      </c>
      <c r="K348" s="3">
        <v>0</v>
      </c>
      <c r="L348" s="3">
        <f t="shared" si="151"/>
        <v>275418</v>
      </c>
      <c r="M348" s="3"/>
    </row>
    <row r="349" spans="2:13" x14ac:dyDescent="0.3">
      <c r="B349" t="s">
        <v>2743</v>
      </c>
      <c r="C349" t="s">
        <v>174</v>
      </c>
      <c r="D349" t="str">
        <f t="shared" si="152"/>
        <v>Oct-25</v>
      </c>
      <c r="E349" s="242">
        <v>45956</v>
      </c>
      <c r="F349" t="s">
        <v>2198</v>
      </c>
      <c r="G349" t="s">
        <v>400</v>
      </c>
      <c r="H349" s="233">
        <v>20660</v>
      </c>
      <c r="I349" s="233">
        <v>32.799999999999997</v>
      </c>
      <c r="J349" s="233">
        <f t="shared" si="150"/>
        <v>677647.99999999988</v>
      </c>
      <c r="K349" s="3">
        <v>0</v>
      </c>
      <c r="L349" s="3">
        <f t="shared" si="151"/>
        <v>677647.99999999988</v>
      </c>
      <c r="M349" s="3"/>
    </row>
    <row r="350" spans="2:13" x14ac:dyDescent="0.3">
      <c r="B350" t="s">
        <v>2743</v>
      </c>
      <c r="C350" t="s">
        <v>174</v>
      </c>
      <c r="D350" t="str">
        <f t="shared" si="152"/>
        <v>Oct-25</v>
      </c>
      <c r="E350" s="242">
        <v>45957</v>
      </c>
      <c r="F350" t="s">
        <v>2199</v>
      </c>
      <c r="G350" t="s">
        <v>1961</v>
      </c>
      <c r="H350" s="233">
        <v>7320</v>
      </c>
      <c r="I350" s="233">
        <v>32.1</v>
      </c>
      <c r="J350" s="233">
        <f t="shared" si="150"/>
        <v>234972</v>
      </c>
      <c r="K350" s="3">
        <v>0</v>
      </c>
      <c r="L350" s="3">
        <f t="shared" si="151"/>
        <v>234972</v>
      </c>
      <c r="M350" s="3"/>
    </row>
    <row r="351" spans="2:13" x14ac:dyDescent="0.3">
      <c r="B351" t="s">
        <v>2743</v>
      </c>
      <c r="C351" t="s">
        <v>174</v>
      </c>
      <c r="D351" t="str">
        <f t="shared" si="152"/>
        <v>Oct-25</v>
      </c>
      <c r="E351" s="242">
        <v>45957</v>
      </c>
      <c r="F351" t="s">
        <v>2200</v>
      </c>
      <c r="G351" t="s">
        <v>1961</v>
      </c>
      <c r="H351" s="233">
        <v>8210</v>
      </c>
      <c r="I351" s="233">
        <v>32.1</v>
      </c>
      <c r="J351" s="233">
        <f t="shared" si="150"/>
        <v>263541</v>
      </c>
      <c r="K351" s="3">
        <v>0</v>
      </c>
      <c r="L351" s="3">
        <f t="shared" si="151"/>
        <v>263541</v>
      </c>
      <c r="M351" s="3"/>
    </row>
    <row r="352" spans="2:13" x14ac:dyDescent="0.3">
      <c r="B352" t="s">
        <v>2743</v>
      </c>
      <c r="C352" t="s">
        <v>174</v>
      </c>
      <c r="D352" t="str">
        <f t="shared" si="152"/>
        <v>Oct-25</v>
      </c>
      <c r="E352" s="242">
        <v>45957</v>
      </c>
      <c r="F352" t="s">
        <v>2201</v>
      </c>
      <c r="G352" t="s">
        <v>1961</v>
      </c>
      <c r="H352" s="233">
        <v>8870</v>
      </c>
      <c r="I352" s="233">
        <v>32.1</v>
      </c>
      <c r="J352" s="233">
        <f t="shared" si="150"/>
        <v>284727</v>
      </c>
      <c r="K352" s="3">
        <v>0</v>
      </c>
      <c r="L352" s="3">
        <f t="shared" si="151"/>
        <v>284727</v>
      </c>
      <c r="M352" s="3"/>
    </row>
    <row r="353" spans="2:13" x14ac:dyDescent="0.3">
      <c r="B353" t="s">
        <v>2743</v>
      </c>
      <c r="C353" t="s">
        <v>174</v>
      </c>
      <c r="D353" t="str">
        <f t="shared" si="152"/>
        <v>Oct-25</v>
      </c>
      <c r="E353" s="242">
        <v>45957</v>
      </c>
      <c r="F353" t="s">
        <v>2202</v>
      </c>
      <c r="G353" t="s">
        <v>400</v>
      </c>
      <c r="H353" s="233">
        <v>8720</v>
      </c>
      <c r="I353" s="233">
        <v>32.799999999999997</v>
      </c>
      <c r="J353" s="233">
        <f t="shared" si="150"/>
        <v>286016</v>
      </c>
      <c r="K353" s="3">
        <v>0</v>
      </c>
      <c r="L353" s="3">
        <f t="shared" si="151"/>
        <v>286016</v>
      </c>
      <c r="M353" s="3"/>
    </row>
    <row r="354" spans="2:13" x14ac:dyDescent="0.3">
      <c r="B354" t="s">
        <v>2743</v>
      </c>
      <c r="C354" t="s">
        <v>174</v>
      </c>
      <c r="D354" t="str">
        <f t="shared" si="152"/>
        <v>Oct-25</v>
      </c>
      <c r="E354" s="242">
        <v>45957</v>
      </c>
      <c r="F354" t="s">
        <v>2203</v>
      </c>
      <c r="G354" t="s">
        <v>400</v>
      </c>
      <c r="H354" s="233">
        <v>22130</v>
      </c>
      <c r="I354" s="233">
        <v>32.799999999999997</v>
      </c>
      <c r="J354" s="233">
        <f t="shared" si="150"/>
        <v>725863.99999999988</v>
      </c>
      <c r="K354" s="3">
        <v>0</v>
      </c>
      <c r="L354" s="3">
        <f t="shared" si="151"/>
        <v>725863.99999999988</v>
      </c>
      <c r="M354" s="3"/>
    </row>
    <row r="355" spans="2:13" x14ac:dyDescent="0.3">
      <c r="B355" t="s">
        <v>2743</v>
      </c>
      <c r="C355" t="s">
        <v>174</v>
      </c>
      <c r="D355" t="str">
        <f t="shared" si="152"/>
        <v>Oct-25</v>
      </c>
      <c r="E355" s="242">
        <v>45958</v>
      </c>
      <c r="F355" t="s">
        <v>2204</v>
      </c>
      <c r="G355" t="s">
        <v>1961</v>
      </c>
      <c r="H355" s="233">
        <v>10470</v>
      </c>
      <c r="I355" s="233">
        <v>32.1</v>
      </c>
      <c r="J355" s="233">
        <f t="shared" si="150"/>
        <v>336087</v>
      </c>
      <c r="K355" s="3">
        <v>0</v>
      </c>
      <c r="L355" s="3">
        <f t="shared" si="151"/>
        <v>336087</v>
      </c>
      <c r="M355" s="3"/>
    </row>
    <row r="356" spans="2:13" x14ac:dyDescent="0.3">
      <c r="B356" t="s">
        <v>2743</v>
      </c>
      <c r="C356" t="s">
        <v>174</v>
      </c>
      <c r="D356" t="str">
        <f t="shared" si="152"/>
        <v>Oct-25</v>
      </c>
      <c r="E356" s="242">
        <v>45958</v>
      </c>
      <c r="F356" t="s">
        <v>2205</v>
      </c>
      <c r="G356" t="s">
        <v>1961</v>
      </c>
      <c r="H356" s="233">
        <v>12370</v>
      </c>
      <c r="I356" s="233">
        <v>32.1</v>
      </c>
      <c r="J356" s="233">
        <f t="shared" si="150"/>
        <v>397077</v>
      </c>
      <c r="K356" s="3">
        <v>0</v>
      </c>
      <c r="L356" s="3">
        <f t="shared" si="151"/>
        <v>397077</v>
      </c>
      <c r="M356" s="3"/>
    </row>
    <row r="357" spans="2:13" x14ac:dyDescent="0.3">
      <c r="B357" t="s">
        <v>2743</v>
      </c>
      <c r="C357" t="s">
        <v>174</v>
      </c>
      <c r="D357" t="str">
        <f t="shared" si="152"/>
        <v>Oct-25</v>
      </c>
      <c r="E357" s="242">
        <v>45958</v>
      </c>
      <c r="F357" t="s">
        <v>2206</v>
      </c>
      <c r="G357" t="s">
        <v>1961</v>
      </c>
      <c r="H357" s="233">
        <v>10160</v>
      </c>
      <c r="I357" s="233">
        <v>32.1</v>
      </c>
      <c r="J357" s="233">
        <f t="shared" si="150"/>
        <v>326136</v>
      </c>
      <c r="K357" s="3">
        <v>0</v>
      </c>
      <c r="L357" s="3">
        <f t="shared" si="151"/>
        <v>326136</v>
      </c>
      <c r="M357" s="3"/>
    </row>
    <row r="358" spans="2:13" x14ac:dyDescent="0.3">
      <c r="B358" t="s">
        <v>2743</v>
      </c>
      <c r="C358" t="s">
        <v>174</v>
      </c>
      <c r="D358" t="str">
        <f t="shared" si="152"/>
        <v>Oct-25</v>
      </c>
      <c r="E358" s="242">
        <v>45958</v>
      </c>
      <c r="F358" t="s">
        <v>2207</v>
      </c>
      <c r="G358" t="s">
        <v>400</v>
      </c>
      <c r="H358" s="233">
        <v>18360</v>
      </c>
      <c r="I358" s="233">
        <v>32.799999999999997</v>
      </c>
      <c r="J358" s="233">
        <f t="shared" si="150"/>
        <v>602208</v>
      </c>
      <c r="K358" s="3">
        <v>0</v>
      </c>
      <c r="L358" s="3">
        <f t="shared" si="151"/>
        <v>602208</v>
      </c>
      <c r="M358" s="3"/>
    </row>
    <row r="359" spans="2:13" x14ac:dyDescent="0.3">
      <c r="B359" t="s">
        <v>2743</v>
      </c>
      <c r="C359" t="s">
        <v>174</v>
      </c>
      <c r="D359" t="str">
        <f t="shared" si="152"/>
        <v>Oct-25</v>
      </c>
      <c r="E359" s="242">
        <v>45958</v>
      </c>
      <c r="F359" t="s">
        <v>2208</v>
      </c>
      <c r="G359" t="s">
        <v>400</v>
      </c>
      <c r="H359" s="233">
        <v>35250</v>
      </c>
      <c r="I359" s="233">
        <v>32.799999999999997</v>
      </c>
      <c r="J359" s="233">
        <f t="shared" si="150"/>
        <v>1156200</v>
      </c>
      <c r="K359" s="3">
        <v>0</v>
      </c>
      <c r="L359" s="3">
        <f t="shared" si="151"/>
        <v>1156200</v>
      </c>
      <c r="M359" s="3"/>
    </row>
    <row r="360" spans="2:13" x14ac:dyDescent="0.3">
      <c r="B360" t="s">
        <v>2743</v>
      </c>
      <c r="C360" t="s">
        <v>174</v>
      </c>
      <c r="D360" t="str">
        <f t="shared" si="152"/>
        <v>Oct-25</v>
      </c>
      <c r="E360" s="242">
        <v>45958</v>
      </c>
      <c r="F360" t="s">
        <v>2209</v>
      </c>
      <c r="G360" t="s">
        <v>400</v>
      </c>
      <c r="H360" s="233">
        <v>14670</v>
      </c>
      <c r="I360" s="233">
        <v>32.799999999999997</v>
      </c>
      <c r="J360" s="233">
        <f t="shared" si="150"/>
        <v>481175.99999999994</v>
      </c>
      <c r="K360" s="3">
        <v>0</v>
      </c>
      <c r="L360" s="3">
        <f t="shared" si="151"/>
        <v>481175.99999999994</v>
      </c>
      <c r="M360" s="3"/>
    </row>
    <row r="361" spans="2:13" x14ac:dyDescent="0.3">
      <c r="B361" t="s">
        <v>2743</v>
      </c>
      <c r="C361" t="s">
        <v>174</v>
      </c>
      <c r="D361" t="str">
        <f t="shared" si="152"/>
        <v>Oct-25</v>
      </c>
      <c r="E361" s="242">
        <v>45959</v>
      </c>
      <c r="F361" t="s">
        <v>2224</v>
      </c>
      <c r="G361" t="s">
        <v>1961</v>
      </c>
      <c r="H361" s="233">
        <v>8440</v>
      </c>
      <c r="I361" s="233">
        <v>32.1</v>
      </c>
      <c r="J361" s="233">
        <f t="shared" si="150"/>
        <v>270924</v>
      </c>
      <c r="K361" s="3">
        <v>0</v>
      </c>
      <c r="L361" s="3">
        <f t="shared" si="151"/>
        <v>270924</v>
      </c>
      <c r="M361" s="3"/>
    </row>
    <row r="362" spans="2:13" x14ac:dyDescent="0.3">
      <c r="B362" t="s">
        <v>2743</v>
      </c>
      <c r="C362" t="s">
        <v>174</v>
      </c>
      <c r="D362" t="str">
        <f t="shared" si="152"/>
        <v>Oct-25</v>
      </c>
      <c r="E362" s="242">
        <v>45959</v>
      </c>
      <c r="F362" t="s">
        <v>2225</v>
      </c>
      <c r="G362" t="s">
        <v>1961</v>
      </c>
      <c r="H362" s="233">
        <v>7530</v>
      </c>
      <c r="I362" s="233">
        <v>32.1</v>
      </c>
      <c r="J362" s="233">
        <f t="shared" si="150"/>
        <v>241713</v>
      </c>
      <c r="K362" s="3">
        <v>0</v>
      </c>
      <c r="L362" s="3">
        <f t="shared" si="151"/>
        <v>241713</v>
      </c>
      <c r="M362" s="3"/>
    </row>
    <row r="363" spans="2:13" x14ac:dyDescent="0.3">
      <c r="B363" t="s">
        <v>2743</v>
      </c>
      <c r="C363" t="s">
        <v>174</v>
      </c>
      <c r="D363" t="str">
        <f t="shared" si="152"/>
        <v>Oct-25</v>
      </c>
      <c r="E363" s="242">
        <v>45959</v>
      </c>
      <c r="F363" t="s">
        <v>2226</v>
      </c>
      <c r="G363" t="s">
        <v>400</v>
      </c>
      <c r="H363" s="233">
        <v>30800</v>
      </c>
      <c r="I363" s="233">
        <v>32.799999999999997</v>
      </c>
      <c r="J363" s="233">
        <f t="shared" si="150"/>
        <v>1010239.9999999999</v>
      </c>
      <c r="K363" s="3">
        <v>0</v>
      </c>
      <c r="L363" s="3">
        <f t="shared" si="151"/>
        <v>1010239.9999999999</v>
      </c>
      <c r="M363" s="3"/>
    </row>
    <row r="364" spans="2:13" x14ac:dyDescent="0.3">
      <c r="B364" t="s">
        <v>2743</v>
      </c>
      <c r="C364" t="s">
        <v>174</v>
      </c>
      <c r="D364" t="str">
        <f t="shared" si="152"/>
        <v>Oct-25</v>
      </c>
      <c r="E364" s="242">
        <v>45960</v>
      </c>
      <c r="F364" t="s">
        <v>2227</v>
      </c>
      <c r="G364" t="s">
        <v>1961</v>
      </c>
      <c r="H364" s="233">
        <v>8370</v>
      </c>
      <c r="I364" s="233">
        <v>32.1</v>
      </c>
      <c r="J364" s="233">
        <f t="shared" si="150"/>
        <v>268677</v>
      </c>
      <c r="K364" s="3">
        <v>0</v>
      </c>
      <c r="L364" s="3">
        <f t="shared" si="151"/>
        <v>268677</v>
      </c>
      <c r="M364" s="3"/>
    </row>
    <row r="365" spans="2:13" x14ac:dyDescent="0.3">
      <c r="B365" t="s">
        <v>2743</v>
      </c>
      <c r="C365" t="s">
        <v>174</v>
      </c>
      <c r="D365" t="str">
        <f t="shared" si="152"/>
        <v>Oct-25</v>
      </c>
      <c r="E365" s="242">
        <v>45960</v>
      </c>
      <c r="F365" t="s">
        <v>2228</v>
      </c>
      <c r="G365" t="s">
        <v>1961</v>
      </c>
      <c r="H365" s="233">
        <v>10700</v>
      </c>
      <c r="I365" s="233">
        <v>32.1</v>
      </c>
      <c r="J365" s="233">
        <f t="shared" si="150"/>
        <v>343470</v>
      </c>
      <c r="K365" s="3">
        <v>0</v>
      </c>
      <c r="L365" s="3">
        <f t="shared" si="151"/>
        <v>343470</v>
      </c>
      <c r="M365" s="3"/>
    </row>
    <row r="366" spans="2:13" x14ac:dyDescent="0.3">
      <c r="B366" t="s">
        <v>2743</v>
      </c>
      <c r="C366" t="s">
        <v>174</v>
      </c>
      <c r="D366" t="str">
        <f t="shared" si="152"/>
        <v>Oct-25</v>
      </c>
      <c r="E366" s="242">
        <v>45961</v>
      </c>
      <c r="F366" t="s">
        <v>2235</v>
      </c>
      <c r="G366" t="s">
        <v>400</v>
      </c>
      <c r="H366" s="233">
        <v>7750</v>
      </c>
      <c r="I366" s="233">
        <v>32.799999999999997</v>
      </c>
      <c r="J366" s="233">
        <f t="shared" si="150"/>
        <v>254199.99999999997</v>
      </c>
      <c r="K366" s="3">
        <v>0</v>
      </c>
      <c r="L366" s="3">
        <f t="shared" si="151"/>
        <v>254199.99999999997</v>
      </c>
      <c r="M366" s="3"/>
    </row>
    <row r="367" spans="2:13" x14ac:dyDescent="0.3">
      <c r="B367" t="s">
        <v>2743</v>
      </c>
      <c r="C367" t="s">
        <v>174</v>
      </c>
      <c r="D367" t="str">
        <f t="shared" si="152"/>
        <v>Oct-25</v>
      </c>
      <c r="E367" s="242">
        <v>45961</v>
      </c>
      <c r="F367" t="s">
        <v>2236</v>
      </c>
      <c r="G367" t="s">
        <v>400</v>
      </c>
      <c r="H367" s="233">
        <v>6370</v>
      </c>
      <c r="I367" s="233">
        <v>32.799999999999997</v>
      </c>
      <c r="J367" s="233">
        <f t="shared" si="150"/>
        <v>208935.99999999997</v>
      </c>
      <c r="K367" s="3">
        <v>0</v>
      </c>
      <c r="L367" s="3">
        <f t="shared" si="151"/>
        <v>208935.99999999997</v>
      </c>
      <c r="M367" s="3"/>
    </row>
    <row r="368" spans="2:13" x14ac:dyDescent="0.3">
      <c r="B368" t="s">
        <v>1365</v>
      </c>
      <c r="C368" t="s">
        <v>174</v>
      </c>
      <c r="D368" t="str">
        <f t="shared" si="152"/>
        <v>Nov-25</v>
      </c>
      <c r="E368" s="242">
        <v>45963</v>
      </c>
      <c r="G368" t="s">
        <v>395</v>
      </c>
      <c r="H368" s="233">
        <v>1</v>
      </c>
      <c r="I368" s="233">
        <v>139600</v>
      </c>
      <c r="J368" s="233">
        <f t="shared" si="150"/>
        <v>139600</v>
      </c>
      <c r="K368" s="3">
        <v>0</v>
      </c>
      <c r="L368" s="3">
        <f t="shared" si="151"/>
        <v>139600</v>
      </c>
      <c r="M368" s="3"/>
    </row>
    <row r="369" spans="2:13" x14ac:dyDescent="0.3">
      <c r="B369" t="s">
        <v>1365</v>
      </c>
      <c r="C369" t="s">
        <v>174</v>
      </c>
      <c r="D369" t="str">
        <f t="shared" si="152"/>
        <v>Nov-25</v>
      </c>
      <c r="E369" s="242">
        <v>45963</v>
      </c>
      <c r="G369" t="s">
        <v>240</v>
      </c>
      <c r="H369" s="233">
        <v>1</v>
      </c>
      <c r="I369" s="233">
        <v>67050</v>
      </c>
      <c r="J369" s="233">
        <f t="shared" si="150"/>
        <v>67050</v>
      </c>
      <c r="K369" s="3">
        <v>0</v>
      </c>
      <c r="L369" s="3">
        <f t="shared" si="151"/>
        <v>67050</v>
      </c>
      <c r="M369" s="3"/>
    </row>
    <row r="370" spans="2:13" x14ac:dyDescent="0.3">
      <c r="B370" t="s">
        <v>1365</v>
      </c>
      <c r="C370" t="s">
        <v>174</v>
      </c>
      <c r="D370" t="str">
        <f t="shared" si="152"/>
        <v>Nov-25</v>
      </c>
      <c r="E370" s="242">
        <v>45964</v>
      </c>
      <c r="G370" t="s">
        <v>462</v>
      </c>
      <c r="H370" s="233">
        <v>416</v>
      </c>
      <c r="I370" s="233">
        <v>240</v>
      </c>
      <c r="J370" s="233">
        <f t="shared" si="150"/>
        <v>99840</v>
      </c>
      <c r="K370" s="3">
        <v>0</v>
      </c>
      <c r="L370" s="3">
        <f t="shared" si="151"/>
        <v>99840</v>
      </c>
      <c r="M370" s="3"/>
    </row>
    <row r="371" spans="2:13" x14ac:dyDescent="0.3">
      <c r="B371" t="s">
        <v>1365</v>
      </c>
      <c r="C371" t="s">
        <v>174</v>
      </c>
      <c r="D371" t="str">
        <f t="shared" si="152"/>
        <v>Nov-25</v>
      </c>
      <c r="E371" s="242">
        <v>45964</v>
      </c>
      <c r="G371" t="s">
        <v>462</v>
      </c>
      <c r="H371" s="233">
        <v>55</v>
      </c>
      <c r="I371" s="233">
        <v>1850</v>
      </c>
      <c r="J371" s="233">
        <f t="shared" si="150"/>
        <v>101750</v>
      </c>
      <c r="K371" s="3">
        <v>0</v>
      </c>
      <c r="L371" s="3">
        <f t="shared" si="151"/>
        <v>101750</v>
      </c>
      <c r="M371" s="3"/>
    </row>
    <row r="372" spans="2:13" x14ac:dyDescent="0.3">
      <c r="B372" t="s">
        <v>1365</v>
      </c>
      <c r="C372" t="s">
        <v>174</v>
      </c>
      <c r="D372" t="str">
        <f t="shared" si="152"/>
        <v>Nov-25</v>
      </c>
      <c r="E372" s="242">
        <v>45964</v>
      </c>
      <c r="G372" t="s">
        <v>2054</v>
      </c>
      <c r="H372" s="233">
        <v>1</v>
      </c>
      <c r="I372" s="233">
        <v>156875</v>
      </c>
      <c r="J372" s="233">
        <f t="shared" si="150"/>
        <v>156875</v>
      </c>
      <c r="K372" s="3">
        <v>0</v>
      </c>
      <c r="L372" s="3">
        <f t="shared" si="151"/>
        <v>156875</v>
      </c>
      <c r="M372" s="3"/>
    </row>
    <row r="373" spans="2:13" x14ac:dyDescent="0.3">
      <c r="B373" t="s">
        <v>1365</v>
      </c>
      <c r="C373" t="s">
        <v>174</v>
      </c>
      <c r="D373" t="str">
        <f t="shared" si="152"/>
        <v>Nov-25</v>
      </c>
      <c r="E373" s="242">
        <v>45976</v>
      </c>
      <c r="F373" t="s">
        <v>329</v>
      </c>
      <c r="G373" t="s">
        <v>2325</v>
      </c>
      <c r="H373" s="233">
        <v>25140</v>
      </c>
      <c r="I373" s="233">
        <v>2.2000000000000002</v>
      </c>
      <c r="J373" s="233">
        <f t="shared" si="150"/>
        <v>55308.000000000007</v>
      </c>
      <c r="K373" s="3">
        <v>0</v>
      </c>
      <c r="L373" s="3">
        <f t="shared" si="151"/>
        <v>55308.000000000007</v>
      </c>
      <c r="M373" s="3"/>
    </row>
    <row r="374" spans="2:13" x14ac:dyDescent="0.3">
      <c r="B374" t="s">
        <v>1365</v>
      </c>
      <c r="C374" t="s">
        <v>174</v>
      </c>
      <c r="D374" t="str">
        <f t="shared" si="152"/>
        <v>Nov-25</v>
      </c>
      <c r="E374" s="242">
        <v>45979</v>
      </c>
      <c r="F374" t="s">
        <v>329</v>
      </c>
      <c r="G374" t="s">
        <v>395</v>
      </c>
      <c r="H374" s="233">
        <v>1</v>
      </c>
      <c r="I374" s="233">
        <v>49100</v>
      </c>
      <c r="J374" s="233">
        <f t="shared" si="150"/>
        <v>49100</v>
      </c>
      <c r="K374" s="3">
        <v>0</v>
      </c>
      <c r="L374" s="3">
        <f t="shared" si="151"/>
        <v>49100</v>
      </c>
      <c r="M374" s="3"/>
    </row>
    <row r="375" spans="2:13" x14ac:dyDescent="0.3">
      <c r="B375" t="s">
        <v>1365</v>
      </c>
      <c r="C375" t="s">
        <v>174</v>
      </c>
      <c r="D375" t="str">
        <f t="shared" si="152"/>
        <v>Nov-25</v>
      </c>
      <c r="E375" s="242">
        <v>45982</v>
      </c>
      <c r="F375" t="s">
        <v>329</v>
      </c>
      <c r="G375" t="s">
        <v>2332</v>
      </c>
      <c r="H375" s="233">
        <v>1</v>
      </c>
      <c r="I375" s="233">
        <v>300000</v>
      </c>
      <c r="J375" s="233">
        <f t="shared" si="150"/>
        <v>300000</v>
      </c>
      <c r="K375" s="3">
        <v>0</v>
      </c>
      <c r="L375" s="3">
        <f t="shared" si="151"/>
        <v>300000</v>
      </c>
    </row>
    <row r="376" spans="2:13" x14ac:dyDescent="0.3">
      <c r="B376" t="s">
        <v>1365</v>
      </c>
      <c r="C376" t="s">
        <v>174</v>
      </c>
      <c r="D376" t="str">
        <f t="shared" si="152"/>
        <v>Nov-25</v>
      </c>
      <c r="E376" s="242">
        <v>45990</v>
      </c>
      <c r="F376" t="s">
        <v>329</v>
      </c>
      <c r="G376" t="s">
        <v>395</v>
      </c>
      <c r="H376" s="233">
        <v>1</v>
      </c>
      <c r="I376" s="233">
        <v>8800</v>
      </c>
      <c r="J376" s="233">
        <f t="shared" si="150"/>
        <v>8800</v>
      </c>
      <c r="K376" s="3">
        <v>0</v>
      </c>
      <c r="L376" s="3">
        <f t="shared" si="151"/>
        <v>8800</v>
      </c>
    </row>
    <row r="377" spans="2:13" x14ac:dyDescent="0.3">
      <c r="B377" t="s">
        <v>2743</v>
      </c>
      <c r="C377" t="s">
        <v>174</v>
      </c>
      <c r="D377" t="str">
        <f t="shared" si="152"/>
        <v>Dec-25</v>
      </c>
      <c r="E377" s="242">
        <v>45992</v>
      </c>
      <c r="F377" t="s">
        <v>2421</v>
      </c>
      <c r="G377" t="s">
        <v>2423</v>
      </c>
      <c r="H377" s="233">
        <v>13154</v>
      </c>
      <c r="I377" s="233">
        <v>142.21104</v>
      </c>
      <c r="J377" s="233">
        <f t="shared" ref="J377:J384" si="153">H377*I377</f>
        <v>1870644.0201600001</v>
      </c>
      <c r="K377" s="3">
        <v>-714247</v>
      </c>
      <c r="L377" s="3">
        <f>J377+K377</f>
        <v>1156397.0201600001</v>
      </c>
    </row>
    <row r="378" spans="2:13" x14ac:dyDescent="0.3">
      <c r="B378" t="s">
        <v>1365</v>
      </c>
      <c r="C378" t="s">
        <v>174</v>
      </c>
      <c r="D378" t="str">
        <f t="shared" si="152"/>
        <v>Dec-25</v>
      </c>
      <c r="E378" s="242">
        <v>45999</v>
      </c>
      <c r="G378" t="s">
        <v>462</v>
      </c>
      <c r="H378" s="233">
        <v>36</v>
      </c>
      <c r="I378" s="233">
        <v>240</v>
      </c>
      <c r="J378" s="233">
        <f t="shared" si="153"/>
        <v>8640</v>
      </c>
      <c r="K378" s="3">
        <v>0</v>
      </c>
      <c r="L378" s="3">
        <f t="shared" si="151"/>
        <v>8640</v>
      </c>
    </row>
    <row r="379" spans="2:13" x14ac:dyDescent="0.3">
      <c r="B379" t="s">
        <v>1365</v>
      </c>
      <c r="C379" t="s">
        <v>174</v>
      </c>
      <c r="D379" t="str">
        <f t="shared" si="152"/>
        <v>Dec-25</v>
      </c>
      <c r="E379" s="242">
        <v>45999</v>
      </c>
      <c r="G379" t="s">
        <v>462</v>
      </c>
      <c r="H379" s="233">
        <v>2</v>
      </c>
      <c r="I379" s="233">
        <v>1850</v>
      </c>
      <c r="J379" s="233">
        <f t="shared" si="153"/>
        <v>3700</v>
      </c>
      <c r="K379" s="3">
        <v>0</v>
      </c>
      <c r="L379" s="3">
        <f t="shared" si="151"/>
        <v>3700</v>
      </c>
    </row>
    <row r="380" spans="2:13" x14ac:dyDescent="0.3">
      <c r="B380" t="s">
        <v>1365</v>
      </c>
      <c r="C380" t="s">
        <v>174</v>
      </c>
      <c r="D380" t="str">
        <f t="shared" si="152"/>
        <v>Dec-25</v>
      </c>
      <c r="E380" s="242">
        <v>45999</v>
      </c>
      <c r="G380" t="s">
        <v>240</v>
      </c>
      <c r="H380" s="233">
        <v>1</v>
      </c>
      <c r="I380" s="233">
        <v>1300</v>
      </c>
      <c r="J380" s="233">
        <f t="shared" si="153"/>
        <v>1300</v>
      </c>
      <c r="K380" s="3">
        <v>0</v>
      </c>
      <c r="L380" s="3">
        <f t="shared" si="151"/>
        <v>1300</v>
      </c>
    </row>
    <row r="381" spans="2:13" x14ac:dyDescent="0.3">
      <c r="B381" t="s">
        <v>2743</v>
      </c>
      <c r="C381" t="s">
        <v>174</v>
      </c>
      <c r="D381" t="str">
        <f t="shared" si="152"/>
        <v>Dec-25</v>
      </c>
      <c r="E381" s="242">
        <v>46000</v>
      </c>
      <c r="F381" t="s">
        <v>2422</v>
      </c>
      <c r="G381" t="s">
        <v>2423</v>
      </c>
      <c r="H381" s="233">
        <v>13080</v>
      </c>
      <c r="I381" s="233">
        <v>161.20106999999999</v>
      </c>
      <c r="J381" s="233">
        <f t="shared" si="153"/>
        <v>2108509.9956</v>
      </c>
      <c r="K381" s="3">
        <v>0</v>
      </c>
      <c r="L381" s="3">
        <f t="shared" si="151"/>
        <v>2108509.9956</v>
      </c>
    </row>
    <row r="382" spans="2:13" x14ac:dyDescent="0.3">
      <c r="B382" t="s">
        <v>2743</v>
      </c>
      <c r="C382" t="s">
        <v>174</v>
      </c>
      <c r="D382" t="str">
        <f t="shared" si="152"/>
        <v>Dec-25</v>
      </c>
      <c r="E382" s="242">
        <v>46022</v>
      </c>
      <c r="F382" t="s">
        <v>2414</v>
      </c>
      <c r="G382" t="s">
        <v>196</v>
      </c>
      <c r="H382" s="233">
        <v>35215</v>
      </c>
      <c r="I382" s="233">
        <v>0.84899999999999998</v>
      </c>
      <c r="J382" s="233">
        <f t="shared" si="153"/>
        <v>29897.535</v>
      </c>
      <c r="K382" s="3">
        <v>0</v>
      </c>
      <c r="L382" s="3">
        <f t="shared" si="151"/>
        <v>29897.535</v>
      </c>
    </row>
    <row r="383" spans="2:13" x14ac:dyDescent="0.3">
      <c r="B383" t="s">
        <v>1365</v>
      </c>
      <c r="C383" t="s">
        <v>174</v>
      </c>
      <c r="D383" t="str">
        <f t="shared" si="152"/>
        <v>Jan-26</v>
      </c>
      <c r="E383" s="242">
        <v>46028</v>
      </c>
      <c r="F383" t="s">
        <v>329</v>
      </c>
      <c r="G383" t="s">
        <v>462</v>
      </c>
      <c r="H383" s="233">
        <v>15</v>
      </c>
      <c r="I383" s="233">
        <v>240</v>
      </c>
      <c r="J383" s="233">
        <f t="shared" si="153"/>
        <v>3600</v>
      </c>
      <c r="K383" s="3">
        <v>0</v>
      </c>
      <c r="L383" s="3">
        <f t="shared" si="151"/>
        <v>3600</v>
      </c>
    </row>
    <row r="384" spans="2:13" x14ac:dyDescent="0.3">
      <c r="B384" t="s">
        <v>1365</v>
      </c>
      <c r="C384" t="s">
        <v>174</v>
      </c>
      <c r="D384" t="str">
        <f t="shared" si="152"/>
        <v>Jan-26</v>
      </c>
      <c r="E384" s="242">
        <v>46028</v>
      </c>
      <c r="F384" t="s">
        <v>329</v>
      </c>
      <c r="G384" t="s">
        <v>462</v>
      </c>
      <c r="H384" s="233">
        <v>1</v>
      </c>
      <c r="I384" s="233">
        <v>1850</v>
      </c>
      <c r="J384" s="233">
        <f t="shared" si="153"/>
        <v>1850</v>
      </c>
      <c r="K384" s="3">
        <v>0</v>
      </c>
      <c r="L384" s="3">
        <f t="shared" si="151"/>
        <v>1850</v>
      </c>
    </row>
    <row r="385" spans="2:12" x14ac:dyDescent="0.3">
      <c r="B385" t="s">
        <v>2743</v>
      </c>
      <c r="C385" t="s">
        <v>174</v>
      </c>
      <c r="D385" t="str">
        <f t="shared" si="152"/>
        <v>Jan-26</v>
      </c>
      <c r="E385" s="242">
        <v>46035</v>
      </c>
      <c r="F385" t="s">
        <v>2581</v>
      </c>
      <c r="G385" t="s">
        <v>196</v>
      </c>
      <c r="H385" s="233">
        <v>10510</v>
      </c>
      <c r="I385" s="233">
        <v>1.113</v>
      </c>
      <c r="J385" s="233">
        <f t="shared" ref="J385:J386" si="154">H385*I385</f>
        <v>11697.63</v>
      </c>
      <c r="K385" s="3">
        <v>0</v>
      </c>
      <c r="L385" s="3">
        <f t="shared" ref="L385" si="155">J385+K385</f>
        <v>11697.63</v>
      </c>
    </row>
    <row r="386" spans="2:12" x14ac:dyDescent="0.3">
      <c r="B386" t="s">
        <v>1365</v>
      </c>
      <c r="C386" t="s">
        <v>174</v>
      </c>
      <c r="D386" t="str">
        <f t="shared" si="152"/>
        <v>Oct-25</v>
      </c>
      <c r="E386" s="242">
        <v>45947</v>
      </c>
      <c r="G386" t="s">
        <v>250</v>
      </c>
      <c r="H386" s="233">
        <v>1</v>
      </c>
      <c r="I386" s="233">
        <v>700000</v>
      </c>
      <c r="J386" s="233">
        <f t="shared" si="154"/>
        <v>700000</v>
      </c>
      <c r="K386" s="3">
        <v>0</v>
      </c>
      <c r="L386" s="3">
        <f t="shared" ref="L386" si="156">J386+K386</f>
        <v>700000</v>
      </c>
    </row>
    <row r="387" spans="2:12" x14ac:dyDescent="0.3">
      <c r="B387" t="s">
        <v>1365</v>
      </c>
      <c r="C387" t="s">
        <v>174</v>
      </c>
      <c r="D387" t="str">
        <f t="shared" si="152"/>
        <v>Jan-26</v>
      </c>
      <c r="E387" s="242">
        <v>46041</v>
      </c>
      <c r="G387" t="s">
        <v>240</v>
      </c>
      <c r="H387" s="233">
        <v>1</v>
      </c>
      <c r="I387" s="233">
        <v>24550</v>
      </c>
      <c r="J387" s="233">
        <f t="shared" ref="J387:J390" si="157">H387*I387</f>
        <v>24550</v>
      </c>
      <c r="K387" s="3">
        <v>0</v>
      </c>
      <c r="L387" s="3">
        <f t="shared" ref="L387:L390" si="158">J387+K387</f>
        <v>24550</v>
      </c>
    </row>
    <row r="388" spans="2:12" x14ac:dyDescent="0.3">
      <c r="B388" t="s">
        <v>1365</v>
      </c>
      <c r="C388" t="s">
        <v>174</v>
      </c>
      <c r="D388" t="str">
        <f t="shared" si="152"/>
        <v>Jan-26</v>
      </c>
      <c r="E388" s="242">
        <v>46044</v>
      </c>
      <c r="G388" t="s">
        <v>2325</v>
      </c>
      <c r="H388" s="233">
        <v>31360</v>
      </c>
      <c r="I388" s="233">
        <v>2.2000000000000002</v>
      </c>
      <c r="J388" s="233">
        <f t="shared" si="157"/>
        <v>68992</v>
      </c>
      <c r="K388" s="3">
        <v>0</v>
      </c>
      <c r="L388" s="3">
        <f t="shared" si="158"/>
        <v>68992</v>
      </c>
    </row>
    <row r="389" spans="2:12" x14ac:dyDescent="0.3">
      <c r="B389" t="s">
        <v>1365</v>
      </c>
      <c r="C389" t="s">
        <v>174</v>
      </c>
      <c r="D389" t="str">
        <f t="shared" ref="D389:D408" si="159">TEXT(E389,"mmm-yy")</f>
        <v>Jan-26</v>
      </c>
      <c r="E389" s="242">
        <v>46044</v>
      </c>
      <c r="G389" t="s">
        <v>2325</v>
      </c>
      <c r="H389" s="233">
        <v>22920</v>
      </c>
      <c r="I389" s="233">
        <v>2.2000000000000002</v>
      </c>
      <c r="J389" s="233">
        <f t="shared" si="157"/>
        <v>50424.000000000007</v>
      </c>
      <c r="K389" s="3">
        <v>0</v>
      </c>
      <c r="L389" s="3">
        <f t="shared" si="158"/>
        <v>50424.000000000007</v>
      </c>
    </row>
    <row r="390" spans="2:12" x14ac:dyDescent="0.3">
      <c r="B390" t="s">
        <v>1365</v>
      </c>
      <c r="C390" t="s">
        <v>174</v>
      </c>
      <c r="D390" t="str">
        <f t="shared" si="159"/>
        <v>Jan-26</v>
      </c>
      <c r="E390" s="242">
        <v>46045</v>
      </c>
      <c r="G390" t="s">
        <v>395</v>
      </c>
      <c r="H390" s="233">
        <v>1</v>
      </c>
      <c r="I390" s="233">
        <v>44700</v>
      </c>
      <c r="J390" s="233">
        <f t="shared" si="157"/>
        <v>44700</v>
      </c>
      <c r="K390" s="3">
        <v>0</v>
      </c>
      <c r="L390" s="3">
        <f t="shared" si="158"/>
        <v>44700</v>
      </c>
    </row>
    <row r="391" spans="2:12" x14ac:dyDescent="0.3">
      <c r="B391" t="s">
        <v>1365</v>
      </c>
      <c r="C391" t="s">
        <v>174</v>
      </c>
      <c r="D391" t="str">
        <f t="shared" si="159"/>
        <v>Jan-26</v>
      </c>
      <c r="E391" s="242">
        <v>46042</v>
      </c>
      <c r="G391" t="s">
        <v>196</v>
      </c>
      <c r="H391" s="233">
        <v>14340</v>
      </c>
      <c r="I391" s="233">
        <v>0.50600000000000001</v>
      </c>
      <c r="J391" s="233">
        <f t="shared" ref="J391" si="160">H391*I391</f>
        <v>7256.04</v>
      </c>
      <c r="K391" s="3">
        <v>0</v>
      </c>
      <c r="L391" s="3">
        <f t="shared" ref="L391" si="161">J391+K391</f>
        <v>7256.04</v>
      </c>
    </row>
    <row r="392" spans="2:12" x14ac:dyDescent="0.3">
      <c r="B392" t="s">
        <v>2749</v>
      </c>
      <c r="C392" t="s">
        <v>174</v>
      </c>
      <c r="D392" t="str">
        <f t="shared" si="159"/>
        <v>Oct-25</v>
      </c>
      <c r="E392" s="242">
        <v>45961</v>
      </c>
      <c r="F392" t="s">
        <v>2746</v>
      </c>
      <c r="G392" t="s">
        <v>1961</v>
      </c>
      <c r="H392" s="233">
        <v>10500</v>
      </c>
      <c r="I392" s="233">
        <v>32.1</v>
      </c>
      <c r="J392" s="233">
        <f t="shared" ref="J392" si="162">H392*I392</f>
        <v>337050</v>
      </c>
      <c r="K392" s="3">
        <v>0</v>
      </c>
      <c r="L392" s="3">
        <f t="shared" ref="L392" si="163">J392+K392</f>
        <v>337050</v>
      </c>
    </row>
    <row r="393" spans="2:12" x14ac:dyDescent="0.3">
      <c r="B393" t="s">
        <v>2749</v>
      </c>
      <c r="C393" t="s">
        <v>174</v>
      </c>
      <c r="D393" t="str">
        <f t="shared" si="159"/>
        <v>Oct-25</v>
      </c>
      <c r="E393" s="242">
        <v>45961</v>
      </c>
      <c r="F393" t="s">
        <v>2750</v>
      </c>
      <c r="G393" t="s">
        <v>400</v>
      </c>
      <c r="H393" s="233">
        <v>28470</v>
      </c>
      <c r="I393" s="233">
        <v>32.799999999999997</v>
      </c>
      <c r="J393" s="233">
        <f t="shared" ref="J393" si="164">H393*I393</f>
        <v>933815.99999999988</v>
      </c>
      <c r="K393" s="3">
        <v>0</v>
      </c>
      <c r="L393" s="3">
        <f t="shared" ref="L393" si="165">J393+K393</f>
        <v>933815.99999999988</v>
      </c>
    </row>
    <row r="394" spans="2:12" x14ac:dyDescent="0.3">
      <c r="B394" t="s">
        <v>2743</v>
      </c>
      <c r="C394" t="s">
        <v>174</v>
      </c>
      <c r="D394" t="str">
        <f t="shared" si="159"/>
        <v>Jan-26</v>
      </c>
      <c r="E394" s="242">
        <v>46035</v>
      </c>
      <c r="F394" t="s">
        <v>2581</v>
      </c>
      <c r="G394" t="s">
        <v>196</v>
      </c>
      <c r="H394" s="233">
        <v>10510</v>
      </c>
      <c r="I394" s="233">
        <v>24.050999999999998</v>
      </c>
      <c r="J394" s="233">
        <f t="shared" ref="J394:J396" si="166">H394*I394</f>
        <v>252776.00999999998</v>
      </c>
      <c r="K394" s="3">
        <v>0</v>
      </c>
      <c r="L394" s="3">
        <f t="shared" ref="L394:L395" si="167">J394+K394</f>
        <v>252776.00999999998</v>
      </c>
    </row>
    <row r="395" spans="2:12" x14ac:dyDescent="0.3">
      <c r="B395" t="s">
        <v>2743</v>
      </c>
      <c r="C395" t="s">
        <v>174</v>
      </c>
      <c r="D395" t="str">
        <f t="shared" si="159"/>
        <v>Jan-26</v>
      </c>
      <c r="E395" s="242">
        <v>46042</v>
      </c>
      <c r="F395" t="s">
        <v>2660</v>
      </c>
      <c r="G395" t="s">
        <v>196</v>
      </c>
      <c r="H395" s="233">
        <v>14340</v>
      </c>
      <c r="I395" s="233">
        <v>24.629000000000001</v>
      </c>
      <c r="J395" s="233">
        <f t="shared" si="166"/>
        <v>353179.86000000004</v>
      </c>
      <c r="K395" s="3">
        <v>0</v>
      </c>
      <c r="L395" s="3">
        <f t="shared" si="167"/>
        <v>353179.86000000004</v>
      </c>
    </row>
    <row r="396" spans="2:12" x14ac:dyDescent="0.3">
      <c r="B396" t="s">
        <v>2743</v>
      </c>
      <c r="C396" t="s">
        <v>174</v>
      </c>
      <c r="D396" t="str">
        <f t="shared" si="159"/>
        <v>Dec-25</v>
      </c>
      <c r="E396" s="242">
        <v>46022</v>
      </c>
      <c r="F396" t="s">
        <v>2414</v>
      </c>
      <c r="G396" t="s">
        <v>196</v>
      </c>
      <c r="H396" s="233">
        <v>35215</v>
      </c>
      <c r="I396" s="233">
        <v>23.931999999999999</v>
      </c>
      <c r="J396" s="233">
        <f t="shared" si="166"/>
        <v>842765.38</v>
      </c>
      <c r="K396" s="3">
        <v>0</v>
      </c>
      <c r="L396" s="3">
        <f t="shared" ref="L396" si="168">J396+K396</f>
        <v>842765.38</v>
      </c>
    </row>
    <row r="397" spans="2:12" x14ac:dyDescent="0.3">
      <c r="B397" t="s">
        <v>1365</v>
      </c>
      <c r="C397" t="s">
        <v>174</v>
      </c>
      <c r="D397" t="str">
        <f t="shared" si="159"/>
        <v>Feb-26</v>
      </c>
      <c r="E397" s="242">
        <v>46065</v>
      </c>
      <c r="G397" t="s">
        <v>196</v>
      </c>
      <c r="H397" s="233">
        <v>8</v>
      </c>
      <c r="I397" s="233">
        <v>650</v>
      </c>
      <c r="J397" s="233">
        <f t="shared" ref="J397" si="169">H397*I397</f>
        <v>5200</v>
      </c>
      <c r="K397" s="3">
        <v>0</v>
      </c>
      <c r="L397" s="3">
        <f t="shared" ref="L397" si="170">J397+K397</f>
        <v>5200</v>
      </c>
    </row>
    <row r="398" spans="2:12" x14ac:dyDescent="0.3">
      <c r="B398" t="s">
        <v>1365</v>
      </c>
      <c r="C398" t="s">
        <v>174</v>
      </c>
      <c r="D398" t="str">
        <f t="shared" si="159"/>
        <v>Feb-26</v>
      </c>
      <c r="E398" s="242">
        <v>46077</v>
      </c>
      <c r="G398" t="s">
        <v>462</v>
      </c>
      <c r="H398" s="233">
        <v>69</v>
      </c>
      <c r="I398" s="233">
        <v>245</v>
      </c>
      <c r="J398" s="233">
        <f t="shared" ref="J398:J400" si="171">H398*I398</f>
        <v>16905</v>
      </c>
      <c r="K398" s="3">
        <v>0</v>
      </c>
      <c r="L398" s="3">
        <f t="shared" ref="L398:L400" si="172">J398+K398</f>
        <v>16905</v>
      </c>
    </row>
    <row r="399" spans="2:12" x14ac:dyDescent="0.3">
      <c r="B399" t="s">
        <v>1365</v>
      </c>
      <c r="C399" t="s">
        <v>174</v>
      </c>
      <c r="D399" t="str">
        <f t="shared" si="159"/>
        <v>Feb-26</v>
      </c>
      <c r="E399" s="242">
        <v>46077</v>
      </c>
      <c r="G399" t="s">
        <v>462</v>
      </c>
      <c r="H399" s="233">
        <v>5</v>
      </c>
      <c r="I399" s="233">
        <v>1850</v>
      </c>
      <c r="J399" s="233">
        <f t="shared" si="171"/>
        <v>9250</v>
      </c>
      <c r="K399" s="3">
        <v>0</v>
      </c>
      <c r="L399" s="3">
        <f t="shared" si="172"/>
        <v>9250</v>
      </c>
    </row>
    <row r="400" spans="2:12" x14ac:dyDescent="0.3">
      <c r="B400" t="s">
        <v>1365</v>
      </c>
      <c r="C400" t="s">
        <v>174</v>
      </c>
      <c r="D400" t="str">
        <f t="shared" si="159"/>
        <v>Feb-26</v>
      </c>
      <c r="E400" s="242">
        <v>46078</v>
      </c>
      <c r="G400" t="s">
        <v>2332</v>
      </c>
      <c r="H400" s="233">
        <v>1</v>
      </c>
      <c r="I400" s="233">
        <v>200000</v>
      </c>
      <c r="J400" s="233">
        <f t="shared" si="171"/>
        <v>200000</v>
      </c>
      <c r="K400" s="3">
        <v>0</v>
      </c>
      <c r="L400" s="3">
        <f t="shared" si="172"/>
        <v>200000</v>
      </c>
    </row>
    <row r="401" spans="1:12" x14ac:dyDescent="0.3">
      <c r="B401" t="s">
        <v>2743</v>
      </c>
      <c r="C401" t="s">
        <v>174</v>
      </c>
      <c r="D401" t="str">
        <f t="shared" si="159"/>
        <v>Feb-26</v>
      </c>
      <c r="E401" s="242">
        <v>46076</v>
      </c>
      <c r="F401" t="s">
        <v>2830</v>
      </c>
      <c r="G401" t="s">
        <v>196</v>
      </c>
      <c r="H401" s="233">
        <v>2810</v>
      </c>
      <c r="I401" s="233">
        <v>160</v>
      </c>
      <c r="J401" s="233">
        <f t="shared" ref="J401" si="173">H401*I401</f>
        <v>449600</v>
      </c>
      <c r="K401" s="3">
        <v>0</v>
      </c>
      <c r="L401" s="3">
        <f t="shared" ref="L401" si="174">J401+K401</f>
        <v>449600</v>
      </c>
    </row>
    <row r="402" spans="1:12" x14ac:dyDescent="0.3">
      <c r="B402" t="s">
        <v>1365</v>
      </c>
      <c r="C402" t="s">
        <v>174</v>
      </c>
      <c r="D402" t="str">
        <f t="shared" si="159"/>
        <v>Mar-26</v>
      </c>
      <c r="E402" s="242">
        <v>46090</v>
      </c>
      <c r="G402" t="s">
        <v>395</v>
      </c>
      <c r="H402" s="233">
        <v>1</v>
      </c>
      <c r="I402" s="233">
        <v>8400</v>
      </c>
      <c r="J402" s="233">
        <f t="shared" ref="J402" si="175">H402*I402</f>
        <v>8400</v>
      </c>
      <c r="K402" s="3">
        <v>0</v>
      </c>
      <c r="L402" s="3">
        <f t="shared" ref="L402" si="176">J402+K402</f>
        <v>8400</v>
      </c>
    </row>
    <row r="403" spans="1:12" x14ac:dyDescent="0.3">
      <c r="B403" t="s">
        <v>2743</v>
      </c>
      <c r="C403" t="s">
        <v>174</v>
      </c>
      <c r="D403" t="str">
        <f t="shared" si="159"/>
        <v>Feb-26</v>
      </c>
      <c r="E403" s="242">
        <v>46065</v>
      </c>
      <c r="F403" t="s">
        <v>2964</v>
      </c>
      <c r="G403" t="s">
        <v>196</v>
      </c>
      <c r="H403" s="233">
        <v>16265</v>
      </c>
      <c r="I403" s="233">
        <v>24.975000000000001</v>
      </c>
      <c r="J403" s="233">
        <f t="shared" ref="J403:J406" si="177">H403*I403</f>
        <v>406218.375</v>
      </c>
      <c r="K403" s="3">
        <v>0</v>
      </c>
      <c r="L403" s="3">
        <f t="shared" ref="L403:L406" si="178">J403+K403</f>
        <v>406218.375</v>
      </c>
    </row>
    <row r="404" spans="1:12" x14ac:dyDescent="0.3">
      <c r="B404" t="s">
        <v>2743</v>
      </c>
      <c r="C404" t="s">
        <v>174</v>
      </c>
      <c r="D404" t="str">
        <f t="shared" si="159"/>
        <v>Feb-26</v>
      </c>
      <c r="E404" s="242">
        <v>46073</v>
      </c>
      <c r="F404" t="s">
        <v>2965</v>
      </c>
      <c r="G404" t="s">
        <v>196</v>
      </c>
      <c r="H404" s="233">
        <v>16865</v>
      </c>
      <c r="I404" s="233">
        <v>26.594999999999999</v>
      </c>
      <c r="J404" s="233">
        <f t="shared" si="177"/>
        <v>448524.67499999999</v>
      </c>
      <c r="K404" s="3">
        <v>0</v>
      </c>
      <c r="L404" s="3">
        <f t="shared" si="178"/>
        <v>448524.67499999999</v>
      </c>
    </row>
    <row r="405" spans="1:12" x14ac:dyDescent="0.3">
      <c r="B405" t="s">
        <v>2743</v>
      </c>
      <c r="C405" t="s">
        <v>174</v>
      </c>
      <c r="D405" t="str">
        <f t="shared" si="159"/>
        <v>Mar-26</v>
      </c>
      <c r="E405" s="242">
        <v>46086</v>
      </c>
      <c r="F405" t="s">
        <v>2966</v>
      </c>
      <c r="G405" t="s">
        <v>196</v>
      </c>
      <c r="H405" s="233">
        <v>6967</v>
      </c>
      <c r="I405" s="233">
        <v>26.5</v>
      </c>
      <c r="J405" s="233">
        <f t="shared" si="177"/>
        <v>184625.5</v>
      </c>
      <c r="K405" s="3">
        <v>0</v>
      </c>
      <c r="L405" s="3">
        <f t="shared" si="178"/>
        <v>184625.5</v>
      </c>
    </row>
    <row r="406" spans="1:12" x14ac:dyDescent="0.3">
      <c r="B406" t="s">
        <v>2743</v>
      </c>
      <c r="C406" t="s">
        <v>174</v>
      </c>
      <c r="D406" t="str">
        <f t="shared" si="159"/>
        <v>Mar-26</v>
      </c>
      <c r="E406" s="242">
        <v>46099</v>
      </c>
      <c r="F406" t="s">
        <v>2967</v>
      </c>
      <c r="G406" t="s">
        <v>196</v>
      </c>
      <c r="H406" s="233">
        <v>13830</v>
      </c>
      <c r="I406" s="233">
        <v>26.280999999999999</v>
      </c>
      <c r="J406" s="233">
        <f t="shared" si="177"/>
        <v>363466.23</v>
      </c>
      <c r="K406" s="3">
        <v>0</v>
      </c>
      <c r="L406" s="3">
        <f t="shared" si="178"/>
        <v>363466.23</v>
      </c>
    </row>
    <row r="407" spans="1:12" x14ac:dyDescent="0.3">
      <c r="A407" t="s">
        <v>3050</v>
      </c>
      <c r="B407" t="s">
        <v>1365</v>
      </c>
      <c r="C407" t="s">
        <v>174</v>
      </c>
      <c r="D407" t="str">
        <f t="shared" si="159"/>
        <v>Mar-26</v>
      </c>
      <c r="E407" s="242">
        <v>46107</v>
      </c>
      <c r="F407" t="s">
        <v>3012</v>
      </c>
      <c r="G407" t="s">
        <v>253</v>
      </c>
      <c r="H407" s="233">
        <v>1</v>
      </c>
      <c r="I407" s="233">
        <v>12654.45</v>
      </c>
      <c r="J407" s="233">
        <f t="shared" ref="J407:J408" si="179">H407*I407</f>
        <v>12654.45</v>
      </c>
      <c r="K407" s="3">
        <v>0</v>
      </c>
      <c r="L407" s="3">
        <f t="shared" ref="L407:L408" si="180">J407+K407</f>
        <v>12654.45</v>
      </c>
    </row>
    <row r="408" spans="1:12" x14ac:dyDescent="0.3">
      <c r="A408" t="s">
        <v>3050</v>
      </c>
      <c r="B408" t="s">
        <v>1365</v>
      </c>
      <c r="C408" t="s">
        <v>174</v>
      </c>
      <c r="D408" t="str">
        <f t="shared" si="159"/>
        <v>Mar-26</v>
      </c>
      <c r="E408" s="242">
        <v>46107</v>
      </c>
      <c r="F408" t="s">
        <v>3014</v>
      </c>
      <c r="G408" t="s">
        <v>253</v>
      </c>
      <c r="H408" s="233">
        <v>1</v>
      </c>
      <c r="I408" s="233">
        <v>5000</v>
      </c>
      <c r="J408" s="233">
        <f t="shared" si="179"/>
        <v>5000</v>
      </c>
      <c r="K408" s="3">
        <v>0</v>
      </c>
      <c r="L408" s="3">
        <f t="shared" si="180"/>
        <v>5000</v>
      </c>
    </row>
    <row r="409" spans="1:12" x14ac:dyDescent="0.3">
      <c r="B409" t="s">
        <v>1365</v>
      </c>
      <c r="C409" t="s">
        <v>3085</v>
      </c>
      <c r="D409" t="str">
        <f t="shared" ref="D409:D411" si="181">TEXT(E409,"mmm-yy")</f>
        <v>Apr-26</v>
      </c>
      <c r="E409" s="242">
        <v>46119</v>
      </c>
      <c r="F409" t="s">
        <v>329</v>
      </c>
      <c r="G409" t="s">
        <v>2325</v>
      </c>
      <c r="H409" s="233">
        <v>24470</v>
      </c>
      <c r="I409" s="233">
        <v>2.2000000000000002</v>
      </c>
      <c r="J409" s="233">
        <f t="shared" ref="J409:J411" si="182">H409*I409</f>
        <v>53834.000000000007</v>
      </c>
      <c r="K409" s="3">
        <v>0</v>
      </c>
      <c r="L409" s="3">
        <f t="shared" ref="L409:L411" si="183">J409+K409</f>
        <v>53834.000000000007</v>
      </c>
    </row>
    <row r="410" spans="1:12" x14ac:dyDescent="0.3">
      <c r="B410" t="s">
        <v>1365</v>
      </c>
      <c r="C410" t="s">
        <v>3085</v>
      </c>
      <c r="D410" t="str">
        <f t="shared" si="181"/>
        <v>Apr-26</v>
      </c>
      <c r="E410" s="242">
        <v>46119</v>
      </c>
      <c r="F410" t="s">
        <v>329</v>
      </c>
      <c r="G410" t="s">
        <v>2325</v>
      </c>
      <c r="H410" s="233">
        <v>24470</v>
      </c>
      <c r="I410" s="233">
        <v>0.3</v>
      </c>
      <c r="J410" s="233">
        <f t="shared" si="182"/>
        <v>7341</v>
      </c>
      <c r="K410" s="3">
        <v>0</v>
      </c>
      <c r="L410" s="3">
        <f t="shared" si="183"/>
        <v>7341</v>
      </c>
    </row>
    <row r="411" spans="1:12" x14ac:dyDescent="0.3">
      <c r="B411" t="s">
        <v>1365</v>
      </c>
      <c r="C411" t="s">
        <v>3085</v>
      </c>
      <c r="D411" t="str">
        <f t="shared" si="181"/>
        <v>Apr-26</v>
      </c>
      <c r="E411" s="242">
        <v>46122</v>
      </c>
      <c r="F411" t="s">
        <v>329</v>
      </c>
      <c r="G411" t="s">
        <v>395</v>
      </c>
      <c r="H411" s="233">
        <v>1</v>
      </c>
      <c r="I411" s="233">
        <v>2500</v>
      </c>
      <c r="J411" s="233">
        <f t="shared" si="182"/>
        <v>2500</v>
      </c>
      <c r="K411" s="3">
        <v>0</v>
      </c>
      <c r="L411" s="3">
        <f t="shared" si="183"/>
        <v>2500</v>
      </c>
    </row>
    <row r="412" spans="1:12" x14ac:dyDescent="0.3">
      <c r="B412" t="s">
        <v>2749</v>
      </c>
      <c r="C412" t="s">
        <v>3085</v>
      </c>
      <c r="D412" t="str">
        <f t="shared" ref="D412:D413" si="184">TEXT(E412,"mmm-yy")</f>
        <v>Apr-26</v>
      </c>
      <c r="E412" s="242">
        <v>46122</v>
      </c>
      <c r="F412" t="s">
        <v>3272</v>
      </c>
      <c r="G412" t="s">
        <v>196</v>
      </c>
      <c r="H412" s="233">
        <v>3160</v>
      </c>
      <c r="I412" s="233">
        <v>27.5</v>
      </c>
      <c r="J412" s="233">
        <f t="shared" ref="J412:J414" si="185">H412*I412</f>
        <v>86900</v>
      </c>
      <c r="K412" s="3">
        <v>0</v>
      </c>
      <c r="L412" s="3">
        <f t="shared" ref="L412:L415" si="186">J412+K412</f>
        <v>86900</v>
      </c>
    </row>
    <row r="413" spans="1:12" x14ac:dyDescent="0.3">
      <c r="B413" t="s">
        <v>2749</v>
      </c>
      <c r="C413" t="s">
        <v>3085</v>
      </c>
      <c r="D413" t="str">
        <f t="shared" si="184"/>
        <v>Apr-26</v>
      </c>
      <c r="E413" s="242">
        <v>46122</v>
      </c>
      <c r="F413" t="s">
        <v>3273</v>
      </c>
      <c r="G413" t="s">
        <v>196</v>
      </c>
      <c r="H413" s="233">
        <v>5330</v>
      </c>
      <c r="I413" s="233">
        <v>27</v>
      </c>
      <c r="J413" s="233">
        <f t="shared" si="185"/>
        <v>143910</v>
      </c>
      <c r="K413" s="3">
        <v>0</v>
      </c>
      <c r="L413" s="3">
        <f t="shared" si="186"/>
        <v>143910</v>
      </c>
    </row>
    <row r="414" spans="1:12" x14ac:dyDescent="0.3">
      <c r="B414" t="s">
        <v>2749</v>
      </c>
      <c r="C414" t="s">
        <v>3085</v>
      </c>
      <c r="D414" t="str">
        <f t="shared" ref="D414" si="187">TEXT(E414,"mmm-yy")</f>
        <v>Apr-26</v>
      </c>
      <c r="E414" s="242">
        <v>46135</v>
      </c>
      <c r="F414" t="s">
        <v>3494</v>
      </c>
      <c r="G414" t="s">
        <v>196</v>
      </c>
      <c r="H414" s="233">
        <v>7040</v>
      </c>
      <c r="I414" s="233">
        <v>27.928000000000001</v>
      </c>
      <c r="J414" s="233">
        <f t="shared" si="185"/>
        <v>196613.12</v>
      </c>
      <c r="K414" s="3">
        <v>0</v>
      </c>
      <c r="L414" s="3">
        <f t="shared" si="186"/>
        <v>196613.12</v>
      </c>
    </row>
    <row r="415" spans="1:12" x14ac:dyDescent="0.3">
      <c r="B415" t="s">
        <v>3703</v>
      </c>
      <c r="C415" t="s">
        <v>3085</v>
      </c>
      <c r="D415" t="str">
        <f t="shared" ref="D415:D421" si="188">TEXT(E415,"mmm-yy")</f>
        <v>May-26</v>
      </c>
      <c r="E415" s="242">
        <v>46164</v>
      </c>
      <c r="F415" t="s">
        <v>2437</v>
      </c>
      <c r="G415" t="s">
        <v>3698</v>
      </c>
      <c r="H415" s="233">
        <v>1</v>
      </c>
      <c r="I415" s="233">
        <v>104488.08</v>
      </c>
      <c r="J415" s="233">
        <f t="shared" ref="J415:J421" si="189">H415*I415</f>
        <v>104488.08</v>
      </c>
      <c r="K415" s="3">
        <v>0</v>
      </c>
      <c r="L415" s="3">
        <f t="shared" si="186"/>
        <v>104488.08</v>
      </c>
    </row>
    <row r="416" spans="1:12" x14ac:dyDescent="0.3">
      <c r="B416" t="s">
        <v>2749</v>
      </c>
      <c r="C416" t="s">
        <v>3085</v>
      </c>
      <c r="D416" t="str">
        <f t="shared" si="188"/>
        <v>May-26</v>
      </c>
      <c r="E416" s="242">
        <v>46156</v>
      </c>
      <c r="F416" t="s">
        <v>3763</v>
      </c>
      <c r="G416" t="s">
        <v>196</v>
      </c>
      <c r="H416" s="233">
        <v>6196</v>
      </c>
      <c r="I416" s="233">
        <v>28</v>
      </c>
      <c r="J416" s="233">
        <f t="shared" si="189"/>
        <v>173488</v>
      </c>
      <c r="K416" s="3">
        <v>0</v>
      </c>
      <c r="L416" s="3">
        <f t="shared" ref="L416:L421" si="190">J416+K416</f>
        <v>173488</v>
      </c>
    </row>
    <row r="417" spans="2:12" x14ac:dyDescent="0.3">
      <c r="B417" t="s">
        <v>2749</v>
      </c>
      <c r="C417" t="s">
        <v>3085</v>
      </c>
      <c r="D417" t="str">
        <f t="shared" si="188"/>
        <v>May-26</v>
      </c>
      <c r="E417" s="242">
        <v>46156</v>
      </c>
      <c r="F417" t="s">
        <v>3764</v>
      </c>
      <c r="G417" t="s">
        <v>196</v>
      </c>
      <c r="H417" s="233">
        <v>7500</v>
      </c>
      <c r="I417" s="233">
        <v>27.5</v>
      </c>
      <c r="J417" s="233">
        <f t="shared" si="189"/>
        <v>206250</v>
      </c>
      <c r="K417" s="3">
        <v>0</v>
      </c>
      <c r="L417" s="3">
        <f t="shared" si="190"/>
        <v>206250</v>
      </c>
    </row>
    <row r="418" spans="2:12" x14ac:dyDescent="0.3">
      <c r="B418" t="s">
        <v>2749</v>
      </c>
      <c r="C418" t="s">
        <v>3085</v>
      </c>
      <c r="D418" t="str">
        <f t="shared" si="188"/>
        <v>May-26</v>
      </c>
      <c r="E418" s="331">
        <v>46156</v>
      </c>
      <c r="F418" t="s">
        <v>3626</v>
      </c>
      <c r="G418" t="s">
        <v>196</v>
      </c>
      <c r="H418" s="233">
        <v>1750</v>
      </c>
      <c r="I418" s="233">
        <v>27.5</v>
      </c>
      <c r="J418" s="233">
        <f t="shared" si="189"/>
        <v>48125</v>
      </c>
      <c r="K418" s="3">
        <v>0</v>
      </c>
      <c r="L418" s="3">
        <f t="shared" si="190"/>
        <v>48125</v>
      </c>
    </row>
    <row r="419" spans="2:12" x14ac:dyDescent="0.3">
      <c r="B419" t="s">
        <v>2749</v>
      </c>
      <c r="C419" t="s">
        <v>3085</v>
      </c>
      <c r="D419" t="str">
        <f t="shared" si="188"/>
        <v>May-26</v>
      </c>
      <c r="E419" s="331">
        <v>46157</v>
      </c>
      <c r="F419" t="s">
        <v>3765</v>
      </c>
      <c r="G419" t="s">
        <v>196</v>
      </c>
      <c r="H419" s="233">
        <v>9270</v>
      </c>
      <c r="I419" s="233">
        <v>27.545999999999999</v>
      </c>
      <c r="J419" s="233">
        <f t="shared" si="189"/>
        <v>255351.41999999998</v>
      </c>
      <c r="K419" s="3">
        <v>-8621</v>
      </c>
      <c r="L419" s="3">
        <f t="shared" si="190"/>
        <v>246730.41999999998</v>
      </c>
    </row>
    <row r="420" spans="2:12" x14ac:dyDescent="0.3">
      <c r="B420" t="s">
        <v>2749</v>
      </c>
      <c r="C420" t="s">
        <v>3085</v>
      </c>
      <c r="D420" t="str">
        <f t="shared" si="188"/>
        <v>May-26</v>
      </c>
      <c r="E420" s="242">
        <v>46166</v>
      </c>
      <c r="F420" t="s">
        <v>3766</v>
      </c>
      <c r="G420" t="s">
        <v>196</v>
      </c>
      <c r="H420" s="233">
        <v>4500</v>
      </c>
      <c r="I420" s="233">
        <v>26.47</v>
      </c>
      <c r="J420" s="233">
        <f t="shared" si="189"/>
        <v>119115</v>
      </c>
      <c r="K420" s="3">
        <v>0</v>
      </c>
      <c r="L420" s="3">
        <f t="shared" si="190"/>
        <v>119115</v>
      </c>
    </row>
    <row r="421" spans="2:12" x14ac:dyDescent="0.3">
      <c r="B421" t="s">
        <v>2749</v>
      </c>
      <c r="C421" t="s">
        <v>3085</v>
      </c>
      <c r="D421" t="str">
        <f t="shared" si="188"/>
        <v>May-26</v>
      </c>
      <c r="E421" s="242">
        <v>46168</v>
      </c>
      <c r="F421" t="s">
        <v>3767</v>
      </c>
      <c r="G421" t="s">
        <v>196</v>
      </c>
      <c r="H421" s="233">
        <v>19324</v>
      </c>
      <c r="I421" s="233">
        <v>28.658000000000001</v>
      </c>
      <c r="J421" s="233">
        <f t="shared" si="189"/>
        <v>553787.19200000004</v>
      </c>
      <c r="K421" s="3">
        <v>0</v>
      </c>
      <c r="L421" s="3">
        <f t="shared" si="190"/>
        <v>553787.19200000004</v>
      </c>
    </row>
    <row r="422" spans="2:12" x14ac:dyDescent="0.3">
      <c r="B422" t="s">
        <v>1365</v>
      </c>
      <c r="C422" t="s">
        <v>3085</v>
      </c>
      <c r="D422" t="str">
        <f t="shared" ref="D422:D423" si="191">TEXT(E422,"mmm-yy")</f>
        <v>Jun-26</v>
      </c>
      <c r="E422" s="242">
        <v>46185</v>
      </c>
      <c r="F422" t="s">
        <v>3974</v>
      </c>
      <c r="G422" t="s">
        <v>196</v>
      </c>
      <c r="H422" s="233">
        <v>1</v>
      </c>
      <c r="I422" s="233">
        <v>121400</v>
      </c>
      <c r="J422" s="233">
        <f t="shared" ref="J422:J423" si="192">H422*I422</f>
        <v>121400</v>
      </c>
      <c r="K422" s="3">
        <v>0</v>
      </c>
      <c r="L422" s="3">
        <f t="shared" ref="L422:L423" si="193">J422+K422</f>
        <v>121400</v>
      </c>
    </row>
    <row r="423" spans="2:12" x14ac:dyDescent="0.3">
      <c r="B423" t="s">
        <v>1365</v>
      </c>
      <c r="C423" t="s">
        <v>3085</v>
      </c>
      <c r="D423" t="str">
        <f t="shared" si="191"/>
        <v>Jun-26</v>
      </c>
      <c r="E423" s="242">
        <v>46181</v>
      </c>
      <c r="G423" t="s">
        <v>240</v>
      </c>
      <c r="H423" s="233">
        <v>1</v>
      </c>
      <c r="I423" s="233">
        <v>13300</v>
      </c>
      <c r="J423" s="233">
        <f t="shared" si="192"/>
        <v>13300</v>
      </c>
      <c r="K423" s="3">
        <v>0</v>
      </c>
      <c r="L423" s="3">
        <f t="shared" si="193"/>
        <v>13300</v>
      </c>
    </row>
    <row r="424" spans="2:12" x14ac:dyDescent="0.3">
      <c r="B424" t="s">
        <v>2749</v>
      </c>
      <c r="C424" t="s">
        <v>3085</v>
      </c>
      <c r="D424" t="str">
        <f t="shared" ref="D424:D428" si="194">TEXT(E424,"mmm-yy")</f>
        <v>Jun-26</v>
      </c>
      <c r="E424" s="242">
        <v>46184</v>
      </c>
      <c r="F424" t="s">
        <v>3985</v>
      </c>
      <c r="G424" t="s">
        <v>3986</v>
      </c>
      <c r="H424" s="233">
        <v>2650</v>
      </c>
      <c r="I424" s="233">
        <v>28.1</v>
      </c>
      <c r="J424" s="233">
        <f t="shared" ref="J424:J428" si="195">H424*I424</f>
        <v>74465</v>
      </c>
      <c r="K424" s="3">
        <v>0</v>
      </c>
      <c r="L424" s="3">
        <f t="shared" ref="L424:L428" si="196">J424+K424</f>
        <v>74465</v>
      </c>
    </row>
    <row r="425" spans="2:12" x14ac:dyDescent="0.3">
      <c r="B425" t="s">
        <v>2749</v>
      </c>
      <c r="C425" t="s">
        <v>3085</v>
      </c>
      <c r="D425" t="str">
        <f t="shared" si="194"/>
        <v>Jun-26</v>
      </c>
      <c r="E425" s="242">
        <v>46185</v>
      </c>
      <c r="F425" t="s">
        <v>3974</v>
      </c>
      <c r="G425" t="s">
        <v>196</v>
      </c>
      <c r="H425" s="233">
        <v>43925</v>
      </c>
      <c r="I425" s="233">
        <v>27.827000000000002</v>
      </c>
      <c r="J425" s="233">
        <f t="shared" si="195"/>
        <v>1222300.9750000001</v>
      </c>
      <c r="K425" s="3">
        <v>0</v>
      </c>
      <c r="L425" s="3">
        <f t="shared" si="196"/>
        <v>1222300.9750000001</v>
      </c>
    </row>
    <row r="426" spans="2:12" x14ac:dyDescent="0.3">
      <c r="B426" t="s">
        <v>2749</v>
      </c>
      <c r="C426" t="s">
        <v>3085</v>
      </c>
      <c r="D426" t="str">
        <f t="shared" si="194"/>
        <v>Jun-26</v>
      </c>
      <c r="E426" s="242">
        <v>46191</v>
      </c>
      <c r="F426" t="s">
        <v>3987</v>
      </c>
      <c r="G426" t="s">
        <v>3986</v>
      </c>
      <c r="H426" s="233">
        <v>740</v>
      </c>
      <c r="I426" s="233">
        <v>28.1</v>
      </c>
      <c r="J426" s="233">
        <f t="shared" si="195"/>
        <v>20794</v>
      </c>
      <c r="K426" s="3">
        <v>0</v>
      </c>
      <c r="L426" s="3">
        <f t="shared" si="196"/>
        <v>20794</v>
      </c>
    </row>
    <row r="427" spans="2:12" x14ac:dyDescent="0.3">
      <c r="B427" t="s">
        <v>2749</v>
      </c>
      <c r="C427" t="s">
        <v>3085</v>
      </c>
      <c r="D427" t="str">
        <f t="shared" si="194"/>
        <v>Jun-26</v>
      </c>
      <c r="E427" s="242">
        <v>46191</v>
      </c>
      <c r="F427" t="s">
        <v>3988</v>
      </c>
      <c r="G427" t="s">
        <v>3986</v>
      </c>
      <c r="H427" s="233">
        <v>3860</v>
      </c>
      <c r="I427" s="233">
        <v>27.6</v>
      </c>
      <c r="J427" s="233">
        <f t="shared" si="195"/>
        <v>106536</v>
      </c>
      <c r="K427" s="3">
        <v>0</v>
      </c>
      <c r="L427" s="3">
        <f t="shared" si="196"/>
        <v>106536</v>
      </c>
    </row>
    <row r="428" spans="2:12" x14ac:dyDescent="0.3">
      <c r="B428" t="s">
        <v>2749</v>
      </c>
      <c r="C428" t="s">
        <v>3085</v>
      </c>
      <c r="D428" t="str">
        <f t="shared" si="194"/>
        <v>Jun-26</v>
      </c>
      <c r="E428" s="242">
        <v>46191</v>
      </c>
      <c r="F428" t="s">
        <v>3989</v>
      </c>
      <c r="G428" t="s">
        <v>3986</v>
      </c>
      <c r="H428" s="233">
        <v>2060</v>
      </c>
      <c r="I428" s="233">
        <v>28.1</v>
      </c>
      <c r="J428" s="233">
        <f t="shared" si="195"/>
        <v>57886</v>
      </c>
      <c r="K428" s="3">
        <v>0</v>
      </c>
      <c r="L428" s="3">
        <f t="shared" si="196"/>
        <v>57886</v>
      </c>
    </row>
    <row r="429" spans="2:12" x14ac:dyDescent="0.3">
      <c r="B429" t="s">
        <v>2749</v>
      </c>
      <c r="C429" t="s">
        <v>3085</v>
      </c>
      <c r="D429" t="str">
        <f t="shared" ref="D429" si="197">TEXT(E429,"mmm-yy")</f>
        <v>Jun-26</v>
      </c>
      <c r="E429" s="242">
        <v>46193</v>
      </c>
      <c r="F429" t="s">
        <v>4106</v>
      </c>
      <c r="G429" t="s">
        <v>3986</v>
      </c>
      <c r="H429" s="233">
        <v>2520</v>
      </c>
      <c r="I429" s="233">
        <v>28.1</v>
      </c>
      <c r="J429" s="233">
        <f t="shared" ref="J429" si="198">H429*I429</f>
        <v>70812</v>
      </c>
      <c r="K429" s="3">
        <v>0</v>
      </c>
      <c r="L429" s="3">
        <f t="shared" ref="L429" si="199">J429+K429</f>
        <v>70812</v>
      </c>
    </row>
    <row r="430" spans="2:12" x14ac:dyDescent="0.3">
      <c r="B430" t="s">
        <v>2749</v>
      </c>
      <c r="C430" t="s">
        <v>3085</v>
      </c>
      <c r="D430" t="str">
        <f t="shared" ref="D430:D433" si="200">TEXT(E430,"mmm-yy")</f>
        <v>Jun-26</v>
      </c>
      <c r="E430" s="242">
        <v>46199</v>
      </c>
      <c r="F430" t="s">
        <v>4139</v>
      </c>
      <c r="G430" t="s">
        <v>3986</v>
      </c>
      <c r="H430" s="233">
        <v>2750</v>
      </c>
      <c r="I430" s="233">
        <v>28.1</v>
      </c>
      <c r="J430" s="233">
        <f t="shared" ref="J430:J433" si="201">H430*I430</f>
        <v>77275</v>
      </c>
      <c r="K430" s="3">
        <v>0</v>
      </c>
      <c r="L430" s="3">
        <f t="shared" ref="L430:L433" si="202">J430+K430</f>
        <v>77275</v>
      </c>
    </row>
    <row r="431" spans="2:12" x14ac:dyDescent="0.3">
      <c r="B431" t="s">
        <v>2749</v>
      </c>
      <c r="C431" t="s">
        <v>3085</v>
      </c>
      <c r="D431" t="str">
        <f t="shared" si="200"/>
        <v>Jun-26</v>
      </c>
      <c r="E431" s="242">
        <v>46202</v>
      </c>
      <c r="F431" t="s">
        <v>4142</v>
      </c>
      <c r="G431" t="s">
        <v>3986</v>
      </c>
      <c r="H431" s="233">
        <v>2320</v>
      </c>
      <c r="I431" s="233">
        <v>28.1</v>
      </c>
      <c r="J431" s="233">
        <f t="shared" si="201"/>
        <v>65192</v>
      </c>
      <c r="K431" s="3">
        <v>0</v>
      </c>
      <c r="L431" s="3">
        <f t="shared" si="202"/>
        <v>65192</v>
      </c>
    </row>
    <row r="432" spans="2:12" x14ac:dyDescent="0.3">
      <c r="B432" t="s">
        <v>2749</v>
      </c>
      <c r="C432" t="s">
        <v>3085</v>
      </c>
      <c r="D432" t="str">
        <f t="shared" si="200"/>
        <v>Jun-26</v>
      </c>
      <c r="E432" s="242">
        <v>46203</v>
      </c>
      <c r="F432" t="s">
        <v>4145</v>
      </c>
      <c r="G432" t="s">
        <v>196</v>
      </c>
      <c r="H432" s="233">
        <v>14837</v>
      </c>
      <c r="I432" s="233">
        <v>26.292999999999999</v>
      </c>
      <c r="J432" s="233">
        <f t="shared" si="201"/>
        <v>390109.24099999998</v>
      </c>
      <c r="K432" s="3">
        <v>0</v>
      </c>
      <c r="L432" s="3">
        <f t="shared" si="202"/>
        <v>390109.24099999998</v>
      </c>
    </row>
    <row r="433" spans="2:12" x14ac:dyDescent="0.3">
      <c r="B433" t="s">
        <v>2749</v>
      </c>
      <c r="C433" t="s">
        <v>3085</v>
      </c>
      <c r="D433" t="str">
        <f t="shared" si="200"/>
        <v>Jun-26</v>
      </c>
      <c r="E433" s="242">
        <v>46203</v>
      </c>
      <c r="F433" t="s">
        <v>4148</v>
      </c>
      <c r="G433" t="s">
        <v>196</v>
      </c>
      <c r="H433" s="233">
        <v>15900</v>
      </c>
      <c r="I433" s="233">
        <v>27.103000000000002</v>
      </c>
      <c r="J433" s="233">
        <f t="shared" si="201"/>
        <v>430937.7</v>
      </c>
      <c r="K433" s="3">
        <v>0</v>
      </c>
      <c r="L433" s="3">
        <f t="shared" si="202"/>
        <v>430937.7</v>
      </c>
    </row>
  </sheetData>
  <conditionalFormatting sqref="F1:F1048576">
    <cfRule type="duplicateValues" dxfId="86" priority="5"/>
    <cfRule type="duplicateValues" dxfId="85" priority="6"/>
  </conditionalFormatting>
  <conditionalFormatting sqref="G290:G292">
    <cfRule type="duplicateValues" dxfId="84" priority="20056"/>
    <cfRule type="duplicateValues" dxfId="83" priority="20057"/>
  </conditionalFormatting>
  <conditionalFormatting sqref="H2">
    <cfRule type="duplicateValues" dxfId="82" priority="10"/>
  </conditionalFormatting>
  <conditionalFormatting sqref="J2:L2">
    <cfRule type="duplicateValues" dxfId="81" priority="21077"/>
  </conditionalFormatting>
  <conditionalFormatting sqref="K3:L3 J1 J3:J1048576">
    <cfRule type="duplicateValues" dxfId="80" priority="21078"/>
  </conditionalFormatting>
  <conditionalFormatting sqref="V4:V227 V229:V230">
    <cfRule type="duplicateValues" dxfId="79" priority="21190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2:CW291"/>
  <sheetViews>
    <sheetView showGridLines="0" topLeftCell="A2" zoomScaleNormal="140" workbookViewId="0">
      <pane xSplit="5" ySplit="3" topLeftCell="H199" activePane="bottomRight" state="frozen"/>
      <selection activeCell="V18" sqref="V18"/>
      <selection pane="topRight" activeCell="V18" sqref="V18"/>
      <selection pane="bottomLeft" activeCell="V18" sqref="V18"/>
      <selection pane="bottomRight" activeCell="N4" sqref="N4:N226"/>
    </sheetView>
  </sheetViews>
  <sheetFormatPr defaultColWidth="7.88671875" defaultRowHeight="10.199999999999999" x14ac:dyDescent="0.2"/>
  <cols>
    <col min="1" max="1" width="2.88671875" style="79" customWidth="1"/>
    <col min="2" max="2" width="11.5546875" style="79" bestFit="1" customWidth="1"/>
    <col min="3" max="3" width="6.88671875" style="79" bestFit="1" customWidth="1"/>
    <col min="4" max="4" width="8.44140625" style="79" bestFit="1" customWidth="1"/>
    <col min="5" max="5" width="18.44140625" style="89" bestFit="1" customWidth="1"/>
    <col min="6" max="6" width="35.44140625" style="81" bestFit="1" customWidth="1"/>
    <col min="7" max="7" width="15.21875" style="79" bestFit="1" customWidth="1"/>
    <col min="8" max="8" width="16.33203125" style="81" bestFit="1" customWidth="1"/>
    <col min="9" max="9" width="16.44140625" style="82" bestFit="1" customWidth="1"/>
    <col min="10" max="10" width="14.44140625" style="94" bestFit="1" customWidth="1"/>
    <col min="11" max="11" width="8.44140625" style="82" bestFit="1" customWidth="1"/>
    <col min="12" max="12" width="11.77734375" style="99" bestFit="1" customWidth="1"/>
    <col min="13" max="13" width="11.21875" style="81" bestFit="1" customWidth="1"/>
    <col min="14" max="14" width="47.33203125" style="102" bestFit="1" customWidth="1"/>
    <col min="15" max="15" width="10.77734375" style="102" bestFit="1" customWidth="1"/>
    <col min="16" max="16" width="10" style="94" bestFit="1" customWidth="1"/>
    <col min="17" max="17" width="12.88671875" style="79" bestFit="1" customWidth="1"/>
    <col min="18" max="18" width="10.109375" style="79" bestFit="1" customWidth="1"/>
    <col min="19" max="19" width="8.21875" style="79" bestFit="1" customWidth="1"/>
    <col min="20" max="20" width="16.77734375" style="79" bestFit="1" customWidth="1"/>
    <col min="21" max="21" width="22.33203125" style="99" bestFit="1" customWidth="1"/>
    <col min="22" max="22" width="13.109375" style="85" bestFit="1" customWidth="1"/>
    <col min="23" max="23" width="7" style="85" bestFit="1" customWidth="1"/>
    <col min="24" max="24" width="7.5546875" style="81" bestFit="1" customWidth="1"/>
    <col min="25" max="25" width="11.5546875" style="79" bestFit="1" customWidth="1"/>
    <col min="26" max="26" width="21.88671875" style="79" bestFit="1" customWidth="1"/>
    <col min="27" max="27" width="15.6640625" style="79" bestFit="1" customWidth="1"/>
    <col min="28" max="28" width="16.21875" style="79" bestFit="1" customWidth="1"/>
    <col min="29" max="29" width="18.5546875" style="79" bestFit="1" customWidth="1"/>
    <col min="30" max="30" width="8.44140625" style="79" bestFit="1" customWidth="1"/>
    <col min="31" max="31" width="15.77734375" style="94" bestFit="1" customWidth="1"/>
    <col min="32" max="32" width="15.109375" style="94" bestFit="1" customWidth="1"/>
    <col min="33" max="33" width="16.6640625" style="102" bestFit="1" customWidth="1"/>
    <col min="34" max="34" width="15.109375" style="102" bestFit="1" customWidth="1"/>
    <col min="35" max="35" width="16.109375" style="81" bestFit="1" customWidth="1"/>
    <col min="36" max="36" width="13.33203125" style="79" bestFit="1" customWidth="1"/>
    <col min="37" max="37" width="15.44140625" style="79" bestFit="1" customWidth="1"/>
    <col min="38" max="38" width="17.109375" style="79" bestFit="1" customWidth="1"/>
    <col min="39" max="39" width="10.21875" style="79" bestFit="1" customWidth="1"/>
    <col min="40" max="40" width="9" style="94" bestFit="1" customWidth="1"/>
    <col min="41" max="41" width="14.6640625" style="79" bestFit="1" customWidth="1"/>
    <col min="42" max="42" width="16.33203125" style="79" bestFit="1" customWidth="1"/>
    <col min="43" max="43" width="37.21875" style="79" bestFit="1" customWidth="1"/>
    <col min="44" max="44" width="22.21875" style="79" bestFit="1" customWidth="1"/>
    <col min="45" max="45" width="46.88671875" style="105" bestFit="1" customWidth="1"/>
    <col min="46" max="46" width="18.77734375" style="79" bestFit="1" customWidth="1"/>
    <col min="47" max="47" width="16.21875" style="79" bestFit="1" customWidth="1"/>
    <col min="48" max="48" width="16.21875" style="79" customWidth="1"/>
    <col min="49" max="49" width="8.21875" style="79" bestFit="1" customWidth="1"/>
    <col min="50" max="50" width="7.77734375" style="79" bestFit="1" customWidth="1"/>
    <col min="51" max="51" width="10.21875" style="79" bestFit="1" customWidth="1"/>
    <col min="52" max="52" width="9.44140625" style="79" bestFit="1" customWidth="1"/>
    <col min="53" max="53" width="10.109375" style="79" bestFit="1" customWidth="1"/>
    <col min="54" max="54" width="8.21875" style="79" bestFit="1" customWidth="1"/>
    <col min="55" max="55" width="15.77734375" style="79" bestFit="1" customWidth="1"/>
    <col min="56" max="56" width="11" style="79" bestFit="1" customWidth="1"/>
    <col min="57" max="57" width="16.21875" style="79" bestFit="1" customWidth="1"/>
    <col min="58" max="58" width="11" style="79" bestFit="1" customWidth="1"/>
    <col min="59" max="59" width="7.88671875" style="79" bestFit="1" customWidth="1"/>
    <col min="60" max="60" width="15" style="79" bestFit="1" customWidth="1"/>
    <col min="61" max="61" width="19.44140625" style="79" bestFit="1" customWidth="1"/>
    <col min="62" max="62" width="15" style="79" bestFit="1" customWidth="1"/>
    <col min="63" max="63" width="12.5546875" style="79" bestFit="1" customWidth="1"/>
    <col min="64" max="64" width="14.5546875" style="79" bestFit="1" customWidth="1"/>
    <col min="65" max="65" width="15.88671875" style="102" bestFit="1" customWidth="1"/>
    <col min="66" max="66" width="14.21875" style="79" bestFit="1" customWidth="1"/>
    <col min="67" max="67" width="11.44140625" style="79" bestFit="1" customWidth="1"/>
    <col min="68" max="68" width="8.21875" style="79" bestFit="1" customWidth="1"/>
    <col min="69" max="69" width="15.21875" style="79" bestFit="1" customWidth="1"/>
    <col min="70" max="70" width="14" style="81" bestFit="1" customWidth="1"/>
    <col min="71" max="71" width="14.21875" style="107" bestFit="1" customWidth="1"/>
    <col min="72" max="72" width="21.109375" style="79" bestFit="1" customWidth="1"/>
    <col min="73" max="73" width="10" style="79" bestFit="1" customWidth="1"/>
    <col min="74" max="74" width="12.77734375" style="79" bestFit="1" customWidth="1"/>
    <col min="75" max="75" width="20" style="79" bestFit="1" customWidth="1"/>
    <col min="76" max="76" width="20.21875" style="79" bestFit="1" customWidth="1"/>
    <col min="77" max="77" width="7.33203125" style="81" bestFit="1" customWidth="1"/>
    <col min="78" max="78" width="9.21875" style="79" bestFit="1" customWidth="1"/>
    <col min="79" max="79" width="9.33203125" style="79" bestFit="1" customWidth="1"/>
    <col min="80" max="80" width="7.33203125" style="79" bestFit="1" customWidth="1"/>
    <col min="81" max="81" width="19.77734375" style="89" bestFit="1" customWidth="1"/>
    <col min="82" max="82" width="12.109375" style="79" bestFit="1" customWidth="1"/>
    <col min="83" max="83" width="7.77734375" style="79" bestFit="1" customWidth="1"/>
    <col min="84" max="85" width="10.21875" style="79" bestFit="1" customWidth="1"/>
    <col min="86" max="86" width="9.21875" style="79" bestFit="1" customWidth="1"/>
    <col min="87" max="87" width="16.5546875" style="81" bestFit="1" customWidth="1"/>
    <col min="88" max="88" width="13.5546875" style="79" bestFit="1" customWidth="1"/>
    <col min="89" max="89" width="9.88671875" style="79" bestFit="1" customWidth="1"/>
    <col min="90" max="90" width="11.77734375" style="79" bestFit="1" customWidth="1"/>
    <col min="91" max="91" width="13.33203125" style="79" bestFit="1" customWidth="1"/>
    <col min="92" max="93" width="10.21875" style="79" bestFit="1" customWidth="1"/>
    <col min="94" max="94" width="10.77734375" style="79" bestFit="1" customWidth="1"/>
    <col min="95" max="95" width="10.5546875" style="79" bestFit="1" customWidth="1"/>
    <col min="96" max="96" width="10.109375" style="79" bestFit="1" customWidth="1"/>
    <col min="97" max="97" width="8.21875" style="79" bestFit="1" customWidth="1"/>
    <col min="98" max="99" width="11.77734375" style="79" bestFit="1" customWidth="1"/>
    <col min="100" max="100" width="13.77734375" style="79" bestFit="1" customWidth="1"/>
    <col min="101" max="101" width="15.5546875" style="79" bestFit="1" customWidth="1"/>
    <col min="102" max="16384" width="7.88671875" style="79"/>
  </cols>
  <sheetData>
    <row r="2" spans="2:101" ht="5.4" customHeight="1" thickBot="1" x14ac:dyDescent="0.25">
      <c r="D2" s="80"/>
      <c r="E2" s="81"/>
      <c r="G2" s="81"/>
      <c r="J2" s="81"/>
      <c r="L2" s="81"/>
      <c r="N2" s="81"/>
      <c r="O2" s="81"/>
      <c r="P2" s="81"/>
      <c r="Q2" s="81"/>
      <c r="R2" s="81"/>
      <c r="S2" s="81"/>
      <c r="T2" s="81"/>
      <c r="U2" s="81"/>
      <c r="V2" s="81"/>
      <c r="W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3"/>
      <c r="BB2" s="83"/>
      <c r="BC2" s="83"/>
      <c r="BD2" s="84"/>
      <c r="BE2" s="83"/>
      <c r="BF2" s="83"/>
      <c r="BG2" s="83"/>
      <c r="BH2" s="85"/>
      <c r="BI2" s="86"/>
      <c r="BJ2" s="86"/>
      <c r="BK2" s="86"/>
      <c r="BL2" s="86"/>
      <c r="BM2" s="86"/>
      <c r="BN2" s="86"/>
      <c r="BO2" s="87"/>
      <c r="BP2" s="87"/>
      <c r="BS2" s="79"/>
      <c r="BT2" s="87"/>
      <c r="BW2" s="561"/>
      <c r="BX2" s="561"/>
      <c r="BY2" s="561"/>
      <c r="BZ2" s="561"/>
      <c r="CA2" s="561"/>
      <c r="CB2" s="561"/>
      <c r="CC2" s="81"/>
      <c r="CD2" s="88"/>
      <c r="CE2" s="88"/>
    </row>
    <row r="3" spans="2:101" ht="18" customHeight="1" thickBot="1" x14ac:dyDescent="0.4">
      <c r="B3" s="378" t="s">
        <v>357</v>
      </c>
      <c r="C3" s="378"/>
      <c r="D3" s="378"/>
      <c r="F3" s="90" t="s">
        <v>139</v>
      </c>
      <c r="G3" s="90"/>
      <c r="H3" s="90"/>
      <c r="I3" s="91"/>
      <c r="J3" s="90"/>
      <c r="K3" s="91"/>
      <c r="L3" s="90"/>
      <c r="M3" s="90"/>
      <c r="N3" s="90"/>
      <c r="O3" s="90"/>
      <c r="P3" s="90"/>
      <c r="Q3" s="90"/>
      <c r="R3" s="90"/>
      <c r="S3" s="90"/>
      <c r="T3" s="92"/>
      <c r="U3" s="93" t="s">
        <v>138</v>
      </c>
      <c r="V3" s="93"/>
      <c r="W3" s="93"/>
      <c r="X3" s="93"/>
      <c r="Y3" s="93"/>
      <c r="Z3" s="93"/>
      <c r="AA3" s="93"/>
      <c r="AB3" s="93"/>
      <c r="AC3" s="93"/>
      <c r="AD3" s="93"/>
      <c r="AG3" s="90" t="s">
        <v>137</v>
      </c>
      <c r="AH3" s="90"/>
      <c r="AI3" s="90"/>
      <c r="AJ3" s="90"/>
      <c r="AK3" s="90"/>
      <c r="AL3" s="90"/>
      <c r="AN3" s="90" t="s">
        <v>136</v>
      </c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84"/>
      <c r="BE3" s="95" t="s">
        <v>134</v>
      </c>
      <c r="BF3" s="95"/>
      <c r="BG3" s="95"/>
      <c r="BH3" s="85"/>
      <c r="BI3" s="93" t="s">
        <v>135</v>
      </c>
      <c r="BJ3" s="93"/>
      <c r="BK3" s="93"/>
      <c r="BL3" s="93"/>
      <c r="BM3" s="93"/>
      <c r="BN3" s="96">
        <v>0</v>
      </c>
      <c r="BO3" s="84"/>
      <c r="BP3" s="92"/>
      <c r="BS3" s="79"/>
      <c r="BT3" s="84"/>
      <c r="BW3" s="569" t="s">
        <v>120</v>
      </c>
      <c r="BX3" s="569"/>
      <c r="BY3" s="569"/>
      <c r="BZ3" s="569"/>
      <c r="CA3" s="569"/>
      <c r="CB3" s="569"/>
      <c r="CC3" s="90"/>
      <c r="CD3" s="97"/>
      <c r="CE3" s="97"/>
      <c r="CF3" s="567" t="s">
        <v>162</v>
      </c>
      <c r="CG3" s="568"/>
      <c r="CH3" s="98"/>
      <c r="CI3" s="90"/>
      <c r="CJ3" s="98"/>
      <c r="CK3" s="98"/>
      <c r="CL3" s="562" t="s">
        <v>185</v>
      </c>
      <c r="CM3" s="562"/>
      <c r="CN3" s="562"/>
      <c r="CO3" s="562" t="s">
        <v>195</v>
      </c>
      <c r="CP3" s="562"/>
      <c r="CQ3" s="562"/>
      <c r="CR3" s="562"/>
      <c r="CS3" s="562"/>
    </row>
    <row r="4" spans="2:101" s="119" customFormat="1" ht="14.4" thickBot="1" x14ac:dyDescent="0.35">
      <c r="B4" s="112" t="s">
        <v>16</v>
      </c>
      <c r="C4" s="113" t="s">
        <v>15</v>
      </c>
      <c r="D4" s="112" t="s">
        <v>14</v>
      </c>
      <c r="E4" s="113" t="s">
        <v>166</v>
      </c>
      <c r="F4" s="113" t="s">
        <v>112</v>
      </c>
      <c r="G4" s="113" t="s">
        <v>17</v>
      </c>
      <c r="H4" s="114" t="s">
        <v>20</v>
      </c>
      <c r="I4" s="115" t="s">
        <v>21</v>
      </c>
      <c r="J4" s="113" t="s">
        <v>18</v>
      </c>
      <c r="K4" s="115" t="s">
        <v>19</v>
      </c>
      <c r="L4" s="113" t="s">
        <v>28</v>
      </c>
      <c r="M4" s="113" t="s">
        <v>30</v>
      </c>
      <c r="N4" s="114" t="s">
        <v>34</v>
      </c>
      <c r="O4" s="113" t="s">
        <v>36</v>
      </c>
      <c r="P4" s="114" t="s">
        <v>37</v>
      </c>
      <c r="Q4" s="113" t="s">
        <v>38</v>
      </c>
      <c r="R4" s="114" t="s">
        <v>103</v>
      </c>
      <c r="S4" s="113" t="s">
        <v>104</v>
      </c>
      <c r="T4" s="114" t="s">
        <v>102</v>
      </c>
      <c r="U4" s="113" t="s">
        <v>29</v>
      </c>
      <c r="V4" s="114" t="s">
        <v>31</v>
      </c>
      <c r="W4" s="113" t="s">
        <v>32</v>
      </c>
      <c r="X4" s="114" t="s">
        <v>33</v>
      </c>
      <c r="Y4" s="113" t="s">
        <v>39</v>
      </c>
      <c r="Z4" s="113" t="s">
        <v>63</v>
      </c>
      <c r="AA4" s="114" t="s">
        <v>40</v>
      </c>
      <c r="AB4" s="113" t="s">
        <v>41</v>
      </c>
      <c r="AC4" s="114" t="s">
        <v>471</v>
      </c>
      <c r="AD4" s="113" t="s">
        <v>42</v>
      </c>
      <c r="AE4" s="114" t="s">
        <v>105</v>
      </c>
      <c r="AF4" s="113" t="s">
        <v>22</v>
      </c>
      <c r="AG4" s="114" t="s">
        <v>23</v>
      </c>
      <c r="AH4" s="113" t="s">
        <v>24</v>
      </c>
      <c r="AI4" s="114" t="s">
        <v>25</v>
      </c>
      <c r="AJ4" s="113" t="s">
        <v>43</v>
      </c>
      <c r="AK4" s="113" t="s">
        <v>187</v>
      </c>
      <c r="AL4" s="113" t="s">
        <v>189</v>
      </c>
      <c r="AM4" s="113" t="s">
        <v>44</v>
      </c>
      <c r="AN4" s="114" t="s">
        <v>46</v>
      </c>
      <c r="AO4" s="113" t="s">
        <v>45</v>
      </c>
      <c r="AP4" s="114" t="s">
        <v>176</v>
      </c>
      <c r="AQ4" s="114" t="s">
        <v>47</v>
      </c>
      <c r="AR4" s="113" t="s">
        <v>140</v>
      </c>
      <c r="AS4" s="113" t="s">
        <v>27</v>
      </c>
      <c r="AT4" s="113" t="s">
        <v>48</v>
      </c>
      <c r="AU4" s="113" t="s">
        <v>49</v>
      </c>
      <c r="AV4" s="114" t="s">
        <v>3224</v>
      </c>
      <c r="AW4" s="113" t="s">
        <v>50</v>
      </c>
      <c r="AX4" s="114" t="s">
        <v>51</v>
      </c>
      <c r="AY4" s="113" t="s">
        <v>52</v>
      </c>
      <c r="AZ4" s="114" t="s">
        <v>53</v>
      </c>
      <c r="BA4" s="113" t="s">
        <v>103</v>
      </c>
      <c r="BB4" s="114" t="s">
        <v>104</v>
      </c>
      <c r="BC4" s="113" t="s">
        <v>105</v>
      </c>
      <c r="BD4" s="114" t="s">
        <v>106</v>
      </c>
      <c r="BE4" s="113" t="s">
        <v>132</v>
      </c>
      <c r="BF4" s="114" t="s">
        <v>133</v>
      </c>
      <c r="BG4" s="113" t="s">
        <v>52</v>
      </c>
      <c r="BH4" s="113" t="s">
        <v>123</v>
      </c>
      <c r="BI4" s="113" t="s">
        <v>124</v>
      </c>
      <c r="BJ4" s="113" t="s">
        <v>125</v>
      </c>
      <c r="BK4" s="113" t="s">
        <v>126</v>
      </c>
      <c r="BL4" s="113" t="s">
        <v>128</v>
      </c>
      <c r="BM4" s="113" t="s">
        <v>186</v>
      </c>
      <c r="BN4" s="113" t="s">
        <v>188</v>
      </c>
      <c r="BO4" s="114" t="s">
        <v>54</v>
      </c>
      <c r="BP4" s="113" t="s">
        <v>55</v>
      </c>
      <c r="BQ4" s="113" t="s">
        <v>64</v>
      </c>
      <c r="BR4" s="114" t="s">
        <v>57</v>
      </c>
      <c r="BS4" s="113" t="s">
        <v>181</v>
      </c>
      <c r="BT4" s="116" t="s">
        <v>127</v>
      </c>
      <c r="BU4" s="113" t="s">
        <v>100</v>
      </c>
      <c r="BV4" s="113" t="s">
        <v>101</v>
      </c>
      <c r="BW4" s="113" t="s">
        <v>179</v>
      </c>
      <c r="BX4" s="113" t="s">
        <v>180</v>
      </c>
      <c r="BY4" s="113" t="s">
        <v>56</v>
      </c>
      <c r="BZ4" s="113" t="s">
        <v>121</v>
      </c>
      <c r="CA4" s="113" t="s">
        <v>122</v>
      </c>
      <c r="CB4" s="113" t="s">
        <v>56</v>
      </c>
      <c r="CC4" s="113" t="s">
        <v>35</v>
      </c>
      <c r="CD4" s="113" t="s">
        <v>154</v>
      </c>
      <c r="CE4" s="113" t="s">
        <v>15</v>
      </c>
      <c r="CF4" s="113" t="s">
        <v>161</v>
      </c>
      <c r="CG4" s="113" t="s">
        <v>144</v>
      </c>
      <c r="CH4" s="113" t="s">
        <v>171</v>
      </c>
      <c r="CI4" s="113" t="s">
        <v>152</v>
      </c>
      <c r="CJ4" s="113" t="s">
        <v>172</v>
      </c>
      <c r="CK4" s="117" t="s">
        <v>173</v>
      </c>
      <c r="CL4" s="118" t="s">
        <v>182</v>
      </c>
      <c r="CM4" s="117" t="s">
        <v>183</v>
      </c>
      <c r="CN4" s="117" t="s">
        <v>184</v>
      </c>
      <c r="CO4" s="117" t="s">
        <v>192</v>
      </c>
      <c r="CP4" s="117" t="s">
        <v>2</v>
      </c>
      <c r="CQ4" s="117" t="s">
        <v>193</v>
      </c>
      <c r="CR4" s="117" t="s">
        <v>194</v>
      </c>
      <c r="CS4" s="117" t="s">
        <v>55</v>
      </c>
      <c r="CT4" s="117" t="s">
        <v>359</v>
      </c>
      <c r="CU4" s="117" t="s">
        <v>360</v>
      </c>
      <c r="CV4" s="117" t="s">
        <v>164</v>
      </c>
      <c r="CW4" s="117" t="s">
        <v>165</v>
      </c>
    </row>
    <row r="5" spans="2:101" s="149" customFormat="1" ht="11.85" customHeight="1" x14ac:dyDescent="0.25">
      <c r="B5" s="120" t="str">
        <f t="shared" ref="B5:B63" si="0">"Q" &amp; IF(ROUNDUP(MONTH(D5)/3,0)-1=0,4,ROUNDUP(MONTH(D5)/3,0)-1)</f>
        <v>Q1</v>
      </c>
      <c r="C5" s="121" t="str">
        <f t="shared" ref="C5:C63" si="1">TEXT(AN5,"mmm-yy")</f>
        <v>Apr-26</v>
      </c>
      <c r="D5" s="122">
        <v>46113</v>
      </c>
      <c r="E5" s="123" t="s">
        <v>3086</v>
      </c>
      <c r="F5" s="123" t="s">
        <v>196</v>
      </c>
      <c r="G5" s="123" t="s">
        <v>198</v>
      </c>
      <c r="H5" s="124" t="s">
        <v>3087</v>
      </c>
      <c r="I5" s="122">
        <v>46111</v>
      </c>
      <c r="J5" s="123" t="s">
        <v>3088</v>
      </c>
      <c r="K5" s="122">
        <v>46113</v>
      </c>
      <c r="L5" s="123" t="s">
        <v>199</v>
      </c>
      <c r="M5" s="123" t="s">
        <v>2901</v>
      </c>
      <c r="N5" s="550" t="s">
        <v>3089</v>
      </c>
      <c r="O5" s="552">
        <v>309</v>
      </c>
      <c r="P5" s="551">
        <v>8</v>
      </c>
      <c r="Q5" s="125">
        <f t="shared" ref="Q5:Q63" si="2">O5*P5</f>
        <v>2472</v>
      </c>
      <c r="R5" s="126">
        <v>0</v>
      </c>
      <c r="S5" s="125">
        <f t="shared" ref="S5:S63" si="3">O5-R5</f>
        <v>309</v>
      </c>
      <c r="T5" s="126">
        <v>0</v>
      </c>
      <c r="U5" s="127">
        <v>0</v>
      </c>
      <c r="V5" s="128">
        <v>0</v>
      </c>
      <c r="W5" s="127">
        <v>0</v>
      </c>
      <c r="X5" s="129">
        <v>0</v>
      </c>
      <c r="Y5" s="127">
        <v>0</v>
      </c>
      <c r="Z5" s="127">
        <v>0</v>
      </c>
      <c r="AA5" s="126">
        <v>0</v>
      </c>
      <c r="AB5" s="130">
        <f t="shared" ref="AB5:AB63" si="4">Y5+AA5+Z5</f>
        <v>0</v>
      </c>
      <c r="AC5" s="129">
        <v>0</v>
      </c>
      <c r="AD5" s="125">
        <f t="shared" ref="AD5:AD63" si="5">Q5/O5</f>
        <v>8</v>
      </c>
      <c r="AE5" s="144">
        <v>0</v>
      </c>
      <c r="AF5" s="127">
        <v>0</v>
      </c>
      <c r="AG5" s="131">
        <v>0</v>
      </c>
      <c r="AH5" s="127">
        <v>0</v>
      </c>
      <c r="AI5" s="128">
        <v>0</v>
      </c>
      <c r="AJ5" s="127">
        <v>0</v>
      </c>
      <c r="AK5" s="127">
        <v>0</v>
      </c>
      <c r="AL5" s="127">
        <v>0</v>
      </c>
      <c r="AM5" s="132">
        <f t="shared" ref="AM5:AM63" si="6">Q5+AB5+AL5+AK5+AJ5+T5+AE5</f>
        <v>2472</v>
      </c>
      <c r="AN5" s="133">
        <v>46113</v>
      </c>
      <c r="AO5" s="134" t="s">
        <v>3225</v>
      </c>
      <c r="AP5" s="135" t="s">
        <v>1937</v>
      </c>
      <c r="AQ5" s="136" t="s">
        <v>1938</v>
      </c>
      <c r="AR5" s="136" t="s">
        <v>1939</v>
      </c>
      <c r="AS5" s="123" t="s">
        <v>2976</v>
      </c>
      <c r="AT5" s="137" t="s">
        <v>1940</v>
      </c>
      <c r="AU5" s="137" t="s">
        <v>197</v>
      </c>
      <c r="AV5" s="138" t="s">
        <v>329</v>
      </c>
      <c r="AW5" s="136">
        <v>309</v>
      </c>
      <c r="AX5" s="138">
        <v>9</v>
      </c>
      <c r="AY5" s="136">
        <f t="shared" ref="AY5:AY63" si="7">AW5*AX5</f>
        <v>2781</v>
      </c>
      <c r="AZ5" s="139" t="b">
        <f t="shared" ref="AZ5:AZ63" si="8">AW5=O5</f>
        <v>1</v>
      </c>
      <c r="BA5" s="125">
        <v>0</v>
      </c>
      <c r="BB5" s="140">
        <f t="shared" ref="BB5:BB63" si="9">AW5-BA5</f>
        <v>309</v>
      </c>
      <c r="BC5" s="141">
        <v>0</v>
      </c>
      <c r="BD5" s="140" t="s">
        <v>107</v>
      </c>
      <c r="BE5" s="141">
        <v>0</v>
      </c>
      <c r="BF5" s="140">
        <v>0</v>
      </c>
      <c r="BG5" s="141">
        <v>0</v>
      </c>
      <c r="BH5" s="127">
        <v>0</v>
      </c>
      <c r="BI5" s="130">
        <v>0</v>
      </c>
      <c r="BJ5" s="128">
        <v>0</v>
      </c>
      <c r="BK5" s="125">
        <v>0</v>
      </c>
      <c r="BL5" s="136">
        <v>0</v>
      </c>
      <c r="BM5" s="127">
        <v>0</v>
      </c>
      <c r="BN5" s="142">
        <f t="shared" ref="BN5:BN63" si="10">AY5*$BN$3</f>
        <v>0</v>
      </c>
      <c r="BO5" s="126">
        <f t="shared" ref="BO5:BO63" si="11">AY5+BL5+BM5+BN5+BC5+BG5</f>
        <v>2781</v>
      </c>
      <c r="BP5" s="132">
        <f t="shared" ref="BP5:BP63" si="12">BO5-AM5</f>
        <v>309</v>
      </c>
      <c r="BQ5" s="141" t="str">
        <f t="shared" ref="BQ5:BQ63" si="13">IF(BP5&gt;=0,"Positive Margin","Negative Margin")</f>
        <v>Positive Margin</v>
      </c>
      <c r="BR5" s="143" t="s">
        <v>119</v>
      </c>
      <c r="BS5" s="125">
        <f t="shared" ref="BS5:BS63" si="14">AY5-Y5-Q5-AA5-T5+BC5</f>
        <v>309</v>
      </c>
      <c r="BT5" s="144" t="str">
        <f t="shared" ref="BT5:BT63" si="15">IF(BS5&lt;0, "Negative Margin at Inception", "Positive Margin at Inception")</f>
        <v>Positive Margin at Inception</v>
      </c>
      <c r="BU5" s="145">
        <f t="shared" ref="BU5:BU63" si="16">IFERROR(BP5/BO5,"0")</f>
        <v>0.1111111111111111</v>
      </c>
      <c r="BV5" s="144" t="str">
        <f t="shared" ref="BV5:BV63" si="17">IF(BU5&lt;1%,"Less Than 1%",IF(BU5&gt;2%,"More than 2%",IF(BU5&gt;=1%,"1% - 2%")))</f>
        <v>More than 2%</v>
      </c>
      <c r="BW5" s="125">
        <f t="shared" ref="BW5:BW63" si="18">BM5+BN5</f>
        <v>0</v>
      </c>
      <c r="BX5" s="126">
        <f t="shared" ref="BX5:BX63" si="19">AL5+AK5</f>
        <v>0</v>
      </c>
      <c r="BY5" s="125">
        <f t="shared" ref="BY5:BY63" si="20">BW5-BX5</f>
        <v>0</v>
      </c>
      <c r="BZ5" s="146">
        <f t="shared" ref="BZ5:BZ63" si="21">BM5</f>
        <v>0</v>
      </c>
      <c r="CA5" s="146">
        <f t="shared" ref="CA5:CA63" si="22">AK5</f>
        <v>0</v>
      </c>
      <c r="CB5" s="127">
        <f t="shared" ref="CB5:CB63" si="23">BZ5-CA5</f>
        <v>0</v>
      </c>
      <c r="CC5" s="146" t="s">
        <v>397</v>
      </c>
      <c r="CD5" s="127">
        <v>0</v>
      </c>
      <c r="CE5" s="127" t="str">
        <f t="shared" ref="CE5:CE63" si="24">TEXT(AN5,"mmm-yy")</f>
        <v>Apr-26</v>
      </c>
      <c r="CF5" s="127">
        <f t="shared" ref="CF5:CF63" si="25">AM5-AL5-AA5</f>
        <v>2472</v>
      </c>
      <c r="CG5" s="127">
        <f t="shared" ref="CG5:CG63" si="26">BO5-BN5</f>
        <v>2781</v>
      </c>
      <c r="CH5" s="127">
        <f t="shared" ref="CH5:CH63" si="27">INT((D5- IF(MONTH(D5) &gt;= 4, DATE(YEAR(D5), 4, 1), DATE(YEAR(D5)-1, 4, 1))) / 7) + 1</f>
        <v>1</v>
      </c>
      <c r="CI5" s="147" t="str">
        <f t="shared" ref="CI5:CI63" si="28">IF(F5="BLACK GOLD RECYCLING PRIVATE LIMITED", "BG AHD", "B2B")</f>
        <v>BG AHD</v>
      </c>
      <c r="CJ5" s="127">
        <v>0</v>
      </c>
      <c r="CK5" s="127">
        <v>0</v>
      </c>
      <c r="CL5" s="127">
        <f t="shared" ref="CL5:CL63" si="29">AY5-Q5</f>
        <v>309</v>
      </c>
      <c r="CM5" s="127">
        <f t="shared" ref="CM5:CM63" si="30">CL5-Y5+Z5</f>
        <v>309</v>
      </c>
      <c r="CN5" s="127">
        <f t="shared" ref="CN5:CN63" si="31">BO5-AM5</f>
        <v>309</v>
      </c>
      <c r="CO5" s="127">
        <f t="shared" ref="CO5:CO63" si="32">AY5*118%</f>
        <v>3281.58</v>
      </c>
      <c r="CP5" s="127">
        <f t="shared" ref="CP5:CP63" si="33">-Q5*118%</f>
        <v>-2916.96</v>
      </c>
      <c r="CQ5" s="127">
        <f t="shared" ref="CQ5:CQ63" si="34">-BZ5*118%</f>
        <v>0</v>
      </c>
      <c r="CR5" s="127">
        <f t="shared" ref="CR5:CR63" si="35">-CA5*118%</f>
        <v>0</v>
      </c>
      <c r="CS5" s="127">
        <f t="shared" ref="CS5:CS63" si="36">SUM(CO5:CR5)</f>
        <v>364.61999999999989</v>
      </c>
      <c r="CT5" s="127" t="s">
        <v>361</v>
      </c>
      <c r="CU5" s="127" t="s">
        <v>361</v>
      </c>
      <c r="CV5" s="142" t="str">
        <f t="shared" ref="CV5:CV63" si="37">MID(G5,3,10)</f>
        <v>AAMCB5608A</v>
      </c>
      <c r="CW5" s="142" t="str">
        <f t="shared" ref="CW5:CW63" si="38">MID(AR5,3,10)</f>
        <v>AFDPY5902R</v>
      </c>
    </row>
    <row r="6" spans="2:101" s="149" customFormat="1" ht="11.85" customHeight="1" x14ac:dyDescent="0.25">
      <c r="B6" s="120" t="str">
        <f t="shared" si="0"/>
        <v>Q1</v>
      </c>
      <c r="C6" s="121" t="str">
        <f t="shared" si="1"/>
        <v>Apr-26</v>
      </c>
      <c r="D6" s="122">
        <v>46113</v>
      </c>
      <c r="E6" s="123" t="s">
        <v>3086</v>
      </c>
      <c r="F6" s="123" t="s">
        <v>196</v>
      </c>
      <c r="G6" s="123" t="s">
        <v>198</v>
      </c>
      <c r="H6" s="124" t="s">
        <v>3087</v>
      </c>
      <c r="I6" s="122">
        <v>46111</v>
      </c>
      <c r="J6" s="123" t="s">
        <v>3088</v>
      </c>
      <c r="K6" s="122">
        <v>46113</v>
      </c>
      <c r="L6" s="123" t="s">
        <v>199</v>
      </c>
      <c r="M6" s="123" t="s">
        <v>2901</v>
      </c>
      <c r="N6" s="550" t="s">
        <v>3090</v>
      </c>
      <c r="O6" s="123">
        <v>2009</v>
      </c>
      <c r="P6" s="551">
        <v>4</v>
      </c>
      <c r="Q6" s="125">
        <f t="shared" si="2"/>
        <v>8036</v>
      </c>
      <c r="R6" s="126">
        <v>0</v>
      </c>
      <c r="S6" s="125">
        <f t="shared" si="3"/>
        <v>2009</v>
      </c>
      <c r="T6" s="126">
        <v>0</v>
      </c>
      <c r="U6" s="127">
        <v>0</v>
      </c>
      <c r="V6" s="128">
        <v>0</v>
      </c>
      <c r="W6" s="127">
        <v>0</v>
      </c>
      <c r="X6" s="129">
        <v>0</v>
      </c>
      <c r="Y6" s="127">
        <v>0</v>
      </c>
      <c r="Z6" s="127">
        <v>0</v>
      </c>
      <c r="AA6" s="126">
        <v>0</v>
      </c>
      <c r="AB6" s="130">
        <f t="shared" si="4"/>
        <v>0</v>
      </c>
      <c r="AC6" s="129">
        <v>0</v>
      </c>
      <c r="AD6" s="125">
        <f t="shared" si="5"/>
        <v>4</v>
      </c>
      <c r="AE6" s="144">
        <v>0</v>
      </c>
      <c r="AF6" s="127">
        <v>0</v>
      </c>
      <c r="AG6" s="131">
        <v>0</v>
      </c>
      <c r="AH6" s="127">
        <v>0</v>
      </c>
      <c r="AI6" s="128">
        <v>0</v>
      </c>
      <c r="AJ6" s="127">
        <v>0</v>
      </c>
      <c r="AK6" s="127">
        <v>0</v>
      </c>
      <c r="AL6" s="127">
        <v>0</v>
      </c>
      <c r="AM6" s="132">
        <f t="shared" si="6"/>
        <v>8036</v>
      </c>
      <c r="AN6" s="133">
        <v>46113</v>
      </c>
      <c r="AO6" s="134" t="s">
        <v>3225</v>
      </c>
      <c r="AP6" s="135" t="s">
        <v>1937</v>
      </c>
      <c r="AQ6" s="136" t="s">
        <v>1938</v>
      </c>
      <c r="AR6" s="136" t="s">
        <v>1939</v>
      </c>
      <c r="AS6" s="123" t="s">
        <v>2976</v>
      </c>
      <c r="AT6" s="137" t="s">
        <v>1940</v>
      </c>
      <c r="AU6" s="137" t="s">
        <v>197</v>
      </c>
      <c r="AV6" s="138" t="s">
        <v>329</v>
      </c>
      <c r="AW6" s="136">
        <v>2009</v>
      </c>
      <c r="AX6" s="138">
        <v>4.5</v>
      </c>
      <c r="AY6" s="136">
        <f t="shared" si="7"/>
        <v>9040.5</v>
      </c>
      <c r="AZ6" s="139" t="b">
        <f t="shared" si="8"/>
        <v>1</v>
      </c>
      <c r="BA6" s="125">
        <v>0</v>
      </c>
      <c r="BB6" s="140">
        <f t="shared" si="9"/>
        <v>2009</v>
      </c>
      <c r="BC6" s="141">
        <v>0</v>
      </c>
      <c r="BD6" s="140" t="s">
        <v>107</v>
      </c>
      <c r="BE6" s="141">
        <v>0</v>
      </c>
      <c r="BF6" s="140">
        <v>0</v>
      </c>
      <c r="BG6" s="141">
        <v>0</v>
      </c>
      <c r="BH6" s="127">
        <v>0</v>
      </c>
      <c r="BI6" s="130">
        <v>0</v>
      </c>
      <c r="BJ6" s="128">
        <v>0</v>
      </c>
      <c r="BK6" s="125">
        <v>0</v>
      </c>
      <c r="BL6" s="136">
        <v>0</v>
      </c>
      <c r="BM6" s="127">
        <v>0</v>
      </c>
      <c r="BN6" s="142">
        <f t="shared" si="10"/>
        <v>0</v>
      </c>
      <c r="BO6" s="126">
        <f t="shared" si="11"/>
        <v>9040.5</v>
      </c>
      <c r="BP6" s="132">
        <f t="shared" si="12"/>
        <v>1004.5</v>
      </c>
      <c r="BQ6" s="141" t="str">
        <f t="shared" si="13"/>
        <v>Positive Margin</v>
      </c>
      <c r="BR6" s="143" t="s">
        <v>119</v>
      </c>
      <c r="BS6" s="125">
        <f t="shared" si="14"/>
        <v>1004.5</v>
      </c>
      <c r="BT6" s="144" t="str">
        <f t="shared" si="15"/>
        <v>Positive Margin at Inception</v>
      </c>
      <c r="BU6" s="145">
        <f t="shared" si="16"/>
        <v>0.1111111111111111</v>
      </c>
      <c r="BV6" s="144" t="str">
        <f t="shared" si="17"/>
        <v>More than 2%</v>
      </c>
      <c r="BW6" s="125">
        <f t="shared" si="18"/>
        <v>0</v>
      </c>
      <c r="BX6" s="126">
        <f t="shared" si="19"/>
        <v>0</v>
      </c>
      <c r="BY6" s="125">
        <f t="shared" si="20"/>
        <v>0</v>
      </c>
      <c r="BZ6" s="146">
        <f t="shared" si="21"/>
        <v>0</v>
      </c>
      <c r="CA6" s="146">
        <f t="shared" si="22"/>
        <v>0</v>
      </c>
      <c r="CB6" s="127">
        <f t="shared" si="23"/>
        <v>0</v>
      </c>
      <c r="CC6" s="146" t="s">
        <v>397</v>
      </c>
      <c r="CD6" s="127">
        <v>0</v>
      </c>
      <c r="CE6" s="127" t="str">
        <f t="shared" si="24"/>
        <v>Apr-26</v>
      </c>
      <c r="CF6" s="127">
        <f t="shared" si="25"/>
        <v>8036</v>
      </c>
      <c r="CG6" s="127">
        <f t="shared" si="26"/>
        <v>9040.5</v>
      </c>
      <c r="CH6" s="127">
        <f t="shared" si="27"/>
        <v>1</v>
      </c>
      <c r="CI6" s="147" t="str">
        <f t="shared" si="28"/>
        <v>BG AHD</v>
      </c>
      <c r="CJ6" s="127">
        <v>0</v>
      </c>
      <c r="CK6" s="127">
        <v>0</v>
      </c>
      <c r="CL6" s="127">
        <f t="shared" si="29"/>
        <v>1004.5</v>
      </c>
      <c r="CM6" s="127">
        <f t="shared" si="30"/>
        <v>1004.5</v>
      </c>
      <c r="CN6" s="127">
        <f t="shared" si="31"/>
        <v>1004.5</v>
      </c>
      <c r="CO6" s="127">
        <f t="shared" si="32"/>
        <v>10667.789999999999</v>
      </c>
      <c r="CP6" s="127">
        <f t="shared" si="33"/>
        <v>-9482.48</v>
      </c>
      <c r="CQ6" s="127">
        <f t="shared" si="34"/>
        <v>0</v>
      </c>
      <c r="CR6" s="127">
        <f t="shared" si="35"/>
        <v>0</v>
      </c>
      <c r="CS6" s="127">
        <f t="shared" si="36"/>
        <v>1185.3099999999995</v>
      </c>
      <c r="CT6" s="127" t="s">
        <v>361</v>
      </c>
      <c r="CU6" s="127" t="s">
        <v>361</v>
      </c>
      <c r="CV6" s="142" t="str">
        <f t="shared" si="37"/>
        <v>AAMCB5608A</v>
      </c>
      <c r="CW6" s="142" t="str">
        <f t="shared" si="38"/>
        <v>AFDPY5902R</v>
      </c>
    </row>
    <row r="7" spans="2:101" s="149" customFormat="1" ht="11.85" customHeight="1" x14ac:dyDescent="0.25">
      <c r="B7" s="120" t="str">
        <f t="shared" si="0"/>
        <v>Q1</v>
      </c>
      <c r="C7" s="121" t="str">
        <f t="shared" si="1"/>
        <v>Apr-26</v>
      </c>
      <c r="D7" s="122">
        <v>46113</v>
      </c>
      <c r="E7" s="123" t="s">
        <v>3086</v>
      </c>
      <c r="F7" s="123" t="s">
        <v>196</v>
      </c>
      <c r="G7" s="123" t="s">
        <v>198</v>
      </c>
      <c r="H7" s="124" t="s">
        <v>3087</v>
      </c>
      <c r="I7" s="122">
        <v>46111</v>
      </c>
      <c r="J7" s="123" t="s">
        <v>3088</v>
      </c>
      <c r="K7" s="122">
        <v>46113</v>
      </c>
      <c r="L7" s="123" t="s">
        <v>199</v>
      </c>
      <c r="M7" s="123" t="s">
        <v>2901</v>
      </c>
      <c r="N7" s="550" t="s">
        <v>3091</v>
      </c>
      <c r="O7" s="123">
        <v>117</v>
      </c>
      <c r="P7" s="551">
        <v>7</v>
      </c>
      <c r="Q7" s="125">
        <f t="shared" si="2"/>
        <v>819</v>
      </c>
      <c r="R7" s="126">
        <v>0</v>
      </c>
      <c r="S7" s="125">
        <f t="shared" si="3"/>
        <v>117</v>
      </c>
      <c r="T7" s="126">
        <v>0</v>
      </c>
      <c r="U7" s="127">
        <v>0</v>
      </c>
      <c r="V7" s="128">
        <v>0</v>
      </c>
      <c r="W7" s="127">
        <v>0</v>
      </c>
      <c r="X7" s="129">
        <v>0</v>
      </c>
      <c r="Y7" s="127">
        <v>0</v>
      </c>
      <c r="Z7" s="127">
        <v>0</v>
      </c>
      <c r="AA7" s="126">
        <v>0</v>
      </c>
      <c r="AB7" s="130">
        <f t="shared" si="4"/>
        <v>0</v>
      </c>
      <c r="AC7" s="129">
        <v>0</v>
      </c>
      <c r="AD7" s="125">
        <f t="shared" si="5"/>
        <v>7</v>
      </c>
      <c r="AE7" s="144">
        <v>0</v>
      </c>
      <c r="AF7" s="127">
        <v>0</v>
      </c>
      <c r="AG7" s="131">
        <v>0</v>
      </c>
      <c r="AH7" s="127">
        <v>0</v>
      </c>
      <c r="AI7" s="128">
        <v>0</v>
      </c>
      <c r="AJ7" s="127">
        <v>0</v>
      </c>
      <c r="AK7" s="127">
        <v>0</v>
      </c>
      <c r="AL7" s="127">
        <v>0</v>
      </c>
      <c r="AM7" s="132">
        <f t="shared" si="6"/>
        <v>819</v>
      </c>
      <c r="AN7" s="133">
        <v>46113</v>
      </c>
      <c r="AO7" s="134" t="s">
        <v>3225</v>
      </c>
      <c r="AP7" s="135" t="s">
        <v>1937</v>
      </c>
      <c r="AQ7" s="136" t="s">
        <v>1938</v>
      </c>
      <c r="AR7" s="136" t="s">
        <v>1939</v>
      </c>
      <c r="AS7" s="123" t="s">
        <v>2976</v>
      </c>
      <c r="AT7" s="137" t="s">
        <v>1940</v>
      </c>
      <c r="AU7" s="137" t="s">
        <v>197</v>
      </c>
      <c r="AV7" s="138" t="s">
        <v>329</v>
      </c>
      <c r="AW7" s="136">
        <v>117</v>
      </c>
      <c r="AX7" s="138">
        <v>8</v>
      </c>
      <c r="AY7" s="136">
        <f t="shared" si="7"/>
        <v>936</v>
      </c>
      <c r="AZ7" s="139" t="b">
        <f t="shared" si="8"/>
        <v>1</v>
      </c>
      <c r="BA7" s="125">
        <v>0</v>
      </c>
      <c r="BB7" s="140">
        <f t="shared" si="9"/>
        <v>117</v>
      </c>
      <c r="BC7" s="141">
        <v>0</v>
      </c>
      <c r="BD7" s="140" t="s">
        <v>107</v>
      </c>
      <c r="BE7" s="141">
        <v>0</v>
      </c>
      <c r="BF7" s="140">
        <v>0</v>
      </c>
      <c r="BG7" s="141">
        <v>0</v>
      </c>
      <c r="BH7" s="127">
        <v>0</v>
      </c>
      <c r="BI7" s="130">
        <v>0</v>
      </c>
      <c r="BJ7" s="128">
        <v>0</v>
      </c>
      <c r="BK7" s="125">
        <v>0</v>
      </c>
      <c r="BL7" s="136">
        <v>0</v>
      </c>
      <c r="BM7" s="127">
        <v>0</v>
      </c>
      <c r="BN7" s="142">
        <f t="shared" si="10"/>
        <v>0</v>
      </c>
      <c r="BO7" s="126">
        <f t="shared" si="11"/>
        <v>936</v>
      </c>
      <c r="BP7" s="132">
        <f t="shared" si="12"/>
        <v>117</v>
      </c>
      <c r="BQ7" s="141" t="str">
        <f t="shared" si="13"/>
        <v>Positive Margin</v>
      </c>
      <c r="BR7" s="143" t="s">
        <v>119</v>
      </c>
      <c r="BS7" s="125">
        <f t="shared" si="14"/>
        <v>117</v>
      </c>
      <c r="BT7" s="144" t="str">
        <f t="shared" si="15"/>
        <v>Positive Margin at Inception</v>
      </c>
      <c r="BU7" s="145">
        <f t="shared" si="16"/>
        <v>0.125</v>
      </c>
      <c r="BV7" s="144" t="str">
        <f t="shared" si="17"/>
        <v>More than 2%</v>
      </c>
      <c r="BW7" s="125">
        <f t="shared" si="18"/>
        <v>0</v>
      </c>
      <c r="BX7" s="126">
        <f t="shared" si="19"/>
        <v>0</v>
      </c>
      <c r="BY7" s="125">
        <f t="shared" si="20"/>
        <v>0</v>
      </c>
      <c r="BZ7" s="146">
        <f t="shared" si="21"/>
        <v>0</v>
      </c>
      <c r="CA7" s="146">
        <f t="shared" si="22"/>
        <v>0</v>
      </c>
      <c r="CB7" s="127">
        <f t="shared" si="23"/>
        <v>0</v>
      </c>
      <c r="CC7" s="146" t="s">
        <v>397</v>
      </c>
      <c r="CD7" s="127">
        <v>0</v>
      </c>
      <c r="CE7" s="127" t="str">
        <f t="shared" si="24"/>
        <v>Apr-26</v>
      </c>
      <c r="CF7" s="127">
        <f t="shared" si="25"/>
        <v>819</v>
      </c>
      <c r="CG7" s="127">
        <f t="shared" si="26"/>
        <v>936</v>
      </c>
      <c r="CH7" s="127">
        <f t="shared" si="27"/>
        <v>1</v>
      </c>
      <c r="CI7" s="147" t="str">
        <f t="shared" si="28"/>
        <v>BG AHD</v>
      </c>
      <c r="CJ7" s="127">
        <v>0</v>
      </c>
      <c r="CK7" s="127">
        <v>0</v>
      </c>
      <c r="CL7" s="127">
        <f t="shared" si="29"/>
        <v>117</v>
      </c>
      <c r="CM7" s="127">
        <f t="shared" si="30"/>
        <v>117</v>
      </c>
      <c r="CN7" s="127">
        <f t="shared" si="31"/>
        <v>117</v>
      </c>
      <c r="CO7" s="127">
        <f t="shared" si="32"/>
        <v>1104.48</v>
      </c>
      <c r="CP7" s="127">
        <f t="shared" si="33"/>
        <v>-966.42</v>
      </c>
      <c r="CQ7" s="127">
        <f t="shared" si="34"/>
        <v>0</v>
      </c>
      <c r="CR7" s="127">
        <f t="shared" si="35"/>
        <v>0</v>
      </c>
      <c r="CS7" s="127">
        <f t="shared" si="36"/>
        <v>138.06000000000006</v>
      </c>
      <c r="CT7" s="127" t="s">
        <v>361</v>
      </c>
      <c r="CU7" s="127" t="s">
        <v>361</v>
      </c>
      <c r="CV7" s="142" t="str">
        <f t="shared" si="37"/>
        <v>AAMCB5608A</v>
      </c>
      <c r="CW7" s="142" t="str">
        <f t="shared" si="38"/>
        <v>AFDPY5902R</v>
      </c>
    </row>
    <row r="8" spans="2:101" s="149" customFormat="1" ht="11.85" customHeight="1" x14ac:dyDescent="0.25">
      <c r="B8" s="120" t="str">
        <f t="shared" si="0"/>
        <v>Q1</v>
      </c>
      <c r="C8" s="121" t="str">
        <f t="shared" si="1"/>
        <v>Apr-26</v>
      </c>
      <c r="D8" s="122">
        <v>46115</v>
      </c>
      <c r="E8" s="123" t="s">
        <v>3092</v>
      </c>
      <c r="F8" s="123" t="s">
        <v>196</v>
      </c>
      <c r="G8" s="123" t="s">
        <v>198</v>
      </c>
      <c r="H8" s="124" t="s">
        <v>3093</v>
      </c>
      <c r="I8" s="122">
        <v>46115</v>
      </c>
      <c r="J8" s="123" t="s">
        <v>3094</v>
      </c>
      <c r="K8" s="122">
        <v>46115</v>
      </c>
      <c r="L8" s="123" t="s">
        <v>199</v>
      </c>
      <c r="M8" s="123" t="s">
        <v>201</v>
      </c>
      <c r="N8" s="550" t="s">
        <v>252</v>
      </c>
      <c r="O8" s="123">
        <v>2440</v>
      </c>
      <c r="P8" s="551">
        <v>2</v>
      </c>
      <c r="Q8" s="125">
        <f t="shared" si="2"/>
        <v>4880</v>
      </c>
      <c r="R8" s="126">
        <v>0</v>
      </c>
      <c r="S8" s="125">
        <f t="shared" si="3"/>
        <v>2440</v>
      </c>
      <c r="T8" s="126">
        <v>0</v>
      </c>
      <c r="U8" s="127">
        <v>0</v>
      </c>
      <c r="V8" s="128">
        <v>0</v>
      </c>
      <c r="W8" s="127">
        <v>0</v>
      </c>
      <c r="X8" s="129">
        <v>0</v>
      </c>
      <c r="Y8" s="127">
        <v>0</v>
      </c>
      <c r="Z8" s="127">
        <v>0</v>
      </c>
      <c r="AA8" s="126">
        <v>0</v>
      </c>
      <c r="AB8" s="130">
        <f t="shared" si="4"/>
        <v>0</v>
      </c>
      <c r="AC8" s="129">
        <v>0</v>
      </c>
      <c r="AD8" s="125">
        <f t="shared" si="5"/>
        <v>2</v>
      </c>
      <c r="AE8" s="144">
        <v>0</v>
      </c>
      <c r="AF8" s="127">
        <v>0</v>
      </c>
      <c r="AG8" s="131">
        <v>0</v>
      </c>
      <c r="AH8" s="127">
        <v>0</v>
      </c>
      <c r="AI8" s="128">
        <v>0</v>
      </c>
      <c r="AJ8" s="127">
        <v>0</v>
      </c>
      <c r="AK8" s="127">
        <v>0</v>
      </c>
      <c r="AL8" s="127">
        <v>0</v>
      </c>
      <c r="AM8" s="132">
        <f t="shared" si="6"/>
        <v>4880</v>
      </c>
      <c r="AN8" s="133">
        <v>46115</v>
      </c>
      <c r="AO8" s="134" t="s">
        <v>3226</v>
      </c>
      <c r="AP8" s="135" t="s">
        <v>234</v>
      </c>
      <c r="AQ8" s="136" t="s">
        <v>235</v>
      </c>
      <c r="AR8" s="136" t="s">
        <v>236</v>
      </c>
      <c r="AS8" s="123" t="s">
        <v>237</v>
      </c>
      <c r="AT8" s="137" t="s">
        <v>238</v>
      </c>
      <c r="AU8" s="137" t="s">
        <v>197</v>
      </c>
      <c r="AV8" s="138" t="s">
        <v>329</v>
      </c>
      <c r="AW8" s="136">
        <v>2440</v>
      </c>
      <c r="AX8" s="138">
        <v>2.1</v>
      </c>
      <c r="AY8" s="136">
        <f t="shared" si="7"/>
        <v>5124</v>
      </c>
      <c r="AZ8" s="139" t="b">
        <f t="shared" si="8"/>
        <v>1</v>
      </c>
      <c r="BA8" s="125">
        <v>0</v>
      </c>
      <c r="BB8" s="140">
        <f t="shared" si="9"/>
        <v>2440</v>
      </c>
      <c r="BC8" s="141">
        <v>0</v>
      </c>
      <c r="BD8" s="140" t="s">
        <v>107</v>
      </c>
      <c r="BE8" s="141">
        <v>0</v>
      </c>
      <c r="BF8" s="140">
        <v>0</v>
      </c>
      <c r="BG8" s="141">
        <v>0</v>
      </c>
      <c r="BH8" s="127">
        <v>0</v>
      </c>
      <c r="BI8" s="130">
        <v>0</v>
      </c>
      <c r="BJ8" s="128">
        <v>0</v>
      </c>
      <c r="BK8" s="125">
        <v>0</v>
      </c>
      <c r="BL8" s="136">
        <v>0</v>
      </c>
      <c r="BM8" s="127">
        <v>0</v>
      </c>
      <c r="BN8" s="142">
        <f t="shared" si="10"/>
        <v>0</v>
      </c>
      <c r="BO8" s="126">
        <f t="shared" si="11"/>
        <v>5124</v>
      </c>
      <c r="BP8" s="132">
        <f t="shared" si="12"/>
        <v>244</v>
      </c>
      <c r="BQ8" s="141" t="str">
        <f t="shared" si="13"/>
        <v>Positive Margin</v>
      </c>
      <c r="BR8" s="143" t="s">
        <v>119</v>
      </c>
      <c r="BS8" s="125">
        <f t="shared" si="14"/>
        <v>244</v>
      </c>
      <c r="BT8" s="144" t="str">
        <f t="shared" si="15"/>
        <v>Positive Margin at Inception</v>
      </c>
      <c r="BU8" s="145">
        <f t="shared" si="16"/>
        <v>4.7619047619047616E-2</v>
      </c>
      <c r="BV8" s="144" t="str">
        <f t="shared" si="17"/>
        <v>More than 2%</v>
      </c>
      <c r="BW8" s="125">
        <f t="shared" si="18"/>
        <v>0</v>
      </c>
      <c r="BX8" s="126">
        <f t="shared" si="19"/>
        <v>0</v>
      </c>
      <c r="BY8" s="125">
        <f t="shared" si="20"/>
        <v>0</v>
      </c>
      <c r="BZ8" s="146">
        <f t="shared" si="21"/>
        <v>0</v>
      </c>
      <c r="CA8" s="146">
        <f t="shared" si="22"/>
        <v>0</v>
      </c>
      <c r="CB8" s="127">
        <f t="shared" si="23"/>
        <v>0</v>
      </c>
      <c r="CC8" s="146" t="s">
        <v>397</v>
      </c>
      <c r="CD8" s="127">
        <v>0</v>
      </c>
      <c r="CE8" s="127" t="str">
        <f t="shared" si="24"/>
        <v>Apr-26</v>
      </c>
      <c r="CF8" s="127">
        <f t="shared" si="25"/>
        <v>4880</v>
      </c>
      <c r="CG8" s="127">
        <f t="shared" si="26"/>
        <v>5124</v>
      </c>
      <c r="CH8" s="127">
        <f t="shared" si="27"/>
        <v>1</v>
      </c>
      <c r="CI8" s="147" t="str">
        <f t="shared" si="28"/>
        <v>BG AHD</v>
      </c>
      <c r="CJ8" s="127">
        <v>0</v>
      </c>
      <c r="CK8" s="127">
        <v>0</v>
      </c>
      <c r="CL8" s="127">
        <f t="shared" si="29"/>
        <v>244</v>
      </c>
      <c r="CM8" s="127">
        <f t="shared" si="30"/>
        <v>244</v>
      </c>
      <c r="CN8" s="127">
        <f t="shared" si="31"/>
        <v>244</v>
      </c>
      <c r="CO8" s="127">
        <f t="shared" si="32"/>
        <v>6046.32</v>
      </c>
      <c r="CP8" s="127">
        <f t="shared" si="33"/>
        <v>-5758.4</v>
      </c>
      <c r="CQ8" s="127">
        <f t="shared" si="34"/>
        <v>0</v>
      </c>
      <c r="CR8" s="127">
        <f t="shared" si="35"/>
        <v>0</v>
      </c>
      <c r="CS8" s="127">
        <f t="shared" si="36"/>
        <v>287.92000000000007</v>
      </c>
      <c r="CT8" s="127" t="s">
        <v>361</v>
      </c>
      <c r="CU8" s="127" t="s">
        <v>361</v>
      </c>
      <c r="CV8" s="142" t="str">
        <f t="shared" si="37"/>
        <v>AAMCB5608A</v>
      </c>
      <c r="CW8" s="142" t="str">
        <f t="shared" si="38"/>
        <v>BJHPB3107J</v>
      </c>
    </row>
    <row r="9" spans="2:101" s="149" customFormat="1" ht="11.85" customHeight="1" x14ac:dyDescent="0.25">
      <c r="B9" s="120" t="str">
        <f t="shared" si="0"/>
        <v>Q1</v>
      </c>
      <c r="C9" s="121" t="str">
        <f t="shared" si="1"/>
        <v>Apr-26</v>
      </c>
      <c r="D9" s="122">
        <v>46115</v>
      </c>
      <c r="E9" s="123" t="s">
        <v>3095</v>
      </c>
      <c r="F9" s="123" t="s">
        <v>196</v>
      </c>
      <c r="G9" s="123" t="s">
        <v>198</v>
      </c>
      <c r="H9" s="124" t="s">
        <v>3096</v>
      </c>
      <c r="I9" s="122">
        <v>46115</v>
      </c>
      <c r="J9" s="123" t="s">
        <v>3097</v>
      </c>
      <c r="K9" s="122">
        <v>46115</v>
      </c>
      <c r="L9" s="123" t="s">
        <v>199</v>
      </c>
      <c r="M9" s="123" t="s">
        <v>2331</v>
      </c>
      <c r="N9" s="550" t="s">
        <v>1498</v>
      </c>
      <c r="O9" s="123">
        <v>1520</v>
      </c>
      <c r="P9" s="551">
        <v>13</v>
      </c>
      <c r="Q9" s="125">
        <f t="shared" si="2"/>
        <v>19760</v>
      </c>
      <c r="R9" s="126">
        <v>0</v>
      </c>
      <c r="S9" s="125">
        <f t="shared" si="3"/>
        <v>1520</v>
      </c>
      <c r="T9" s="126">
        <v>0</v>
      </c>
      <c r="U9" s="127">
        <v>0</v>
      </c>
      <c r="V9" s="128">
        <v>0</v>
      </c>
      <c r="W9" s="127">
        <v>0</v>
      </c>
      <c r="X9" s="129">
        <v>0</v>
      </c>
      <c r="Y9" s="127">
        <v>0</v>
      </c>
      <c r="Z9" s="127">
        <v>0</v>
      </c>
      <c r="AA9" s="126">
        <v>0</v>
      </c>
      <c r="AB9" s="130">
        <f t="shared" si="4"/>
        <v>0</v>
      </c>
      <c r="AC9" s="129">
        <v>0</v>
      </c>
      <c r="AD9" s="125">
        <f t="shared" si="5"/>
        <v>13</v>
      </c>
      <c r="AE9" s="144">
        <v>0</v>
      </c>
      <c r="AF9" s="127">
        <v>0</v>
      </c>
      <c r="AG9" s="131">
        <v>0</v>
      </c>
      <c r="AH9" s="127">
        <v>0</v>
      </c>
      <c r="AI9" s="128">
        <v>0</v>
      </c>
      <c r="AJ9" s="127">
        <v>0</v>
      </c>
      <c r="AK9" s="127">
        <v>0</v>
      </c>
      <c r="AL9" s="127">
        <v>0</v>
      </c>
      <c r="AM9" s="132">
        <f t="shared" si="6"/>
        <v>19760</v>
      </c>
      <c r="AN9" s="133">
        <v>46115</v>
      </c>
      <c r="AO9" s="134" t="s">
        <v>3231</v>
      </c>
      <c r="AP9" s="135" t="s">
        <v>234</v>
      </c>
      <c r="AQ9" s="136" t="s">
        <v>235</v>
      </c>
      <c r="AR9" s="136" t="s">
        <v>236</v>
      </c>
      <c r="AS9" s="123" t="s">
        <v>2006</v>
      </c>
      <c r="AT9" s="137" t="s">
        <v>238</v>
      </c>
      <c r="AU9" s="137" t="s">
        <v>197</v>
      </c>
      <c r="AV9" s="138" t="s">
        <v>329</v>
      </c>
      <c r="AW9" s="136">
        <v>1520</v>
      </c>
      <c r="AX9" s="138">
        <v>15</v>
      </c>
      <c r="AY9" s="136">
        <f t="shared" si="7"/>
        <v>22800</v>
      </c>
      <c r="AZ9" s="139" t="b">
        <f t="shared" si="8"/>
        <v>1</v>
      </c>
      <c r="BA9" s="125">
        <v>0</v>
      </c>
      <c r="BB9" s="140">
        <f t="shared" si="9"/>
        <v>1520</v>
      </c>
      <c r="BC9" s="141">
        <v>0</v>
      </c>
      <c r="BD9" s="140" t="s">
        <v>107</v>
      </c>
      <c r="BE9" s="141">
        <v>0</v>
      </c>
      <c r="BF9" s="140">
        <v>0</v>
      </c>
      <c r="BG9" s="141">
        <v>0</v>
      </c>
      <c r="BH9" s="127">
        <v>0</v>
      </c>
      <c r="BI9" s="130">
        <v>0</v>
      </c>
      <c r="BJ9" s="128">
        <v>0</v>
      </c>
      <c r="BK9" s="125">
        <v>0</v>
      </c>
      <c r="BL9" s="136">
        <v>0</v>
      </c>
      <c r="BM9" s="127">
        <v>0</v>
      </c>
      <c r="BN9" s="142">
        <f t="shared" si="10"/>
        <v>0</v>
      </c>
      <c r="BO9" s="126">
        <f t="shared" si="11"/>
        <v>22800</v>
      </c>
      <c r="BP9" s="132">
        <f t="shared" si="12"/>
        <v>3040</v>
      </c>
      <c r="BQ9" s="141" t="str">
        <f t="shared" si="13"/>
        <v>Positive Margin</v>
      </c>
      <c r="BR9" s="143" t="s">
        <v>119</v>
      </c>
      <c r="BS9" s="125">
        <f t="shared" si="14"/>
        <v>3040</v>
      </c>
      <c r="BT9" s="144" t="str">
        <f t="shared" si="15"/>
        <v>Positive Margin at Inception</v>
      </c>
      <c r="BU9" s="145">
        <f t="shared" si="16"/>
        <v>0.13333333333333333</v>
      </c>
      <c r="BV9" s="144" t="str">
        <f t="shared" si="17"/>
        <v>More than 2%</v>
      </c>
      <c r="BW9" s="125">
        <f t="shared" si="18"/>
        <v>0</v>
      </c>
      <c r="BX9" s="126">
        <f t="shared" si="19"/>
        <v>0</v>
      </c>
      <c r="BY9" s="125">
        <f t="shared" si="20"/>
        <v>0</v>
      </c>
      <c r="BZ9" s="146">
        <f t="shared" si="21"/>
        <v>0</v>
      </c>
      <c r="CA9" s="146">
        <f t="shared" si="22"/>
        <v>0</v>
      </c>
      <c r="CB9" s="127">
        <f t="shared" si="23"/>
        <v>0</v>
      </c>
      <c r="CC9" s="146" t="s">
        <v>397</v>
      </c>
      <c r="CD9" s="127">
        <v>0</v>
      </c>
      <c r="CE9" s="127" t="str">
        <f t="shared" si="24"/>
        <v>Apr-26</v>
      </c>
      <c r="CF9" s="127">
        <f t="shared" si="25"/>
        <v>19760</v>
      </c>
      <c r="CG9" s="127">
        <f t="shared" si="26"/>
        <v>22800</v>
      </c>
      <c r="CH9" s="127">
        <f t="shared" si="27"/>
        <v>1</v>
      </c>
      <c r="CI9" s="147" t="str">
        <f t="shared" si="28"/>
        <v>BG AHD</v>
      </c>
      <c r="CJ9" s="127">
        <v>0</v>
      </c>
      <c r="CK9" s="127">
        <v>0</v>
      </c>
      <c r="CL9" s="127">
        <f t="shared" si="29"/>
        <v>3040</v>
      </c>
      <c r="CM9" s="127">
        <f t="shared" si="30"/>
        <v>3040</v>
      </c>
      <c r="CN9" s="127">
        <f t="shared" si="31"/>
        <v>3040</v>
      </c>
      <c r="CO9" s="127">
        <f t="shared" si="32"/>
        <v>26904</v>
      </c>
      <c r="CP9" s="127">
        <f t="shared" si="33"/>
        <v>-23316.799999999999</v>
      </c>
      <c r="CQ9" s="127">
        <f t="shared" si="34"/>
        <v>0</v>
      </c>
      <c r="CR9" s="127">
        <f t="shared" si="35"/>
        <v>0</v>
      </c>
      <c r="CS9" s="127">
        <f t="shared" si="36"/>
        <v>3587.2000000000007</v>
      </c>
      <c r="CT9" s="127" t="s">
        <v>361</v>
      </c>
      <c r="CU9" s="127" t="s">
        <v>361</v>
      </c>
      <c r="CV9" s="142" t="str">
        <f t="shared" si="37"/>
        <v>AAMCB5608A</v>
      </c>
      <c r="CW9" s="142" t="str">
        <f t="shared" si="38"/>
        <v>BJHPB3107J</v>
      </c>
    </row>
    <row r="10" spans="2:101" s="149" customFormat="1" ht="11.85" customHeight="1" x14ac:dyDescent="0.25">
      <c r="B10" s="120" t="str">
        <f t="shared" si="0"/>
        <v>Q1</v>
      </c>
      <c r="C10" s="121" t="str">
        <f t="shared" si="1"/>
        <v>Apr-26</v>
      </c>
      <c r="D10" s="122">
        <v>46115</v>
      </c>
      <c r="E10" s="123" t="s">
        <v>3098</v>
      </c>
      <c r="F10" s="123" t="s">
        <v>196</v>
      </c>
      <c r="G10" s="123" t="s">
        <v>198</v>
      </c>
      <c r="H10" s="124" t="s">
        <v>3099</v>
      </c>
      <c r="I10" s="122">
        <v>46115</v>
      </c>
      <c r="J10" s="123" t="s">
        <v>3100</v>
      </c>
      <c r="K10" s="122">
        <v>46115</v>
      </c>
      <c r="L10" s="123" t="s">
        <v>199</v>
      </c>
      <c r="M10" s="123" t="s">
        <v>3101</v>
      </c>
      <c r="N10" s="550" t="s">
        <v>3102</v>
      </c>
      <c r="O10" s="123">
        <v>1900</v>
      </c>
      <c r="P10" s="551">
        <v>2.5</v>
      </c>
      <c r="Q10" s="125">
        <f t="shared" si="2"/>
        <v>4750</v>
      </c>
      <c r="R10" s="126">
        <v>0</v>
      </c>
      <c r="S10" s="125">
        <f t="shared" si="3"/>
        <v>1900</v>
      </c>
      <c r="T10" s="126">
        <v>0</v>
      </c>
      <c r="U10" s="127">
        <v>0</v>
      </c>
      <c r="V10" s="128">
        <v>0</v>
      </c>
      <c r="W10" s="127">
        <v>0</v>
      </c>
      <c r="X10" s="129">
        <v>0</v>
      </c>
      <c r="Y10" s="127">
        <v>0</v>
      </c>
      <c r="Z10" s="127">
        <v>0</v>
      </c>
      <c r="AA10" s="126">
        <v>0</v>
      </c>
      <c r="AB10" s="130">
        <f t="shared" si="4"/>
        <v>0</v>
      </c>
      <c r="AC10" s="129">
        <v>0</v>
      </c>
      <c r="AD10" s="125">
        <f t="shared" si="5"/>
        <v>2.5</v>
      </c>
      <c r="AE10" s="144">
        <v>0</v>
      </c>
      <c r="AF10" s="127">
        <v>0</v>
      </c>
      <c r="AG10" s="131">
        <v>0</v>
      </c>
      <c r="AH10" s="127">
        <v>0</v>
      </c>
      <c r="AI10" s="128">
        <v>0</v>
      </c>
      <c r="AJ10" s="127">
        <v>0</v>
      </c>
      <c r="AK10" s="127">
        <v>0</v>
      </c>
      <c r="AL10" s="127">
        <v>0</v>
      </c>
      <c r="AM10" s="132">
        <f t="shared" si="6"/>
        <v>4750</v>
      </c>
      <c r="AN10" s="133">
        <v>46115</v>
      </c>
      <c r="AO10" s="134" t="s">
        <v>3232</v>
      </c>
      <c r="AP10" s="135" t="s">
        <v>1937</v>
      </c>
      <c r="AQ10" s="136" t="s">
        <v>1938</v>
      </c>
      <c r="AR10" s="136" t="s">
        <v>1939</v>
      </c>
      <c r="AS10" s="123" t="s">
        <v>2976</v>
      </c>
      <c r="AT10" s="137" t="s">
        <v>1940</v>
      </c>
      <c r="AU10" s="137" t="s">
        <v>197</v>
      </c>
      <c r="AV10" s="138" t="s">
        <v>329</v>
      </c>
      <c r="AW10" s="136">
        <v>1900</v>
      </c>
      <c r="AX10" s="138">
        <v>3</v>
      </c>
      <c r="AY10" s="136">
        <f t="shared" si="7"/>
        <v>5700</v>
      </c>
      <c r="AZ10" s="139" t="b">
        <f t="shared" si="8"/>
        <v>1</v>
      </c>
      <c r="BA10" s="125">
        <v>0</v>
      </c>
      <c r="BB10" s="140">
        <f t="shared" si="9"/>
        <v>1900</v>
      </c>
      <c r="BC10" s="141">
        <v>0</v>
      </c>
      <c r="BD10" s="140" t="s">
        <v>107</v>
      </c>
      <c r="BE10" s="141">
        <v>0</v>
      </c>
      <c r="BF10" s="140">
        <v>0</v>
      </c>
      <c r="BG10" s="141">
        <v>0</v>
      </c>
      <c r="BH10" s="127">
        <v>0</v>
      </c>
      <c r="BI10" s="130">
        <v>0</v>
      </c>
      <c r="BJ10" s="128">
        <v>0</v>
      </c>
      <c r="BK10" s="125">
        <v>0</v>
      </c>
      <c r="BL10" s="136">
        <v>0</v>
      </c>
      <c r="BM10" s="127">
        <v>0</v>
      </c>
      <c r="BN10" s="142">
        <f t="shared" si="10"/>
        <v>0</v>
      </c>
      <c r="BO10" s="126">
        <f t="shared" si="11"/>
        <v>5700</v>
      </c>
      <c r="BP10" s="132">
        <f t="shared" si="12"/>
        <v>950</v>
      </c>
      <c r="BQ10" s="141" t="str">
        <f t="shared" si="13"/>
        <v>Positive Margin</v>
      </c>
      <c r="BR10" s="143" t="s">
        <v>119</v>
      </c>
      <c r="BS10" s="125">
        <f t="shared" si="14"/>
        <v>950</v>
      </c>
      <c r="BT10" s="144" t="str">
        <f t="shared" si="15"/>
        <v>Positive Margin at Inception</v>
      </c>
      <c r="BU10" s="145">
        <f t="shared" si="16"/>
        <v>0.16666666666666666</v>
      </c>
      <c r="BV10" s="144" t="str">
        <f t="shared" si="17"/>
        <v>More than 2%</v>
      </c>
      <c r="BW10" s="125">
        <f t="shared" si="18"/>
        <v>0</v>
      </c>
      <c r="BX10" s="126">
        <f t="shared" si="19"/>
        <v>0</v>
      </c>
      <c r="BY10" s="125">
        <f t="shared" si="20"/>
        <v>0</v>
      </c>
      <c r="BZ10" s="146">
        <f t="shared" si="21"/>
        <v>0</v>
      </c>
      <c r="CA10" s="146">
        <f t="shared" si="22"/>
        <v>0</v>
      </c>
      <c r="CB10" s="127">
        <f t="shared" si="23"/>
        <v>0</v>
      </c>
      <c r="CC10" s="146" t="s">
        <v>397</v>
      </c>
      <c r="CD10" s="127">
        <v>0</v>
      </c>
      <c r="CE10" s="127" t="str">
        <f t="shared" si="24"/>
        <v>Apr-26</v>
      </c>
      <c r="CF10" s="127">
        <f t="shared" si="25"/>
        <v>4750</v>
      </c>
      <c r="CG10" s="127">
        <f t="shared" si="26"/>
        <v>5700</v>
      </c>
      <c r="CH10" s="127">
        <f t="shared" si="27"/>
        <v>1</v>
      </c>
      <c r="CI10" s="147" t="str">
        <f t="shared" si="28"/>
        <v>BG AHD</v>
      </c>
      <c r="CJ10" s="127">
        <v>0</v>
      </c>
      <c r="CK10" s="127">
        <v>0</v>
      </c>
      <c r="CL10" s="127">
        <f t="shared" si="29"/>
        <v>950</v>
      </c>
      <c r="CM10" s="127">
        <f t="shared" si="30"/>
        <v>950</v>
      </c>
      <c r="CN10" s="127">
        <f t="shared" si="31"/>
        <v>950</v>
      </c>
      <c r="CO10" s="127">
        <f t="shared" si="32"/>
        <v>6726</v>
      </c>
      <c r="CP10" s="127">
        <f t="shared" si="33"/>
        <v>-5605</v>
      </c>
      <c r="CQ10" s="127">
        <f t="shared" si="34"/>
        <v>0</v>
      </c>
      <c r="CR10" s="127">
        <f t="shared" si="35"/>
        <v>0</v>
      </c>
      <c r="CS10" s="127">
        <f t="shared" si="36"/>
        <v>1121</v>
      </c>
      <c r="CT10" s="127" t="s">
        <v>361</v>
      </c>
      <c r="CU10" s="127" t="s">
        <v>361</v>
      </c>
      <c r="CV10" s="142" t="str">
        <f t="shared" si="37"/>
        <v>AAMCB5608A</v>
      </c>
      <c r="CW10" s="142" t="str">
        <f t="shared" si="38"/>
        <v>AFDPY5902R</v>
      </c>
    </row>
    <row r="11" spans="2:101" s="149" customFormat="1" ht="11.85" customHeight="1" x14ac:dyDescent="0.25">
      <c r="B11" s="120" t="str">
        <f t="shared" si="0"/>
        <v>Q1</v>
      </c>
      <c r="C11" s="121" t="str">
        <f t="shared" si="1"/>
        <v>Apr-26</v>
      </c>
      <c r="D11" s="122">
        <v>46115</v>
      </c>
      <c r="E11" s="123" t="s">
        <v>3103</v>
      </c>
      <c r="F11" s="123" t="s">
        <v>196</v>
      </c>
      <c r="G11" s="123" t="s">
        <v>198</v>
      </c>
      <c r="H11" s="124" t="s">
        <v>3104</v>
      </c>
      <c r="I11" s="122">
        <v>46115</v>
      </c>
      <c r="J11" s="123" t="s">
        <v>3105</v>
      </c>
      <c r="K11" s="122">
        <v>46115</v>
      </c>
      <c r="L11" s="123" t="s">
        <v>199</v>
      </c>
      <c r="M11" s="123" t="s">
        <v>398</v>
      </c>
      <c r="N11" s="550" t="s">
        <v>204</v>
      </c>
      <c r="O11" s="123">
        <v>3520</v>
      </c>
      <c r="P11" s="551">
        <v>10</v>
      </c>
      <c r="Q11" s="125">
        <f t="shared" si="2"/>
        <v>35200</v>
      </c>
      <c r="R11" s="126">
        <v>0</v>
      </c>
      <c r="S11" s="125">
        <f t="shared" si="3"/>
        <v>3520</v>
      </c>
      <c r="T11" s="126">
        <v>0</v>
      </c>
      <c r="U11" s="127">
        <v>0</v>
      </c>
      <c r="V11" s="128">
        <v>0</v>
      </c>
      <c r="W11" s="127">
        <v>0</v>
      </c>
      <c r="X11" s="129">
        <v>0</v>
      </c>
      <c r="Y11" s="127">
        <v>0</v>
      </c>
      <c r="Z11" s="127">
        <v>0</v>
      </c>
      <c r="AA11" s="126">
        <v>0</v>
      </c>
      <c r="AB11" s="130">
        <f t="shared" si="4"/>
        <v>0</v>
      </c>
      <c r="AC11" s="129">
        <v>0</v>
      </c>
      <c r="AD11" s="125">
        <f t="shared" si="5"/>
        <v>10</v>
      </c>
      <c r="AE11" s="144">
        <v>0</v>
      </c>
      <c r="AF11" s="127">
        <v>0</v>
      </c>
      <c r="AG11" s="131">
        <v>0</v>
      </c>
      <c r="AH11" s="127">
        <v>0</v>
      </c>
      <c r="AI11" s="128">
        <v>0</v>
      </c>
      <c r="AJ11" s="127">
        <v>0</v>
      </c>
      <c r="AK11" s="127">
        <v>0</v>
      </c>
      <c r="AL11" s="127">
        <v>0</v>
      </c>
      <c r="AM11" s="132">
        <f t="shared" si="6"/>
        <v>35200</v>
      </c>
      <c r="AN11" s="133">
        <v>46115</v>
      </c>
      <c r="AO11" s="134" t="s">
        <v>3228</v>
      </c>
      <c r="AP11" s="135" t="s">
        <v>234</v>
      </c>
      <c r="AQ11" s="136" t="s">
        <v>235</v>
      </c>
      <c r="AR11" s="136" t="s">
        <v>236</v>
      </c>
      <c r="AS11" s="123" t="s">
        <v>237</v>
      </c>
      <c r="AT11" s="137" t="s">
        <v>238</v>
      </c>
      <c r="AU11" s="137" t="s">
        <v>197</v>
      </c>
      <c r="AV11" s="138" t="s">
        <v>329</v>
      </c>
      <c r="AW11" s="136">
        <v>3520</v>
      </c>
      <c r="AX11" s="138">
        <v>12</v>
      </c>
      <c r="AY11" s="136">
        <f t="shared" si="7"/>
        <v>42240</v>
      </c>
      <c r="AZ11" s="139" t="b">
        <f t="shared" si="8"/>
        <v>1</v>
      </c>
      <c r="BA11" s="125">
        <v>0</v>
      </c>
      <c r="BB11" s="140">
        <f t="shared" si="9"/>
        <v>3520</v>
      </c>
      <c r="BC11" s="141">
        <v>0</v>
      </c>
      <c r="BD11" s="140" t="s">
        <v>107</v>
      </c>
      <c r="BE11" s="141">
        <v>0</v>
      </c>
      <c r="BF11" s="140">
        <v>0</v>
      </c>
      <c r="BG11" s="141">
        <v>0</v>
      </c>
      <c r="BH11" s="127">
        <v>0</v>
      </c>
      <c r="BI11" s="130">
        <v>0</v>
      </c>
      <c r="BJ11" s="128">
        <v>0</v>
      </c>
      <c r="BK11" s="125">
        <v>0</v>
      </c>
      <c r="BL11" s="136">
        <v>0</v>
      </c>
      <c r="BM11" s="127">
        <v>0</v>
      </c>
      <c r="BN11" s="142">
        <f t="shared" si="10"/>
        <v>0</v>
      </c>
      <c r="BO11" s="126">
        <f t="shared" si="11"/>
        <v>42240</v>
      </c>
      <c r="BP11" s="132">
        <f t="shared" si="12"/>
        <v>7040</v>
      </c>
      <c r="BQ11" s="141" t="str">
        <f t="shared" si="13"/>
        <v>Positive Margin</v>
      </c>
      <c r="BR11" s="143" t="s">
        <v>119</v>
      </c>
      <c r="BS11" s="125">
        <f t="shared" si="14"/>
        <v>7040</v>
      </c>
      <c r="BT11" s="144" t="str">
        <f t="shared" si="15"/>
        <v>Positive Margin at Inception</v>
      </c>
      <c r="BU11" s="145">
        <f t="shared" si="16"/>
        <v>0.16666666666666666</v>
      </c>
      <c r="BV11" s="144" t="str">
        <f t="shared" si="17"/>
        <v>More than 2%</v>
      </c>
      <c r="BW11" s="125">
        <f t="shared" si="18"/>
        <v>0</v>
      </c>
      <c r="BX11" s="126">
        <f t="shared" si="19"/>
        <v>0</v>
      </c>
      <c r="BY11" s="125">
        <f t="shared" si="20"/>
        <v>0</v>
      </c>
      <c r="BZ11" s="146">
        <f t="shared" si="21"/>
        <v>0</v>
      </c>
      <c r="CA11" s="146">
        <f t="shared" si="22"/>
        <v>0</v>
      </c>
      <c r="CB11" s="127">
        <f t="shared" si="23"/>
        <v>0</v>
      </c>
      <c r="CC11" s="146" t="s">
        <v>397</v>
      </c>
      <c r="CD11" s="127">
        <v>0</v>
      </c>
      <c r="CE11" s="127" t="str">
        <f t="shared" si="24"/>
        <v>Apr-26</v>
      </c>
      <c r="CF11" s="127">
        <f t="shared" si="25"/>
        <v>35200</v>
      </c>
      <c r="CG11" s="127">
        <f t="shared" si="26"/>
        <v>42240</v>
      </c>
      <c r="CH11" s="127">
        <f t="shared" si="27"/>
        <v>1</v>
      </c>
      <c r="CI11" s="147" t="str">
        <f t="shared" si="28"/>
        <v>BG AHD</v>
      </c>
      <c r="CJ11" s="127">
        <v>0</v>
      </c>
      <c r="CK11" s="127">
        <v>0</v>
      </c>
      <c r="CL11" s="127">
        <f t="shared" si="29"/>
        <v>7040</v>
      </c>
      <c r="CM11" s="127">
        <f t="shared" si="30"/>
        <v>7040</v>
      </c>
      <c r="CN11" s="127">
        <f t="shared" si="31"/>
        <v>7040</v>
      </c>
      <c r="CO11" s="127">
        <f t="shared" si="32"/>
        <v>49843.199999999997</v>
      </c>
      <c r="CP11" s="127">
        <f t="shared" si="33"/>
        <v>-41536</v>
      </c>
      <c r="CQ11" s="127">
        <f t="shared" si="34"/>
        <v>0</v>
      </c>
      <c r="CR11" s="127">
        <f t="shared" si="35"/>
        <v>0</v>
      </c>
      <c r="CS11" s="127">
        <f t="shared" si="36"/>
        <v>8307.1999999999971</v>
      </c>
      <c r="CT11" s="127" t="s">
        <v>361</v>
      </c>
      <c r="CU11" s="127" t="s">
        <v>361</v>
      </c>
      <c r="CV11" s="142" t="str">
        <f t="shared" si="37"/>
        <v>AAMCB5608A</v>
      </c>
      <c r="CW11" s="142" t="str">
        <f t="shared" si="38"/>
        <v>BJHPB3107J</v>
      </c>
    </row>
    <row r="12" spans="2:101" s="149" customFormat="1" ht="11.85" customHeight="1" x14ac:dyDescent="0.25">
      <c r="B12" s="120" t="str">
        <f t="shared" si="0"/>
        <v>Q1</v>
      </c>
      <c r="C12" s="121" t="str">
        <f t="shared" si="1"/>
        <v>Apr-26</v>
      </c>
      <c r="D12" s="122">
        <v>46115</v>
      </c>
      <c r="E12" s="123" t="s">
        <v>3103</v>
      </c>
      <c r="F12" s="123" t="s">
        <v>196</v>
      </c>
      <c r="G12" s="123" t="s">
        <v>198</v>
      </c>
      <c r="H12" s="124" t="s">
        <v>3104</v>
      </c>
      <c r="I12" s="122">
        <v>46115</v>
      </c>
      <c r="J12" s="123" t="s">
        <v>3105</v>
      </c>
      <c r="K12" s="122">
        <v>46115</v>
      </c>
      <c r="L12" s="123" t="s">
        <v>199</v>
      </c>
      <c r="M12" s="123" t="s">
        <v>398</v>
      </c>
      <c r="N12" s="550" t="s">
        <v>204</v>
      </c>
      <c r="O12" s="123">
        <v>1310</v>
      </c>
      <c r="P12" s="551">
        <v>10</v>
      </c>
      <c r="Q12" s="125">
        <f t="shared" si="2"/>
        <v>13100</v>
      </c>
      <c r="R12" s="126">
        <v>0</v>
      </c>
      <c r="S12" s="125">
        <f t="shared" si="3"/>
        <v>1310</v>
      </c>
      <c r="T12" s="126">
        <v>0</v>
      </c>
      <c r="U12" s="127">
        <v>0</v>
      </c>
      <c r="V12" s="128">
        <v>0</v>
      </c>
      <c r="W12" s="127">
        <v>0</v>
      </c>
      <c r="X12" s="129">
        <v>0</v>
      </c>
      <c r="Y12" s="127">
        <v>0</v>
      </c>
      <c r="Z12" s="127">
        <v>0</v>
      </c>
      <c r="AA12" s="126">
        <v>0</v>
      </c>
      <c r="AB12" s="130">
        <f t="shared" si="4"/>
        <v>0</v>
      </c>
      <c r="AC12" s="129">
        <v>0</v>
      </c>
      <c r="AD12" s="125">
        <f t="shared" si="5"/>
        <v>10</v>
      </c>
      <c r="AE12" s="144">
        <v>0</v>
      </c>
      <c r="AF12" s="127">
        <v>0</v>
      </c>
      <c r="AG12" s="131">
        <v>0</v>
      </c>
      <c r="AH12" s="127">
        <v>0</v>
      </c>
      <c r="AI12" s="128">
        <v>0</v>
      </c>
      <c r="AJ12" s="127">
        <v>0</v>
      </c>
      <c r="AK12" s="127">
        <v>0</v>
      </c>
      <c r="AL12" s="127">
        <v>0</v>
      </c>
      <c r="AM12" s="132">
        <f t="shared" si="6"/>
        <v>13100</v>
      </c>
      <c r="AN12" s="133">
        <v>46115</v>
      </c>
      <c r="AO12" s="134" t="s">
        <v>3228</v>
      </c>
      <c r="AP12" s="135" t="s">
        <v>234</v>
      </c>
      <c r="AQ12" s="136" t="s">
        <v>235</v>
      </c>
      <c r="AR12" s="136" t="s">
        <v>236</v>
      </c>
      <c r="AS12" s="123" t="s">
        <v>237</v>
      </c>
      <c r="AT12" s="137" t="s">
        <v>238</v>
      </c>
      <c r="AU12" s="137" t="s">
        <v>197</v>
      </c>
      <c r="AV12" s="138" t="s">
        <v>329</v>
      </c>
      <c r="AW12" s="136">
        <v>1310</v>
      </c>
      <c r="AX12" s="138">
        <v>12</v>
      </c>
      <c r="AY12" s="136">
        <f t="shared" si="7"/>
        <v>15720</v>
      </c>
      <c r="AZ12" s="139" t="b">
        <f t="shared" si="8"/>
        <v>1</v>
      </c>
      <c r="BA12" s="125">
        <v>0</v>
      </c>
      <c r="BB12" s="140">
        <f t="shared" si="9"/>
        <v>1310</v>
      </c>
      <c r="BC12" s="141">
        <v>0</v>
      </c>
      <c r="BD12" s="140" t="s">
        <v>107</v>
      </c>
      <c r="BE12" s="141">
        <v>0</v>
      </c>
      <c r="BF12" s="140">
        <v>0</v>
      </c>
      <c r="BG12" s="141">
        <v>0</v>
      </c>
      <c r="BH12" s="127">
        <v>0</v>
      </c>
      <c r="BI12" s="130">
        <v>0</v>
      </c>
      <c r="BJ12" s="128">
        <v>0</v>
      </c>
      <c r="BK12" s="125">
        <v>0</v>
      </c>
      <c r="BL12" s="136">
        <v>0</v>
      </c>
      <c r="BM12" s="127">
        <v>0</v>
      </c>
      <c r="BN12" s="142">
        <f t="shared" si="10"/>
        <v>0</v>
      </c>
      <c r="BO12" s="126">
        <f t="shared" si="11"/>
        <v>15720</v>
      </c>
      <c r="BP12" s="132">
        <f t="shared" si="12"/>
        <v>2620</v>
      </c>
      <c r="BQ12" s="141" t="str">
        <f t="shared" si="13"/>
        <v>Positive Margin</v>
      </c>
      <c r="BR12" s="143" t="s">
        <v>119</v>
      </c>
      <c r="BS12" s="125">
        <f t="shared" si="14"/>
        <v>2620</v>
      </c>
      <c r="BT12" s="144" t="str">
        <f t="shared" si="15"/>
        <v>Positive Margin at Inception</v>
      </c>
      <c r="BU12" s="145">
        <f t="shared" si="16"/>
        <v>0.16666666666666666</v>
      </c>
      <c r="BV12" s="144" t="str">
        <f t="shared" si="17"/>
        <v>More than 2%</v>
      </c>
      <c r="BW12" s="125">
        <f t="shared" si="18"/>
        <v>0</v>
      </c>
      <c r="BX12" s="126">
        <f t="shared" si="19"/>
        <v>0</v>
      </c>
      <c r="BY12" s="125">
        <f t="shared" si="20"/>
        <v>0</v>
      </c>
      <c r="BZ12" s="146">
        <f t="shared" si="21"/>
        <v>0</v>
      </c>
      <c r="CA12" s="146">
        <f t="shared" si="22"/>
        <v>0</v>
      </c>
      <c r="CB12" s="127">
        <f t="shared" si="23"/>
        <v>0</v>
      </c>
      <c r="CC12" s="146" t="s">
        <v>397</v>
      </c>
      <c r="CD12" s="127">
        <v>0</v>
      </c>
      <c r="CE12" s="127" t="str">
        <f t="shared" si="24"/>
        <v>Apr-26</v>
      </c>
      <c r="CF12" s="127">
        <f t="shared" si="25"/>
        <v>13100</v>
      </c>
      <c r="CG12" s="127">
        <f t="shared" si="26"/>
        <v>15720</v>
      </c>
      <c r="CH12" s="127">
        <f t="shared" si="27"/>
        <v>1</v>
      </c>
      <c r="CI12" s="147" t="str">
        <f t="shared" si="28"/>
        <v>BG AHD</v>
      </c>
      <c r="CJ12" s="127">
        <v>0</v>
      </c>
      <c r="CK12" s="127">
        <v>0</v>
      </c>
      <c r="CL12" s="127">
        <f t="shared" si="29"/>
        <v>2620</v>
      </c>
      <c r="CM12" s="127">
        <f t="shared" si="30"/>
        <v>2620</v>
      </c>
      <c r="CN12" s="127">
        <f t="shared" si="31"/>
        <v>2620</v>
      </c>
      <c r="CO12" s="127">
        <f t="shared" si="32"/>
        <v>18549.599999999999</v>
      </c>
      <c r="CP12" s="127">
        <f t="shared" si="33"/>
        <v>-15458</v>
      </c>
      <c r="CQ12" s="127">
        <f t="shared" si="34"/>
        <v>0</v>
      </c>
      <c r="CR12" s="127">
        <f t="shared" si="35"/>
        <v>0</v>
      </c>
      <c r="CS12" s="127">
        <f t="shared" si="36"/>
        <v>3091.5999999999985</v>
      </c>
      <c r="CT12" s="127" t="s">
        <v>361</v>
      </c>
      <c r="CU12" s="127" t="s">
        <v>361</v>
      </c>
      <c r="CV12" s="142" t="str">
        <f t="shared" si="37"/>
        <v>AAMCB5608A</v>
      </c>
      <c r="CW12" s="142" t="str">
        <f t="shared" si="38"/>
        <v>BJHPB3107J</v>
      </c>
    </row>
    <row r="13" spans="2:101" s="149" customFormat="1" ht="11.85" customHeight="1" x14ac:dyDescent="0.25">
      <c r="B13" s="120" t="str">
        <f t="shared" si="0"/>
        <v>Q1</v>
      </c>
      <c r="C13" s="121" t="str">
        <f t="shared" si="1"/>
        <v>Apr-26</v>
      </c>
      <c r="D13" s="122">
        <v>46115</v>
      </c>
      <c r="E13" s="123" t="s">
        <v>3103</v>
      </c>
      <c r="F13" s="123" t="s">
        <v>196</v>
      </c>
      <c r="G13" s="123" t="s">
        <v>198</v>
      </c>
      <c r="H13" s="124" t="s">
        <v>3104</v>
      </c>
      <c r="I13" s="122">
        <v>46115</v>
      </c>
      <c r="J13" s="123" t="s">
        <v>3105</v>
      </c>
      <c r="K13" s="122">
        <v>46115</v>
      </c>
      <c r="L13" s="123" t="s">
        <v>199</v>
      </c>
      <c r="M13" s="123" t="s">
        <v>398</v>
      </c>
      <c r="N13" s="550" t="s">
        <v>207</v>
      </c>
      <c r="O13" s="123">
        <v>2960</v>
      </c>
      <c r="P13" s="551">
        <v>6.5</v>
      </c>
      <c r="Q13" s="125">
        <f t="shared" si="2"/>
        <v>19240</v>
      </c>
      <c r="R13" s="126">
        <v>0</v>
      </c>
      <c r="S13" s="125">
        <f t="shared" si="3"/>
        <v>2960</v>
      </c>
      <c r="T13" s="126">
        <v>0</v>
      </c>
      <c r="U13" s="127">
        <v>0</v>
      </c>
      <c r="V13" s="128">
        <v>0</v>
      </c>
      <c r="W13" s="127">
        <v>0</v>
      </c>
      <c r="X13" s="129">
        <v>0</v>
      </c>
      <c r="Y13" s="127">
        <v>0</v>
      </c>
      <c r="Z13" s="127">
        <v>0</v>
      </c>
      <c r="AA13" s="126">
        <v>0</v>
      </c>
      <c r="AB13" s="130">
        <f t="shared" si="4"/>
        <v>0</v>
      </c>
      <c r="AC13" s="129">
        <v>0</v>
      </c>
      <c r="AD13" s="125">
        <f t="shared" si="5"/>
        <v>6.5</v>
      </c>
      <c r="AE13" s="144">
        <v>0</v>
      </c>
      <c r="AF13" s="127">
        <v>0</v>
      </c>
      <c r="AG13" s="131">
        <v>0</v>
      </c>
      <c r="AH13" s="127">
        <v>0</v>
      </c>
      <c r="AI13" s="128">
        <v>0</v>
      </c>
      <c r="AJ13" s="127">
        <v>0</v>
      </c>
      <c r="AK13" s="127">
        <v>0</v>
      </c>
      <c r="AL13" s="127">
        <v>0</v>
      </c>
      <c r="AM13" s="132">
        <f t="shared" si="6"/>
        <v>19240</v>
      </c>
      <c r="AN13" s="133">
        <v>46115</v>
      </c>
      <c r="AO13" s="134" t="s">
        <v>3228</v>
      </c>
      <c r="AP13" s="135" t="s">
        <v>234</v>
      </c>
      <c r="AQ13" s="136" t="s">
        <v>235</v>
      </c>
      <c r="AR13" s="136" t="s">
        <v>236</v>
      </c>
      <c r="AS13" s="123" t="s">
        <v>237</v>
      </c>
      <c r="AT13" s="137" t="s">
        <v>238</v>
      </c>
      <c r="AU13" s="137" t="s">
        <v>197</v>
      </c>
      <c r="AV13" s="138" t="s">
        <v>329</v>
      </c>
      <c r="AW13" s="136">
        <v>2960</v>
      </c>
      <c r="AX13" s="138">
        <v>8</v>
      </c>
      <c r="AY13" s="136">
        <f t="shared" si="7"/>
        <v>23680</v>
      </c>
      <c r="AZ13" s="139" t="b">
        <f t="shared" si="8"/>
        <v>1</v>
      </c>
      <c r="BA13" s="125">
        <v>0</v>
      </c>
      <c r="BB13" s="140">
        <f t="shared" si="9"/>
        <v>2960</v>
      </c>
      <c r="BC13" s="141">
        <v>0</v>
      </c>
      <c r="BD13" s="140" t="s">
        <v>107</v>
      </c>
      <c r="BE13" s="141">
        <v>0</v>
      </c>
      <c r="BF13" s="140">
        <v>0</v>
      </c>
      <c r="BG13" s="141">
        <v>0</v>
      </c>
      <c r="BH13" s="127">
        <v>0</v>
      </c>
      <c r="BI13" s="130">
        <v>0</v>
      </c>
      <c r="BJ13" s="128">
        <v>0</v>
      </c>
      <c r="BK13" s="125">
        <v>0</v>
      </c>
      <c r="BL13" s="136">
        <v>0</v>
      </c>
      <c r="BM13" s="127">
        <v>0</v>
      </c>
      <c r="BN13" s="142">
        <f t="shared" si="10"/>
        <v>0</v>
      </c>
      <c r="BO13" s="126">
        <f t="shared" si="11"/>
        <v>23680</v>
      </c>
      <c r="BP13" s="132">
        <f t="shared" si="12"/>
        <v>4440</v>
      </c>
      <c r="BQ13" s="141" t="str">
        <f t="shared" si="13"/>
        <v>Positive Margin</v>
      </c>
      <c r="BR13" s="143" t="s">
        <v>119</v>
      </c>
      <c r="BS13" s="125">
        <f t="shared" si="14"/>
        <v>4440</v>
      </c>
      <c r="BT13" s="144" t="str">
        <f t="shared" si="15"/>
        <v>Positive Margin at Inception</v>
      </c>
      <c r="BU13" s="145">
        <f t="shared" si="16"/>
        <v>0.1875</v>
      </c>
      <c r="BV13" s="144" t="str">
        <f t="shared" si="17"/>
        <v>More than 2%</v>
      </c>
      <c r="BW13" s="125">
        <f t="shared" si="18"/>
        <v>0</v>
      </c>
      <c r="BX13" s="126">
        <f t="shared" si="19"/>
        <v>0</v>
      </c>
      <c r="BY13" s="125">
        <f t="shared" si="20"/>
        <v>0</v>
      </c>
      <c r="BZ13" s="146">
        <f t="shared" si="21"/>
        <v>0</v>
      </c>
      <c r="CA13" s="146">
        <f t="shared" si="22"/>
        <v>0</v>
      </c>
      <c r="CB13" s="127">
        <f t="shared" si="23"/>
        <v>0</v>
      </c>
      <c r="CC13" s="146" t="s">
        <v>397</v>
      </c>
      <c r="CD13" s="127">
        <v>0</v>
      </c>
      <c r="CE13" s="127" t="str">
        <f t="shared" si="24"/>
        <v>Apr-26</v>
      </c>
      <c r="CF13" s="127">
        <f t="shared" si="25"/>
        <v>19240</v>
      </c>
      <c r="CG13" s="127">
        <f t="shared" si="26"/>
        <v>23680</v>
      </c>
      <c r="CH13" s="127">
        <f t="shared" si="27"/>
        <v>1</v>
      </c>
      <c r="CI13" s="147" t="str">
        <f t="shared" si="28"/>
        <v>BG AHD</v>
      </c>
      <c r="CJ13" s="127">
        <v>0</v>
      </c>
      <c r="CK13" s="127">
        <v>0</v>
      </c>
      <c r="CL13" s="127">
        <f t="shared" si="29"/>
        <v>4440</v>
      </c>
      <c r="CM13" s="127">
        <f t="shared" si="30"/>
        <v>4440</v>
      </c>
      <c r="CN13" s="127">
        <f t="shared" si="31"/>
        <v>4440</v>
      </c>
      <c r="CO13" s="127">
        <f t="shared" si="32"/>
        <v>27942.399999999998</v>
      </c>
      <c r="CP13" s="127">
        <f t="shared" si="33"/>
        <v>-22703.199999999997</v>
      </c>
      <c r="CQ13" s="127">
        <f t="shared" si="34"/>
        <v>0</v>
      </c>
      <c r="CR13" s="127">
        <f t="shared" si="35"/>
        <v>0</v>
      </c>
      <c r="CS13" s="127">
        <f t="shared" si="36"/>
        <v>5239.2000000000007</v>
      </c>
      <c r="CT13" s="127" t="s">
        <v>361</v>
      </c>
      <c r="CU13" s="127" t="s">
        <v>361</v>
      </c>
      <c r="CV13" s="142" t="str">
        <f t="shared" si="37"/>
        <v>AAMCB5608A</v>
      </c>
      <c r="CW13" s="142" t="str">
        <f t="shared" si="38"/>
        <v>BJHPB3107J</v>
      </c>
    </row>
    <row r="14" spans="2:101" s="149" customFormat="1" ht="11.85" customHeight="1" x14ac:dyDescent="0.25">
      <c r="B14" s="120" t="str">
        <f t="shared" si="0"/>
        <v>Q1</v>
      </c>
      <c r="C14" s="121" t="str">
        <f t="shared" si="1"/>
        <v>Apr-26</v>
      </c>
      <c r="D14" s="122">
        <v>46115</v>
      </c>
      <c r="E14" s="123" t="s">
        <v>3106</v>
      </c>
      <c r="F14" s="123" t="s">
        <v>196</v>
      </c>
      <c r="G14" s="123" t="s">
        <v>198</v>
      </c>
      <c r="H14" s="124" t="s">
        <v>3107</v>
      </c>
      <c r="I14" s="122">
        <v>46115</v>
      </c>
      <c r="J14" s="123" t="s">
        <v>3108</v>
      </c>
      <c r="K14" s="122">
        <v>46115</v>
      </c>
      <c r="L14" s="123" t="s">
        <v>199</v>
      </c>
      <c r="M14" s="123" t="s">
        <v>3109</v>
      </c>
      <c r="N14" s="550" t="s">
        <v>3110</v>
      </c>
      <c r="O14" s="123">
        <v>1220</v>
      </c>
      <c r="P14" s="551">
        <v>11</v>
      </c>
      <c r="Q14" s="125">
        <f t="shared" si="2"/>
        <v>13420</v>
      </c>
      <c r="R14" s="126">
        <v>0</v>
      </c>
      <c r="S14" s="125">
        <f t="shared" si="3"/>
        <v>1220</v>
      </c>
      <c r="T14" s="126">
        <v>0</v>
      </c>
      <c r="U14" s="127">
        <v>0</v>
      </c>
      <c r="V14" s="128">
        <v>0</v>
      </c>
      <c r="W14" s="127">
        <v>0</v>
      </c>
      <c r="X14" s="129">
        <v>0</v>
      </c>
      <c r="Y14" s="127">
        <v>0</v>
      </c>
      <c r="Z14" s="127">
        <v>0</v>
      </c>
      <c r="AA14" s="126">
        <v>0</v>
      </c>
      <c r="AB14" s="130">
        <f t="shared" si="4"/>
        <v>0</v>
      </c>
      <c r="AC14" s="129">
        <v>0</v>
      </c>
      <c r="AD14" s="125">
        <f t="shared" si="5"/>
        <v>11</v>
      </c>
      <c r="AE14" s="144">
        <v>0</v>
      </c>
      <c r="AF14" s="127">
        <v>0</v>
      </c>
      <c r="AG14" s="131">
        <v>0</v>
      </c>
      <c r="AH14" s="127">
        <v>0</v>
      </c>
      <c r="AI14" s="128">
        <v>0</v>
      </c>
      <c r="AJ14" s="127">
        <v>0</v>
      </c>
      <c r="AK14" s="127">
        <v>0</v>
      </c>
      <c r="AL14" s="127">
        <v>0</v>
      </c>
      <c r="AM14" s="132">
        <f t="shared" si="6"/>
        <v>13420</v>
      </c>
      <c r="AN14" s="133">
        <v>46115</v>
      </c>
      <c r="AO14" s="134" t="s">
        <v>3227</v>
      </c>
      <c r="AP14" s="135" t="s">
        <v>1937</v>
      </c>
      <c r="AQ14" s="136" t="s">
        <v>1938</v>
      </c>
      <c r="AR14" s="136" t="s">
        <v>1939</v>
      </c>
      <c r="AS14" s="123" t="s">
        <v>2976</v>
      </c>
      <c r="AT14" s="137" t="s">
        <v>1940</v>
      </c>
      <c r="AU14" s="137" t="s">
        <v>197</v>
      </c>
      <c r="AV14" s="138" t="s">
        <v>329</v>
      </c>
      <c r="AW14" s="136">
        <v>1220</v>
      </c>
      <c r="AX14" s="138">
        <v>12</v>
      </c>
      <c r="AY14" s="136">
        <f t="shared" si="7"/>
        <v>14640</v>
      </c>
      <c r="AZ14" s="139" t="b">
        <f t="shared" si="8"/>
        <v>1</v>
      </c>
      <c r="BA14" s="125">
        <v>0</v>
      </c>
      <c r="BB14" s="140">
        <f t="shared" si="9"/>
        <v>1220</v>
      </c>
      <c r="BC14" s="141">
        <v>0</v>
      </c>
      <c r="BD14" s="140" t="s">
        <v>107</v>
      </c>
      <c r="BE14" s="141">
        <v>0</v>
      </c>
      <c r="BF14" s="140">
        <v>0</v>
      </c>
      <c r="BG14" s="141">
        <v>0</v>
      </c>
      <c r="BH14" s="127">
        <v>0</v>
      </c>
      <c r="BI14" s="130">
        <v>0</v>
      </c>
      <c r="BJ14" s="128">
        <v>0</v>
      </c>
      <c r="BK14" s="125">
        <v>0</v>
      </c>
      <c r="BL14" s="136">
        <v>0</v>
      </c>
      <c r="BM14" s="127">
        <v>0</v>
      </c>
      <c r="BN14" s="142">
        <f t="shared" si="10"/>
        <v>0</v>
      </c>
      <c r="BO14" s="126">
        <f t="shared" si="11"/>
        <v>14640</v>
      </c>
      <c r="BP14" s="132">
        <f t="shared" si="12"/>
        <v>1220</v>
      </c>
      <c r="BQ14" s="141" t="str">
        <f t="shared" si="13"/>
        <v>Positive Margin</v>
      </c>
      <c r="BR14" s="143" t="s">
        <v>119</v>
      </c>
      <c r="BS14" s="125">
        <f t="shared" si="14"/>
        <v>1220</v>
      </c>
      <c r="BT14" s="144" t="str">
        <f t="shared" si="15"/>
        <v>Positive Margin at Inception</v>
      </c>
      <c r="BU14" s="145">
        <f t="shared" si="16"/>
        <v>8.3333333333333329E-2</v>
      </c>
      <c r="BV14" s="144" t="str">
        <f t="shared" si="17"/>
        <v>More than 2%</v>
      </c>
      <c r="BW14" s="125">
        <f t="shared" si="18"/>
        <v>0</v>
      </c>
      <c r="BX14" s="126">
        <f t="shared" si="19"/>
        <v>0</v>
      </c>
      <c r="BY14" s="125">
        <f t="shared" si="20"/>
        <v>0</v>
      </c>
      <c r="BZ14" s="146">
        <f t="shared" si="21"/>
        <v>0</v>
      </c>
      <c r="CA14" s="146">
        <f t="shared" si="22"/>
        <v>0</v>
      </c>
      <c r="CB14" s="127">
        <f t="shared" si="23"/>
        <v>0</v>
      </c>
      <c r="CC14" s="146" t="s">
        <v>397</v>
      </c>
      <c r="CD14" s="127">
        <v>0</v>
      </c>
      <c r="CE14" s="127" t="str">
        <f t="shared" si="24"/>
        <v>Apr-26</v>
      </c>
      <c r="CF14" s="127">
        <f t="shared" si="25"/>
        <v>13420</v>
      </c>
      <c r="CG14" s="127">
        <f t="shared" si="26"/>
        <v>14640</v>
      </c>
      <c r="CH14" s="127">
        <f t="shared" si="27"/>
        <v>1</v>
      </c>
      <c r="CI14" s="147" t="str">
        <f t="shared" si="28"/>
        <v>BG AHD</v>
      </c>
      <c r="CJ14" s="127">
        <v>0</v>
      </c>
      <c r="CK14" s="127">
        <v>0</v>
      </c>
      <c r="CL14" s="127">
        <f t="shared" si="29"/>
        <v>1220</v>
      </c>
      <c r="CM14" s="127">
        <f t="shared" si="30"/>
        <v>1220</v>
      </c>
      <c r="CN14" s="127">
        <f t="shared" si="31"/>
        <v>1220</v>
      </c>
      <c r="CO14" s="127">
        <f t="shared" si="32"/>
        <v>17275.2</v>
      </c>
      <c r="CP14" s="127">
        <f t="shared" si="33"/>
        <v>-15835.599999999999</v>
      </c>
      <c r="CQ14" s="127">
        <f t="shared" si="34"/>
        <v>0</v>
      </c>
      <c r="CR14" s="127">
        <f t="shared" si="35"/>
        <v>0</v>
      </c>
      <c r="CS14" s="127">
        <f t="shared" si="36"/>
        <v>1439.6000000000022</v>
      </c>
      <c r="CT14" s="127" t="s">
        <v>361</v>
      </c>
      <c r="CU14" s="127" t="s">
        <v>361</v>
      </c>
      <c r="CV14" s="142" t="str">
        <f t="shared" si="37"/>
        <v>AAMCB5608A</v>
      </c>
      <c r="CW14" s="142" t="str">
        <f t="shared" si="38"/>
        <v>AFDPY5902R</v>
      </c>
    </row>
    <row r="15" spans="2:101" s="149" customFormat="1" ht="11.85" customHeight="1" x14ac:dyDescent="0.25">
      <c r="B15" s="120" t="str">
        <f t="shared" si="0"/>
        <v>Q1</v>
      </c>
      <c r="C15" s="121" t="str">
        <f t="shared" si="1"/>
        <v>Apr-26</v>
      </c>
      <c r="D15" s="122">
        <v>46115</v>
      </c>
      <c r="E15" s="123" t="s">
        <v>3111</v>
      </c>
      <c r="F15" s="123" t="s">
        <v>196</v>
      </c>
      <c r="G15" s="123" t="s">
        <v>198</v>
      </c>
      <c r="H15" s="124" t="s">
        <v>3112</v>
      </c>
      <c r="I15" s="122">
        <v>46115</v>
      </c>
      <c r="J15" s="123" t="s">
        <v>3113</v>
      </c>
      <c r="K15" s="122">
        <v>46115</v>
      </c>
      <c r="L15" s="123" t="s">
        <v>199</v>
      </c>
      <c r="M15" s="123" t="s">
        <v>3109</v>
      </c>
      <c r="N15" s="550" t="s">
        <v>3114</v>
      </c>
      <c r="O15" s="123">
        <v>400</v>
      </c>
      <c r="P15" s="551">
        <v>3</v>
      </c>
      <c r="Q15" s="125">
        <f t="shared" si="2"/>
        <v>1200</v>
      </c>
      <c r="R15" s="126">
        <v>0</v>
      </c>
      <c r="S15" s="125">
        <f t="shared" si="3"/>
        <v>400</v>
      </c>
      <c r="T15" s="126">
        <v>0</v>
      </c>
      <c r="U15" s="127">
        <v>0</v>
      </c>
      <c r="V15" s="128">
        <v>0</v>
      </c>
      <c r="W15" s="127">
        <v>0</v>
      </c>
      <c r="X15" s="129">
        <v>0</v>
      </c>
      <c r="Y15" s="127">
        <v>0</v>
      </c>
      <c r="Z15" s="127">
        <v>0</v>
      </c>
      <c r="AA15" s="126">
        <v>0</v>
      </c>
      <c r="AB15" s="130">
        <f t="shared" si="4"/>
        <v>0</v>
      </c>
      <c r="AC15" s="129">
        <v>0</v>
      </c>
      <c r="AD15" s="125">
        <f t="shared" si="5"/>
        <v>3</v>
      </c>
      <c r="AE15" s="144">
        <v>0</v>
      </c>
      <c r="AF15" s="127">
        <v>0</v>
      </c>
      <c r="AG15" s="131">
        <v>0</v>
      </c>
      <c r="AH15" s="127">
        <v>0</v>
      </c>
      <c r="AI15" s="128">
        <v>0</v>
      </c>
      <c r="AJ15" s="127">
        <v>0</v>
      </c>
      <c r="AK15" s="127">
        <v>0</v>
      </c>
      <c r="AL15" s="127">
        <v>0</v>
      </c>
      <c r="AM15" s="132">
        <f t="shared" si="6"/>
        <v>1200</v>
      </c>
      <c r="AN15" s="133">
        <v>46115</v>
      </c>
      <c r="AO15" s="134" t="s">
        <v>3229</v>
      </c>
      <c r="AP15" s="135" t="s">
        <v>1937</v>
      </c>
      <c r="AQ15" s="136" t="s">
        <v>1938</v>
      </c>
      <c r="AR15" s="136" t="s">
        <v>1939</v>
      </c>
      <c r="AS15" s="123" t="s">
        <v>2976</v>
      </c>
      <c r="AT15" s="137" t="s">
        <v>1940</v>
      </c>
      <c r="AU15" s="137" t="s">
        <v>197</v>
      </c>
      <c r="AV15" s="138" t="s">
        <v>329</v>
      </c>
      <c r="AW15" s="136">
        <v>400</v>
      </c>
      <c r="AX15" s="138">
        <v>3.5</v>
      </c>
      <c r="AY15" s="136">
        <f t="shared" si="7"/>
        <v>1400</v>
      </c>
      <c r="AZ15" s="139" t="b">
        <f t="shared" si="8"/>
        <v>1</v>
      </c>
      <c r="BA15" s="125">
        <v>0</v>
      </c>
      <c r="BB15" s="140">
        <f t="shared" si="9"/>
        <v>400</v>
      </c>
      <c r="BC15" s="141">
        <v>0</v>
      </c>
      <c r="BD15" s="140" t="s">
        <v>107</v>
      </c>
      <c r="BE15" s="141">
        <v>0</v>
      </c>
      <c r="BF15" s="140">
        <v>0</v>
      </c>
      <c r="BG15" s="141">
        <v>0</v>
      </c>
      <c r="BH15" s="127">
        <v>0</v>
      </c>
      <c r="BI15" s="130">
        <v>0</v>
      </c>
      <c r="BJ15" s="128">
        <v>0</v>
      </c>
      <c r="BK15" s="125">
        <v>0</v>
      </c>
      <c r="BL15" s="136">
        <v>0</v>
      </c>
      <c r="BM15" s="127">
        <v>0</v>
      </c>
      <c r="BN15" s="142">
        <f t="shared" si="10"/>
        <v>0</v>
      </c>
      <c r="BO15" s="126">
        <f t="shared" si="11"/>
        <v>1400</v>
      </c>
      <c r="BP15" s="132">
        <f t="shared" si="12"/>
        <v>200</v>
      </c>
      <c r="BQ15" s="141" t="str">
        <f t="shared" si="13"/>
        <v>Positive Margin</v>
      </c>
      <c r="BR15" s="143" t="s">
        <v>119</v>
      </c>
      <c r="BS15" s="125">
        <f t="shared" si="14"/>
        <v>200</v>
      </c>
      <c r="BT15" s="144" t="str">
        <f t="shared" si="15"/>
        <v>Positive Margin at Inception</v>
      </c>
      <c r="BU15" s="145">
        <f t="shared" si="16"/>
        <v>0.14285714285714285</v>
      </c>
      <c r="BV15" s="144" t="str">
        <f t="shared" si="17"/>
        <v>More than 2%</v>
      </c>
      <c r="BW15" s="125">
        <f t="shared" si="18"/>
        <v>0</v>
      </c>
      <c r="BX15" s="126">
        <f t="shared" si="19"/>
        <v>0</v>
      </c>
      <c r="BY15" s="125">
        <f t="shared" si="20"/>
        <v>0</v>
      </c>
      <c r="BZ15" s="146">
        <f t="shared" si="21"/>
        <v>0</v>
      </c>
      <c r="CA15" s="146">
        <f t="shared" si="22"/>
        <v>0</v>
      </c>
      <c r="CB15" s="127">
        <f t="shared" si="23"/>
        <v>0</v>
      </c>
      <c r="CC15" s="146" t="s">
        <v>397</v>
      </c>
      <c r="CD15" s="127">
        <v>0</v>
      </c>
      <c r="CE15" s="127" t="str">
        <f t="shared" si="24"/>
        <v>Apr-26</v>
      </c>
      <c r="CF15" s="127">
        <f t="shared" si="25"/>
        <v>1200</v>
      </c>
      <c r="CG15" s="127">
        <f t="shared" si="26"/>
        <v>1400</v>
      </c>
      <c r="CH15" s="127">
        <f t="shared" si="27"/>
        <v>1</v>
      </c>
      <c r="CI15" s="147" t="str">
        <f t="shared" si="28"/>
        <v>BG AHD</v>
      </c>
      <c r="CJ15" s="127">
        <v>0</v>
      </c>
      <c r="CK15" s="127">
        <v>0</v>
      </c>
      <c r="CL15" s="127">
        <f t="shared" si="29"/>
        <v>200</v>
      </c>
      <c r="CM15" s="127">
        <f t="shared" si="30"/>
        <v>200</v>
      </c>
      <c r="CN15" s="127">
        <f t="shared" si="31"/>
        <v>200</v>
      </c>
      <c r="CO15" s="127">
        <f t="shared" si="32"/>
        <v>1652</v>
      </c>
      <c r="CP15" s="127">
        <f t="shared" si="33"/>
        <v>-1416</v>
      </c>
      <c r="CQ15" s="127">
        <f t="shared" si="34"/>
        <v>0</v>
      </c>
      <c r="CR15" s="127">
        <f t="shared" si="35"/>
        <v>0</v>
      </c>
      <c r="CS15" s="127">
        <f t="shared" si="36"/>
        <v>236</v>
      </c>
      <c r="CT15" s="127" t="s">
        <v>361</v>
      </c>
      <c r="CU15" s="127" t="s">
        <v>361</v>
      </c>
      <c r="CV15" s="142" t="str">
        <f t="shared" si="37"/>
        <v>AAMCB5608A</v>
      </c>
      <c r="CW15" s="142" t="str">
        <f t="shared" si="38"/>
        <v>AFDPY5902R</v>
      </c>
    </row>
    <row r="16" spans="2:101" s="149" customFormat="1" ht="11.85" customHeight="1" x14ac:dyDescent="0.25">
      <c r="B16" s="120" t="str">
        <f t="shared" si="0"/>
        <v>Q1</v>
      </c>
      <c r="C16" s="121" t="str">
        <f t="shared" si="1"/>
        <v>Apr-26</v>
      </c>
      <c r="D16" s="122">
        <v>46116</v>
      </c>
      <c r="E16" s="123" t="s">
        <v>3115</v>
      </c>
      <c r="F16" s="123" t="s">
        <v>196</v>
      </c>
      <c r="G16" s="123" t="s">
        <v>198</v>
      </c>
      <c r="H16" s="124" t="s">
        <v>3116</v>
      </c>
      <c r="I16" s="122">
        <v>46116</v>
      </c>
      <c r="J16" s="123" t="s">
        <v>3117</v>
      </c>
      <c r="K16" s="122">
        <v>46116</v>
      </c>
      <c r="L16" s="123" t="s">
        <v>199</v>
      </c>
      <c r="M16" s="123" t="s">
        <v>281</v>
      </c>
      <c r="N16" s="550" t="s">
        <v>1499</v>
      </c>
      <c r="O16" s="123">
        <v>540</v>
      </c>
      <c r="P16" s="551">
        <v>17</v>
      </c>
      <c r="Q16" s="125">
        <f t="shared" si="2"/>
        <v>9180</v>
      </c>
      <c r="R16" s="126">
        <v>0</v>
      </c>
      <c r="S16" s="125">
        <f t="shared" si="3"/>
        <v>540</v>
      </c>
      <c r="T16" s="126">
        <v>0</v>
      </c>
      <c r="U16" s="127">
        <v>0</v>
      </c>
      <c r="V16" s="128">
        <v>0</v>
      </c>
      <c r="W16" s="127">
        <v>0</v>
      </c>
      <c r="X16" s="129">
        <v>0</v>
      </c>
      <c r="Y16" s="127">
        <v>0</v>
      </c>
      <c r="Z16" s="127">
        <v>0</v>
      </c>
      <c r="AA16" s="126">
        <v>0</v>
      </c>
      <c r="AB16" s="130">
        <f t="shared" si="4"/>
        <v>0</v>
      </c>
      <c r="AC16" s="129">
        <v>0</v>
      </c>
      <c r="AD16" s="125">
        <f t="shared" si="5"/>
        <v>17</v>
      </c>
      <c r="AE16" s="144">
        <v>0</v>
      </c>
      <c r="AF16" s="127">
        <v>0</v>
      </c>
      <c r="AG16" s="131">
        <v>0</v>
      </c>
      <c r="AH16" s="127">
        <v>0</v>
      </c>
      <c r="AI16" s="128">
        <v>0</v>
      </c>
      <c r="AJ16" s="127">
        <v>0</v>
      </c>
      <c r="AK16" s="127">
        <v>0</v>
      </c>
      <c r="AL16" s="127">
        <v>0</v>
      </c>
      <c r="AM16" s="132">
        <f t="shared" si="6"/>
        <v>9180</v>
      </c>
      <c r="AN16" s="133">
        <v>46116</v>
      </c>
      <c r="AO16" s="134" t="s">
        <v>3230</v>
      </c>
      <c r="AP16" s="135" t="s">
        <v>234</v>
      </c>
      <c r="AQ16" s="136" t="s">
        <v>235</v>
      </c>
      <c r="AR16" s="136" t="s">
        <v>236</v>
      </c>
      <c r="AS16" s="123" t="s">
        <v>2005</v>
      </c>
      <c r="AT16" s="137" t="s">
        <v>238</v>
      </c>
      <c r="AU16" s="137" t="s">
        <v>197</v>
      </c>
      <c r="AV16" s="138" t="s">
        <v>329</v>
      </c>
      <c r="AW16" s="136">
        <v>540</v>
      </c>
      <c r="AX16" s="138">
        <v>20</v>
      </c>
      <c r="AY16" s="136">
        <f t="shared" si="7"/>
        <v>10800</v>
      </c>
      <c r="AZ16" s="139" t="b">
        <f t="shared" si="8"/>
        <v>1</v>
      </c>
      <c r="BA16" s="125">
        <v>0</v>
      </c>
      <c r="BB16" s="140">
        <f t="shared" si="9"/>
        <v>540</v>
      </c>
      <c r="BC16" s="141">
        <v>0</v>
      </c>
      <c r="BD16" s="140" t="s">
        <v>107</v>
      </c>
      <c r="BE16" s="141">
        <v>0</v>
      </c>
      <c r="BF16" s="140">
        <v>0</v>
      </c>
      <c r="BG16" s="141">
        <v>0</v>
      </c>
      <c r="BH16" s="127">
        <v>0</v>
      </c>
      <c r="BI16" s="130">
        <v>0</v>
      </c>
      <c r="BJ16" s="128">
        <v>0</v>
      </c>
      <c r="BK16" s="125">
        <v>0</v>
      </c>
      <c r="BL16" s="136">
        <v>0</v>
      </c>
      <c r="BM16" s="127">
        <v>0</v>
      </c>
      <c r="BN16" s="142">
        <f t="shared" si="10"/>
        <v>0</v>
      </c>
      <c r="BO16" s="126">
        <f t="shared" si="11"/>
        <v>10800</v>
      </c>
      <c r="BP16" s="132">
        <f t="shared" si="12"/>
        <v>1620</v>
      </c>
      <c r="BQ16" s="141" t="str">
        <f t="shared" si="13"/>
        <v>Positive Margin</v>
      </c>
      <c r="BR16" s="143" t="s">
        <v>119</v>
      </c>
      <c r="BS16" s="125">
        <f t="shared" si="14"/>
        <v>1620</v>
      </c>
      <c r="BT16" s="144" t="str">
        <f t="shared" si="15"/>
        <v>Positive Margin at Inception</v>
      </c>
      <c r="BU16" s="145">
        <f t="shared" si="16"/>
        <v>0.15</v>
      </c>
      <c r="BV16" s="144" t="str">
        <f t="shared" si="17"/>
        <v>More than 2%</v>
      </c>
      <c r="BW16" s="125">
        <f t="shared" si="18"/>
        <v>0</v>
      </c>
      <c r="BX16" s="126">
        <f t="shared" si="19"/>
        <v>0</v>
      </c>
      <c r="BY16" s="125">
        <f t="shared" si="20"/>
        <v>0</v>
      </c>
      <c r="BZ16" s="146">
        <f t="shared" si="21"/>
        <v>0</v>
      </c>
      <c r="CA16" s="146">
        <f t="shared" si="22"/>
        <v>0</v>
      </c>
      <c r="CB16" s="127">
        <f t="shared" si="23"/>
        <v>0</v>
      </c>
      <c r="CC16" s="146" t="s">
        <v>397</v>
      </c>
      <c r="CD16" s="127">
        <v>0</v>
      </c>
      <c r="CE16" s="127" t="str">
        <f t="shared" si="24"/>
        <v>Apr-26</v>
      </c>
      <c r="CF16" s="127">
        <f t="shared" si="25"/>
        <v>9180</v>
      </c>
      <c r="CG16" s="127">
        <f t="shared" si="26"/>
        <v>10800</v>
      </c>
      <c r="CH16" s="127">
        <f t="shared" si="27"/>
        <v>1</v>
      </c>
      <c r="CI16" s="147" t="str">
        <f t="shared" si="28"/>
        <v>BG AHD</v>
      </c>
      <c r="CJ16" s="127">
        <v>0</v>
      </c>
      <c r="CK16" s="127">
        <v>0</v>
      </c>
      <c r="CL16" s="127">
        <f t="shared" si="29"/>
        <v>1620</v>
      </c>
      <c r="CM16" s="127">
        <f t="shared" si="30"/>
        <v>1620</v>
      </c>
      <c r="CN16" s="127">
        <f t="shared" si="31"/>
        <v>1620</v>
      </c>
      <c r="CO16" s="127">
        <f t="shared" si="32"/>
        <v>12744</v>
      </c>
      <c r="CP16" s="127">
        <f t="shared" si="33"/>
        <v>-10832.4</v>
      </c>
      <c r="CQ16" s="127">
        <f t="shared" si="34"/>
        <v>0</v>
      </c>
      <c r="CR16" s="127">
        <f t="shared" si="35"/>
        <v>0</v>
      </c>
      <c r="CS16" s="127">
        <f t="shared" si="36"/>
        <v>1911.6000000000004</v>
      </c>
      <c r="CT16" s="127" t="s">
        <v>361</v>
      </c>
      <c r="CU16" s="127" t="s">
        <v>361</v>
      </c>
      <c r="CV16" s="142" t="str">
        <f t="shared" si="37"/>
        <v>AAMCB5608A</v>
      </c>
      <c r="CW16" s="142" t="str">
        <f t="shared" si="38"/>
        <v>BJHPB3107J</v>
      </c>
    </row>
    <row r="17" spans="2:101" s="149" customFormat="1" ht="11.85" customHeight="1" x14ac:dyDescent="0.25">
      <c r="B17" s="120" t="str">
        <f t="shared" si="0"/>
        <v>Q1</v>
      </c>
      <c r="C17" s="121" t="str">
        <f t="shared" si="1"/>
        <v>Apr-26</v>
      </c>
      <c r="D17" s="122">
        <v>46116</v>
      </c>
      <c r="E17" s="123" t="s">
        <v>3115</v>
      </c>
      <c r="F17" s="123" t="s">
        <v>196</v>
      </c>
      <c r="G17" s="123" t="s">
        <v>198</v>
      </c>
      <c r="H17" s="124" t="s">
        <v>3116</v>
      </c>
      <c r="I17" s="122">
        <v>46116</v>
      </c>
      <c r="J17" s="123" t="s">
        <v>3117</v>
      </c>
      <c r="K17" s="122">
        <v>46116</v>
      </c>
      <c r="L17" s="123" t="s">
        <v>199</v>
      </c>
      <c r="M17" s="123" t="s">
        <v>281</v>
      </c>
      <c r="N17" s="550" t="s">
        <v>259</v>
      </c>
      <c r="O17" s="123">
        <v>1060</v>
      </c>
      <c r="P17" s="551">
        <v>11.5</v>
      </c>
      <c r="Q17" s="125">
        <f t="shared" si="2"/>
        <v>12190</v>
      </c>
      <c r="R17" s="126">
        <v>0</v>
      </c>
      <c r="S17" s="125">
        <f t="shared" si="3"/>
        <v>1060</v>
      </c>
      <c r="T17" s="126">
        <v>0</v>
      </c>
      <c r="U17" s="127">
        <v>0</v>
      </c>
      <c r="V17" s="128">
        <v>0</v>
      </c>
      <c r="W17" s="127">
        <v>0</v>
      </c>
      <c r="X17" s="129">
        <v>0</v>
      </c>
      <c r="Y17" s="127">
        <v>0</v>
      </c>
      <c r="Z17" s="127">
        <v>0</v>
      </c>
      <c r="AA17" s="126">
        <v>0</v>
      </c>
      <c r="AB17" s="130">
        <f t="shared" si="4"/>
        <v>0</v>
      </c>
      <c r="AC17" s="129">
        <v>0</v>
      </c>
      <c r="AD17" s="125">
        <f t="shared" si="5"/>
        <v>11.5</v>
      </c>
      <c r="AE17" s="144">
        <v>0</v>
      </c>
      <c r="AF17" s="127">
        <v>0</v>
      </c>
      <c r="AG17" s="131">
        <v>0</v>
      </c>
      <c r="AH17" s="127">
        <v>0</v>
      </c>
      <c r="AI17" s="128">
        <v>0</v>
      </c>
      <c r="AJ17" s="127">
        <v>0</v>
      </c>
      <c r="AK17" s="127">
        <v>0</v>
      </c>
      <c r="AL17" s="127">
        <v>0</v>
      </c>
      <c r="AM17" s="132">
        <f t="shared" si="6"/>
        <v>12190</v>
      </c>
      <c r="AN17" s="133">
        <v>46116</v>
      </c>
      <c r="AO17" s="134" t="s">
        <v>3230</v>
      </c>
      <c r="AP17" s="135" t="s">
        <v>234</v>
      </c>
      <c r="AQ17" s="136" t="s">
        <v>235</v>
      </c>
      <c r="AR17" s="136" t="s">
        <v>236</v>
      </c>
      <c r="AS17" s="123" t="s">
        <v>2005</v>
      </c>
      <c r="AT17" s="137" t="s">
        <v>238</v>
      </c>
      <c r="AU17" s="137" t="s">
        <v>197</v>
      </c>
      <c r="AV17" s="138" t="s">
        <v>329</v>
      </c>
      <c r="AW17" s="136">
        <v>1060</v>
      </c>
      <c r="AX17" s="138">
        <v>14</v>
      </c>
      <c r="AY17" s="136">
        <f t="shared" si="7"/>
        <v>14840</v>
      </c>
      <c r="AZ17" s="139" t="b">
        <f t="shared" si="8"/>
        <v>1</v>
      </c>
      <c r="BA17" s="125">
        <v>0</v>
      </c>
      <c r="BB17" s="140">
        <f t="shared" si="9"/>
        <v>1060</v>
      </c>
      <c r="BC17" s="141">
        <v>0</v>
      </c>
      <c r="BD17" s="140" t="s">
        <v>107</v>
      </c>
      <c r="BE17" s="141">
        <v>0</v>
      </c>
      <c r="BF17" s="140">
        <v>0</v>
      </c>
      <c r="BG17" s="141">
        <v>0</v>
      </c>
      <c r="BH17" s="127">
        <v>0</v>
      </c>
      <c r="BI17" s="130">
        <v>0</v>
      </c>
      <c r="BJ17" s="128">
        <v>0</v>
      </c>
      <c r="BK17" s="125">
        <v>0</v>
      </c>
      <c r="BL17" s="136">
        <v>0</v>
      </c>
      <c r="BM17" s="127">
        <v>0</v>
      </c>
      <c r="BN17" s="142">
        <f t="shared" si="10"/>
        <v>0</v>
      </c>
      <c r="BO17" s="126">
        <f t="shared" si="11"/>
        <v>14840</v>
      </c>
      <c r="BP17" s="132">
        <f t="shared" si="12"/>
        <v>2650</v>
      </c>
      <c r="BQ17" s="141" t="str">
        <f t="shared" si="13"/>
        <v>Positive Margin</v>
      </c>
      <c r="BR17" s="143" t="s">
        <v>119</v>
      </c>
      <c r="BS17" s="125">
        <f t="shared" si="14"/>
        <v>2650</v>
      </c>
      <c r="BT17" s="144" t="str">
        <f t="shared" si="15"/>
        <v>Positive Margin at Inception</v>
      </c>
      <c r="BU17" s="145">
        <f t="shared" si="16"/>
        <v>0.17857142857142858</v>
      </c>
      <c r="BV17" s="144" t="str">
        <f t="shared" si="17"/>
        <v>More than 2%</v>
      </c>
      <c r="BW17" s="125">
        <f t="shared" si="18"/>
        <v>0</v>
      </c>
      <c r="BX17" s="126">
        <f t="shared" si="19"/>
        <v>0</v>
      </c>
      <c r="BY17" s="125">
        <f t="shared" si="20"/>
        <v>0</v>
      </c>
      <c r="BZ17" s="146">
        <f t="shared" si="21"/>
        <v>0</v>
      </c>
      <c r="CA17" s="146">
        <f t="shared" si="22"/>
        <v>0</v>
      </c>
      <c r="CB17" s="127">
        <f t="shared" si="23"/>
        <v>0</v>
      </c>
      <c r="CC17" s="146" t="s">
        <v>397</v>
      </c>
      <c r="CD17" s="127">
        <v>0</v>
      </c>
      <c r="CE17" s="127" t="str">
        <f t="shared" si="24"/>
        <v>Apr-26</v>
      </c>
      <c r="CF17" s="127">
        <f t="shared" si="25"/>
        <v>12190</v>
      </c>
      <c r="CG17" s="127">
        <f t="shared" si="26"/>
        <v>14840</v>
      </c>
      <c r="CH17" s="127">
        <f t="shared" si="27"/>
        <v>1</v>
      </c>
      <c r="CI17" s="147" t="str">
        <f t="shared" si="28"/>
        <v>BG AHD</v>
      </c>
      <c r="CJ17" s="127">
        <v>0</v>
      </c>
      <c r="CK17" s="127">
        <v>0</v>
      </c>
      <c r="CL17" s="127">
        <f t="shared" si="29"/>
        <v>2650</v>
      </c>
      <c r="CM17" s="127">
        <f t="shared" si="30"/>
        <v>2650</v>
      </c>
      <c r="CN17" s="127">
        <f t="shared" si="31"/>
        <v>2650</v>
      </c>
      <c r="CO17" s="127">
        <f t="shared" si="32"/>
        <v>17511.2</v>
      </c>
      <c r="CP17" s="127">
        <f t="shared" si="33"/>
        <v>-14384.199999999999</v>
      </c>
      <c r="CQ17" s="127">
        <f t="shared" si="34"/>
        <v>0</v>
      </c>
      <c r="CR17" s="127">
        <f t="shared" si="35"/>
        <v>0</v>
      </c>
      <c r="CS17" s="127">
        <f t="shared" si="36"/>
        <v>3127.0000000000018</v>
      </c>
      <c r="CT17" s="127" t="s">
        <v>361</v>
      </c>
      <c r="CU17" s="127" t="s">
        <v>361</v>
      </c>
      <c r="CV17" s="142" t="str">
        <f t="shared" si="37"/>
        <v>AAMCB5608A</v>
      </c>
      <c r="CW17" s="142" t="str">
        <f t="shared" si="38"/>
        <v>BJHPB3107J</v>
      </c>
    </row>
    <row r="18" spans="2:101" s="149" customFormat="1" ht="11.85" customHeight="1" x14ac:dyDescent="0.25">
      <c r="B18" s="120" t="str">
        <f t="shared" si="0"/>
        <v>Q1</v>
      </c>
      <c r="C18" s="121" t="str">
        <f t="shared" si="1"/>
        <v>Apr-26</v>
      </c>
      <c r="D18" s="122">
        <v>46116</v>
      </c>
      <c r="E18" s="123" t="s">
        <v>3118</v>
      </c>
      <c r="F18" s="123" t="s">
        <v>196</v>
      </c>
      <c r="G18" s="123" t="s">
        <v>198</v>
      </c>
      <c r="H18" s="124" t="s">
        <v>3119</v>
      </c>
      <c r="I18" s="122">
        <v>46116</v>
      </c>
      <c r="J18" s="123" t="s">
        <v>3120</v>
      </c>
      <c r="K18" s="122">
        <v>46116</v>
      </c>
      <c r="L18" s="123" t="s">
        <v>199</v>
      </c>
      <c r="M18" s="123" t="s">
        <v>399</v>
      </c>
      <c r="N18" s="550" t="s">
        <v>242</v>
      </c>
      <c r="O18" s="123">
        <v>1910</v>
      </c>
      <c r="P18" s="551">
        <v>0.1</v>
      </c>
      <c r="Q18" s="125">
        <f t="shared" si="2"/>
        <v>191</v>
      </c>
      <c r="R18" s="126">
        <v>0</v>
      </c>
      <c r="S18" s="125">
        <f t="shared" si="3"/>
        <v>1910</v>
      </c>
      <c r="T18" s="126">
        <v>0</v>
      </c>
      <c r="U18" s="127">
        <v>0</v>
      </c>
      <c r="V18" s="128">
        <v>0</v>
      </c>
      <c r="W18" s="127">
        <v>0</v>
      </c>
      <c r="X18" s="129">
        <v>0</v>
      </c>
      <c r="Y18" s="127">
        <v>0</v>
      </c>
      <c r="Z18" s="127">
        <v>0</v>
      </c>
      <c r="AA18" s="126">
        <v>0</v>
      </c>
      <c r="AB18" s="130">
        <f t="shared" si="4"/>
        <v>0</v>
      </c>
      <c r="AC18" s="129">
        <v>0</v>
      </c>
      <c r="AD18" s="125">
        <f t="shared" si="5"/>
        <v>0.1</v>
      </c>
      <c r="AE18" s="144">
        <v>0</v>
      </c>
      <c r="AF18" s="127">
        <v>0</v>
      </c>
      <c r="AG18" s="131">
        <v>0</v>
      </c>
      <c r="AH18" s="127">
        <v>0</v>
      </c>
      <c r="AI18" s="128">
        <v>0</v>
      </c>
      <c r="AJ18" s="127">
        <v>0</v>
      </c>
      <c r="AK18" s="127">
        <v>0</v>
      </c>
      <c r="AL18" s="127">
        <v>0</v>
      </c>
      <c r="AM18" s="132">
        <f t="shared" si="6"/>
        <v>191</v>
      </c>
      <c r="AN18" s="133">
        <v>46116</v>
      </c>
      <c r="AO18" s="134" t="s">
        <v>3234</v>
      </c>
      <c r="AP18" s="135" t="s">
        <v>234</v>
      </c>
      <c r="AQ18" s="136" t="s">
        <v>235</v>
      </c>
      <c r="AR18" s="136" t="s">
        <v>236</v>
      </c>
      <c r="AS18" s="123" t="s">
        <v>237</v>
      </c>
      <c r="AT18" s="137" t="s">
        <v>238</v>
      </c>
      <c r="AU18" s="137" t="s">
        <v>197</v>
      </c>
      <c r="AV18" s="138" t="s">
        <v>329</v>
      </c>
      <c r="AW18" s="136">
        <v>1910</v>
      </c>
      <c r="AX18" s="138">
        <v>1.1000000000000001</v>
      </c>
      <c r="AY18" s="136">
        <f t="shared" si="7"/>
        <v>2101</v>
      </c>
      <c r="AZ18" s="139" t="b">
        <f t="shared" si="8"/>
        <v>1</v>
      </c>
      <c r="BA18" s="125">
        <v>0</v>
      </c>
      <c r="BB18" s="140">
        <f t="shared" si="9"/>
        <v>1910</v>
      </c>
      <c r="BC18" s="141">
        <v>0</v>
      </c>
      <c r="BD18" s="140" t="s">
        <v>107</v>
      </c>
      <c r="BE18" s="141">
        <v>0</v>
      </c>
      <c r="BF18" s="140">
        <v>0</v>
      </c>
      <c r="BG18" s="141">
        <v>0</v>
      </c>
      <c r="BH18" s="127">
        <v>0</v>
      </c>
      <c r="BI18" s="130">
        <v>0</v>
      </c>
      <c r="BJ18" s="128">
        <v>0</v>
      </c>
      <c r="BK18" s="125">
        <v>0</v>
      </c>
      <c r="BL18" s="136">
        <v>0</v>
      </c>
      <c r="BM18" s="127">
        <v>0</v>
      </c>
      <c r="BN18" s="142">
        <f t="shared" si="10"/>
        <v>0</v>
      </c>
      <c r="BO18" s="126">
        <f t="shared" si="11"/>
        <v>2101</v>
      </c>
      <c r="BP18" s="132">
        <f t="shared" si="12"/>
        <v>1910</v>
      </c>
      <c r="BQ18" s="141" t="str">
        <f t="shared" si="13"/>
        <v>Positive Margin</v>
      </c>
      <c r="BR18" s="143" t="s">
        <v>119</v>
      </c>
      <c r="BS18" s="125">
        <f t="shared" si="14"/>
        <v>1910</v>
      </c>
      <c r="BT18" s="144" t="str">
        <f t="shared" si="15"/>
        <v>Positive Margin at Inception</v>
      </c>
      <c r="BU18" s="145">
        <f t="shared" si="16"/>
        <v>0.90909090909090906</v>
      </c>
      <c r="BV18" s="144" t="str">
        <f t="shared" si="17"/>
        <v>More than 2%</v>
      </c>
      <c r="BW18" s="125">
        <f t="shared" si="18"/>
        <v>0</v>
      </c>
      <c r="BX18" s="126">
        <f t="shared" si="19"/>
        <v>0</v>
      </c>
      <c r="BY18" s="125">
        <f t="shared" si="20"/>
        <v>0</v>
      </c>
      <c r="BZ18" s="146">
        <f t="shared" si="21"/>
        <v>0</v>
      </c>
      <c r="CA18" s="146">
        <f t="shared" si="22"/>
        <v>0</v>
      </c>
      <c r="CB18" s="127">
        <f t="shared" si="23"/>
        <v>0</v>
      </c>
      <c r="CC18" s="146" t="s">
        <v>397</v>
      </c>
      <c r="CD18" s="127">
        <v>0</v>
      </c>
      <c r="CE18" s="127" t="str">
        <f t="shared" si="24"/>
        <v>Apr-26</v>
      </c>
      <c r="CF18" s="127">
        <f t="shared" si="25"/>
        <v>191</v>
      </c>
      <c r="CG18" s="127">
        <f t="shared" si="26"/>
        <v>2101</v>
      </c>
      <c r="CH18" s="127">
        <f t="shared" si="27"/>
        <v>1</v>
      </c>
      <c r="CI18" s="147" t="str">
        <f t="shared" si="28"/>
        <v>BG AHD</v>
      </c>
      <c r="CJ18" s="127">
        <v>0</v>
      </c>
      <c r="CK18" s="127">
        <v>0</v>
      </c>
      <c r="CL18" s="127">
        <f t="shared" si="29"/>
        <v>1910</v>
      </c>
      <c r="CM18" s="127">
        <f t="shared" si="30"/>
        <v>1910</v>
      </c>
      <c r="CN18" s="127">
        <f t="shared" si="31"/>
        <v>1910</v>
      </c>
      <c r="CO18" s="127">
        <f t="shared" si="32"/>
        <v>2479.1799999999998</v>
      </c>
      <c r="CP18" s="127">
        <f t="shared" si="33"/>
        <v>-225.38</v>
      </c>
      <c r="CQ18" s="127">
        <f t="shared" si="34"/>
        <v>0</v>
      </c>
      <c r="CR18" s="127">
        <f t="shared" si="35"/>
        <v>0</v>
      </c>
      <c r="CS18" s="127">
        <f t="shared" si="36"/>
        <v>2253.7999999999997</v>
      </c>
      <c r="CT18" s="127" t="s">
        <v>361</v>
      </c>
      <c r="CU18" s="127" t="s">
        <v>361</v>
      </c>
      <c r="CV18" s="142" t="str">
        <f t="shared" si="37"/>
        <v>AAMCB5608A</v>
      </c>
      <c r="CW18" s="142" t="str">
        <f t="shared" si="38"/>
        <v>BJHPB3107J</v>
      </c>
    </row>
    <row r="19" spans="2:101" s="149" customFormat="1" ht="11.85" customHeight="1" x14ac:dyDescent="0.25">
      <c r="B19" s="120" t="str">
        <f t="shared" si="0"/>
        <v>Q1</v>
      </c>
      <c r="C19" s="121" t="str">
        <f t="shared" si="1"/>
        <v>Apr-26</v>
      </c>
      <c r="D19" s="122">
        <v>46116</v>
      </c>
      <c r="E19" s="123" t="s">
        <v>3118</v>
      </c>
      <c r="F19" s="123" t="s">
        <v>196</v>
      </c>
      <c r="G19" s="123" t="s">
        <v>198</v>
      </c>
      <c r="H19" s="124" t="s">
        <v>3119</v>
      </c>
      <c r="I19" s="122">
        <v>46116</v>
      </c>
      <c r="J19" s="123" t="s">
        <v>3120</v>
      </c>
      <c r="K19" s="122">
        <v>46116</v>
      </c>
      <c r="L19" s="123" t="s">
        <v>199</v>
      </c>
      <c r="M19" s="123" t="s">
        <v>399</v>
      </c>
      <c r="N19" s="550" t="s">
        <v>243</v>
      </c>
      <c r="O19" s="123">
        <v>30</v>
      </c>
      <c r="P19" s="551">
        <v>60</v>
      </c>
      <c r="Q19" s="125">
        <f t="shared" si="2"/>
        <v>1800</v>
      </c>
      <c r="R19" s="126">
        <v>0</v>
      </c>
      <c r="S19" s="125">
        <f t="shared" si="3"/>
        <v>30</v>
      </c>
      <c r="T19" s="126">
        <v>0</v>
      </c>
      <c r="U19" s="127">
        <v>0</v>
      </c>
      <c r="V19" s="128">
        <v>0</v>
      </c>
      <c r="W19" s="127">
        <v>0</v>
      </c>
      <c r="X19" s="129">
        <v>0</v>
      </c>
      <c r="Y19" s="127">
        <v>0</v>
      </c>
      <c r="Z19" s="127">
        <v>0</v>
      </c>
      <c r="AA19" s="126">
        <v>0</v>
      </c>
      <c r="AB19" s="130">
        <f t="shared" si="4"/>
        <v>0</v>
      </c>
      <c r="AC19" s="129">
        <v>0</v>
      </c>
      <c r="AD19" s="125">
        <f t="shared" si="5"/>
        <v>60</v>
      </c>
      <c r="AE19" s="144">
        <v>0</v>
      </c>
      <c r="AF19" s="127">
        <v>0</v>
      </c>
      <c r="AG19" s="131">
        <v>0</v>
      </c>
      <c r="AH19" s="127">
        <v>0</v>
      </c>
      <c r="AI19" s="128">
        <v>0</v>
      </c>
      <c r="AJ19" s="127">
        <v>0</v>
      </c>
      <c r="AK19" s="127">
        <v>0</v>
      </c>
      <c r="AL19" s="127">
        <v>0</v>
      </c>
      <c r="AM19" s="132">
        <f t="shared" si="6"/>
        <v>1800</v>
      </c>
      <c r="AN19" s="133">
        <v>46116</v>
      </c>
      <c r="AO19" s="134" t="s">
        <v>3234</v>
      </c>
      <c r="AP19" s="135" t="s">
        <v>234</v>
      </c>
      <c r="AQ19" s="136" t="s">
        <v>235</v>
      </c>
      <c r="AR19" s="136" t="s">
        <v>236</v>
      </c>
      <c r="AS19" s="123" t="s">
        <v>237</v>
      </c>
      <c r="AT19" s="137" t="s">
        <v>238</v>
      </c>
      <c r="AU19" s="137" t="s">
        <v>197</v>
      </c>
      <c r="AV19" s="138" t="s">
        <v>329</v>
      </c>
      <c r="AW19" s="136">
        <v>30</v>
      </c>
      <c r="AX19" s="138">
        <v>80</v>
      </c>
      <c r="AY19" s="136">
        <f t="shared" si="7"/>
        <v>2400</v>
      </c>
      <c r="AZ19" s="139" t="b">
        <f t="shared" si="8"/>
        <v>1</v>
      </c>
      <c r="BA19" s="125">
        <v>0</v>
      </c>
      <c r="BB19" s="140">
        <f t="shared" si="9"/>
        <v>30</v>
      </c>
      <c r="BC19" s="141">
        <v>0</v>
      </c>
      <c r="BD19" s="140" t="s">
        <v>107</v>
      </c>
      <c r="BE19" s="141">
        <v>0</v>
      </c>
      <c r="BF19" s="140">
        <v>0</v>
      </c>
      <c r="BG19" s="141">
        <v>0</v>
      </c>
      <c r="BH19" s="127">
        <v>0</v>
      </c>
      <c r="BI19" s="130">
        <v>0</v>
      </c>
      <c r="BJ19" s="128">
        <v>0</v>
      </c>
      <c r="BK19" s="125">
        <v>0</v>
      </c>
      <c r="BL19" s="136">
        <v>0</v>
      </c>
      <c r="BM19" s="127">
        <v>0</v>
      </c>
      <c r="BN19" s="142">
        <f t="shared" si="10"/>
        <v>0</v>
      </c>
      <c r="BO19" s="126">
        <f t="shared" si="11"/>
        <v>2400</v>
      </c>
      <c r="BP19" s="132">
        <f t="shared" si="12"/>
        <v>600</v>
      </c>
      <c r="BQ19" s="141" t="str">
        <f t="shared" si="13"/>
        <v>Positive Margin</v>
      </c>
      <c r="BR19" s="143" t="s">
        <v>119</v>
      </c>
      <c r="BS19" s="125">
        <f t="shared" si="14"/>
        <v>600</v>
      </c>
      <c r="BT19" s="144" t="str">
        <f t="shared" si="15"/>
        <v>Positive Margin at Inception</v>
      </c>
      <c r="BU19" s="145">
        <f t="shared" si="16"/>
        <v>0.25</v>
      </c>
      <c r="BV19" s="144" t="str">
        <f t="shared" si="17"/>
        <v>More than 2%</v>
      </c>
      <c r="BW19" s="125">
        <f t="shared" si="18"/>
        <v>0</v>
      </c>
      <c r="BX19" s="126">
        <f t="shared" si="19"/>
        <v>0</v>
      </c>
      <c r="BY19" s="125">
        <f t="shared" si="20"/>
        <v>0</v>
      </c>
      <c r="BZ19" s="146">
        <f t="shared" si="21"/>
        <v>0</v>
      </c>
      <c r="CA19" s="146">
        <f t="shared" si="22"/>
        <v>0</v>
      </c>
      <c r="CB19" s="127">
        <f t="shared" si="23"/>
        <v>0</v>
      </c>
      <c r="CC19" s="146" t="s">
        <v>397</v>
      </c>
      <c r="CD19" s="127">
        <v>0</v>
      </c>
      <c r="CE19" s="127" t="str">
        <f t="shared" si="24"/>
        <v>Apr-26</v>
      </c>
      <c r="CF19" s="127">
        <f t="shared" si="25"/>
        <v>1800</v>
      </c>
      <c r="CG19" s="127">
        <f t="shared" si="26"/>
        <v>2400</v>
      </c>
      <c r="CH19" s="127">
        <f t="shared" si="27"/>
        <v>1</v>
      </c>
      <c r="CI19" s="147" t="str">
        <f t="shared" si="28"/>
        <v>BG AHD</v>
      </c>
      <c r="CJ19" s="127">
        <v>0</v>
      </c>
      <c r="CK19" s="127">
        <v>0</v>
      </c>
      <c r="CL19" s="127">
        <f t="shared" si="29"/>
        <v>600</v>
      </c>
      <c r="CM19" s="127">
        <f t="shared" si="30"/>
        <v>600</v>
      </c>
      <c r="CN19" s="127">
        <f t="shared" si="31"/>
        <v>600</v>
      </c>
      <c r="CO19" s="127">
        <f t="shared" si="32"/>
        <v>2832</v>
      </c>
      <c r="CP19" s="127">
        <f t="shared" si="33"/>
        <v>-2124</v>
      </c>
      <c r="CQ19" s="127">
        <f t="shared" si="34"/>
        <v>0</v>
      </c>
      <c r="CR19" s="127">
        <f t="shared" si="35"/>
        <v>0</v>
      </c>
      <c r="CS19" s="127">
        <f t="shared" si="36"/>
        <v>708</v>
      </c>
      <c r="CT19" s="127" t="s">
        <v>361</v>
      </c>
      <c r="CU19" s="127" t="s">
        <v>361</v>
      </c>
      <c r="CV19" s="142" t="str">
        <f t="shared" si="37"/>
        <v>AAMCB5608A</v>
      </c>
      <c r="CW19" s="142" t="str">
        <f t="shared" si="38"/>
        <v>BJHPB3107J</v>
      </c>
    </row>
    <row r="20" spans="2:101" s="149" customFormat="1" ht="11.85" customHeight="1" x14ac:dyDescent="0.25">
      <c r="B20" s="120" t="str">
        <f t="shared" si="0"/>
        <v>Q1</v>
      </c>
      <c r="C20" s="121" t="str">
        <f t="shared" si="1"/>
        <v>Apr-26</v>
      </c>
      <c r="D20" s="122">
        <v>46116</v>
      </c>
      <c r="E20" s="123" t="s">
        <v>3121</v>
      </c>
      <c r="F20" s="123" t="s">
        <v>196</v>
      </c>
      <c r="G20" s="123" t="s">
        <v>198</v>
      </c>
      <c r="H20" s="124" t="s">
        <v>3122</v>
      </c>
      <c r="I20" s="122">
        <v>46116</v>
      </c>
      <c r="J20" s="123" t="s">
        <v>3123</v>
      </c>
      <c r="K20" s="122">
        <v>46116</v>
      </c>
      <c r="L20" s="123" t="s">
        <v>199</v>
      </c>
      <c r="M20" s="123" t="s">
        <v>201</v>
      </c>
      <c r="N20" s="550" t="s">
        <v>243</v>
      </c>
      <c r="O20" s="123">
        <v>250</v>
      </c>
      <c r="P20" s="551">
        <v>60</v>
      </c>
      <c r="Q20" s="125">
        <f t="shared" si="2"/>
        <v>15000</v>
      </c>
      <c r="R20" s="126">
        <v>0</v>
      </c>
      <c r="S20" s="125">
        <f t="shared" si="3"/>
        <v>250</v>
      </c>
      <c r="T20" s="126">
        <v>0</v>
      </c>
      <c r="U20" s="127">
        <v>0</v>
      </c>
      <c r="V20" s="128">
        <v>0</v>
      </c>
      <c r="W20" s="127">
        <v>0</v>
      </c>
      <c r="X20" s="129">
        <v>0</v>
      </c>
      <c r="Y20" s="127">
        <v>0</v>
      </c>
      <c r="Z20" s="127">
        <v>0</v>
      </c>
      <c r="AA20" s="126">
        <v>0</v>
      </c>
      <c r="AB20" s="130">
        <f t="shared" si="4"/>
        <v>0</v>
      </c>
      <c r="AC20" s="129">
        <v>0</v>
      </c>
      <c r="AD20" s="125">
        <f t="shared" si="5"/>
        <v>60</v>
      </c>
      <c r="AE20" s="144">
        <v>0</v>
      </c>
      <c r="AF20" s="127">
        <v>0</v>
      </c>
      <c r="AG20" s="131">
        <v>0</v>
      </c>
      <c r="AH20" s="127">
        <v>0</v>
      </c>
      <c r="AI20" s="128">
        <v>0</v>
      </c>
      <c r="AJ20" s="127">
        <v>0</v>
      </c>
      <c r="AK20" s="127">
        <v>0</v>
      </c>
      <c r="AL20" s="127">
        <v>0</v>
      </c>
      <c r="AM20" s="132">
        <f t="shared" si="6"/>
        <v>15000</v>
      </c>
      <c r="AN20" s="133">
        <v>46116</v>
      </c>
      <c r="AO20" s="134" t="s">
        <v>3237</v>
      </c>
      <c r="AP20" s="135" t="s">
        <v>234</v>
      </c>
      <c r="AQ20" s="136" t="s">
        <v>235</v>
      </c>
      <c r="AR20" s="136" t="s">
        <v>236</v>
      </c>
      <c r="AS20" s="123" t="s">
        <v>239</v>
      </c>
      <c r="AT20" s="137" t="s">
        <v>238</v>
      </c>
      <c r="AU20" s="137" t="s">
        <v>197</v>
      </c>
      <c r="AV20" s="138" t="s">
        <v>329</v>
      </c>
      <c r="AW20" s="136">
        <v>250</v>
      </c>
      <c r="AX20" s="138">
        <v>80</v>
      </c>
      <c r="AY20" s="136">
        <f t="shared" si="7"/>
        <v>20000</v>
      </c>
      <c r="AZ20" s="139" t="b">
        <f t="shared" si="8"/>
        <v>1</v>
      </c>
      <c r="BA20" s="125">
        <v>0</v>
      </c>
      <c r="BB20" s="140">
        <f t="shared" si="9"/>
        <v>250</v>
      </c>
      <c r="BC20" s="141">
        <v>0</v>
      </c>
      <c r="BD20" s="140" t="s">
        <v>107</v>
      </c>
      <c r="BE20" s="141">
        <v>0</v>
      </c>
      <c r="BF20" s="140">
        <v>0</v>
      </c>
      <c r="BG20" s="141">
        <v>0</v>
      </c>
      <c r="BH20" s="127">
        <v>0</v>
      </c>
      <c r="BI20" s="130">
        <v>0</v>
      </c>
      <c r="BJ20" s="128">
        <v>0</v>
      </c>
      <c r="BK20" s="125">
        <v>0</v>
      </c>
      <c r="BL20" s="136">
        <v>0</v>
      </c>
      <c r="BM20" s="127">
        <v>0</v>
      </c>
      <c r="BN20" s="142">
        <f t="shared" si="10"/>
        <v>0</v>
      </c>
      <c r="BO20" s="126">
        <f t="shared" si="11"/>
        <v>20000</v>
      </c>
      <c r="BP20" s="132">
        <f t="shared" si="12"/>
        <v>5000</v>
      </c>
      <c r="BQ20" s="141" t="str">
        <f t="shared" si="13"/>
        <v>Positive Margin</v>
      </c>
      <c r="BR20" s="143" t="s">
        <v>119</v>
      </c>
      <c r="BS20" s="125">
        <f t="shared" si="14"/>
        <v>5000</v>
      </c>
      <c r="BT20" s="144" t="str">
        <f t="shared" si="15"/>
        <v>Positive Margin at Inception</v>
      </c>
      <c r="BU20" s="145">
        <f t="shared" si="16"/>
        <v>0.25</v>
      </c>
      <c r="BV20" s="144" t="str">
        <f t="shared" si="17"/>
        <v>More than 2%</v>
      </c>
      <c r="BW20" s="125">
        <f t="shared" si="18"/>
        <v>0</v>
      </c>
      <c r="BX20" s="126">
        <f t="shared" si="19"/>
        <v>0</v>
      </c>
      <c r="BY20" s="125">
        <f t="shared" si="20"/>
        <v>0</v>
      </c>
      <c r="BZ20" s="146">
        <f t="shared" si="21"/>
        <v>0</v>
      </c>
      <c r="CA20" s="146">
        <f t="shared" si="22"/>
        <v>0</v>
      </c>
      <c r="CB20" s="127">
        <f t="shared" si="23"/>
        <v>0</v>
      </c>
      <c r="CC20" s="146" t="s">
        <v>397</v>
      </c>
      <c r="CD20" s="127">
        <v>0</v>
      </c>
      <c r="CE20" s="127" t="str">
        <f t="shared" si="24"/>
        <v>Apr-26</v>
      </c>
      <c r="CF20" s="127">
        <f t="shared" si="25"/>
        <v>15000</v>
      </c>
      <c r="CG20" s="127">
        <f t="shared" si="26"/>
        <v>20000</v>
      </c>
      <c r="CH20" s="127">
        <f t="shared" si="27"/>
        <v>1</v>
      </c>
      <c r="CI20" s="147" t="str">
        <f t="shared" si="28"/>
        <v>BG AHD</v>
      </c>
      <c r="CJ20" s="127">
        <v>0</v>
      </c>
      <c r="CK20" s="127">
        <v>0</v>
      </c>
      <c r="CL20" s="127">
        <f t="shared" si="29"/>
        <v>5000</v>
      </c>
      <c r="CM20" s="127">
        <f t="shared" si="30"/>
        <v>5000</v>
      </c>
      <c r="CN20" s="127">
        <f t="shared" si="31"/>
        <v>5000</v>
      </c>
      <c r="CO20" s="127">
        <f t="shared" si="32"/>
        <v>23600</v>
      </c>
      <c r="CP20" s="127">
        <f t="shared" si="33"/>
        <v>-17700</v>
      </c>
      <c r="CQ20" s="127">
        <f t="shared" si="34"/>
        <v>0</v>
      </c>
      <c r="CR20" s="127">
        <f t="shared" si="35"/>
        <v>0</v>
      </c>
      <c r="CS20" s="127">
        <f t="shared" si="36"/>
        <v>5900</v>
      </c>
      <c r="CT20" s="127" t="s">
        <v>361</v>
      </c>
      <c r="CU20" s="127" t="s">
        <v>361</v>
      </c>
      <c r="CV20" s="142" t="str">
        <f t="shared" si="37"/>
        <v>AAMCB5608A</v>
      </c>
      <c r="CW20" s="142" t="str">
        <f t="shared" si="38"/>
        <v>BJHPB3107J</v>
      </c>
    </row>
    <row r="21" spans="2:101" s="149" customFormat="1" ht="11.85" customHeight="1" x14ac:dyDescent="0.25">
      <c r="B21" s="120" t="str">
        <f t="shared" si="0"/>
        <v>Q1</v>
      </c>
      <c r="C21" s="121" t="str">
        <f t="shared" si="1"/>
        <v>Apr-26</v>
      </c>
      <c r="D21" s="122">
        <v>46116</v>
      </c>
      <c r="E21" s="123" t="s">
        <v>3121</v>
      </c>
      <c r="F21" s="123" t="s">
        <v>196</v>
      </c>
      <c r="G21" s="123" t="s">
        <v>198</v>
      </c>
      <c r="H21" s="124" t="s">
        <v>3122</v>
      </c>
      <c r="I21" s="122">
        <v>46116</v>
      </c>
      <c r="J21" s="123" t="s">
        <v>3123</v>
      </c>
      <c r="K21" s="122">
        <v>46116</v>
      </c>
      <c r="L21" s="123" t="s">
        <v>199</v>
      </c>
      <c r="M21" s="123" t="s">
        <v>201</v>
      </c>
      <c r="N21" s="550" t="s">
        <v>206</v>
      </c>
      <c r="O21" s="123">
        <v>260</v>
      </c>
      <c r="P21" s="551">
        <v>50</v>
      </c>
      <c r="Q21" s="125">
        <f t="shared" si="2"/>
        <v>13000</v>
      </c>
      <c r="R21" s="126">
        <v>0</v>
      </c>
      <c r="S21" s="125">
        <f t="shared" si="3"/>
        <v>260</v>
      </c>
      <c r="T21" s="126">
        <v>0</v>
      </c>
      <c r="U21" s="127">
        <v>0</v>
      </c>
      <c r="V21" s="128">
        <v>0</v>
      </c>
      <c r="W21" s="127">
        <v>0</v>
      </c>
      <c r="X21" s="129">
        <v>0</v>
      </c>
      <c r="Y21" s="127">
        <v>0</v>
      </c>
      <c r="Z21" s="127">
        <v>0</v>
      </c>
      <c r="AA21" s="126">
        <v>0</v>
      </c>
      <c r="AB21" s="130">
        <f t="shared" si="4"/>
        <v>0</v>
      </c>
      <c r="AC21" s="129">
        <v>0</v>
      </c>
      <c r="AD21" s="125">
        <f t="shared" si="5"/>
        <v>50</v>
      </c>
      <c r="AE21" s="144">
        <v>0</v>
      </c>
      <c r="AF21" s="127">
        <v>0</v>
      </c>
      <c r="AG21" s="131">
        <v>0</v>
      </c>
      <c r="AH21" s="127">
        <v>0</v>
      </c>
      <c r="AI21" s="128">
        <v>0</v>
      </c>
      <c r="AJ21" s="127">
        <v>0</v>
      </c>
      <c r="AK21" s="127">
        <v>0</v>
      </c>
      <c r="AL21" s="127">
        <v>0</v>
      </c>
      <c r="AM21" s="132">
        <f t="shared" si="6"/>
        <v>13000</v>
      </c>
      <c r="AN21" s="133">
        <v>46116</v>
      </c>
      <c r="AO21" s="134" t="s">
        <v>3237</v>
      </c>
      <c r="AP21" s="135" t="s">
        <v>234</v>
      </c>
      <c r="AQ21" s="136" t="s">
        <v>235</v>
      </c>
      <c r="AR21" s="136" t="s">
        <v>236</v>
      </c>
      <c r="AS21" s="123" t="s">
        <v>239</v>
      </c>
      <c r="AT21" s="137" t="s">
        <v>238</v>
      </c>
      <c r="AU21" s="137" t="s">
        <v>197</v>
      </c>
      <c r="AV21" s="138" t="s">
        <v>329</v>
      </c>
      <c r="AW21" s="136">
        <v>260</v>
      </c>
      <c r="AX21" s="138">
        <v>70</v>
      </c>
      <c r="AY21" s="136">
        <f t="shared" si="7"/>
        <v>18200</v>
      </c>
      <c r="AZ21" s="139" t="b">
        <f t="shared" si="8"/>
        <v>1</v>
      </c>
      <c r="BA21" s="125">
        <v>0</v>
      </c>
      <c r="BB21" s="140">
        <f t="shared" si="9"/>
        <v>260</v>
      </c>
      <c r="BC21" s="141">
        <v>0</v>
      </c>
      <c r="BD21" s="140" t="s">
        <v>107</v>
      </c>
      <c r="BE21" s="141">
        <v>0</v>
      </c>
      <c r="BF21" s="140">
        <v>0</v>
      </c>
      <c r="BG21" s="141">
        <v>0</v>
      </c>
      <c r="BH21" s="127">
        <v>0</v>
      </c>
      <c r="BI21" s="130">
        <v>0</v>
      </c>
      <c r="BJ21" s="128">
        <v>0</v>
      </c>
      <c r="BK21" s="125">
        <v>0</v>
      </c>
      <c r="BL21" s="136">
        <v>0</v>
      </c>
      <c r="BM21" s="127">
        <v>0</v>
      </c>
      <c r="BN21" s="142">
        <f t="shared" si="10"/>
        <v>0</v>
      </c>
      <c r="BO21" s="126">
        <f t="shared" si="11"/>
        <v>18200</v>
      </c>
      <c r="BP21" s="132">
        <f t="shared" si="12"/>
        <v>5200</v>
      </c>
      <c r="BQ21" s="141" t="str">
        <f t="shared" si="13"/>
        <v>Positive Margin</v>
      </c>
      <c r="BR21" s="143" t="s">
        <v>119</v>
      </c>
      <c r="BS21" s="125">
        <f t="shared" si="14"/>
        <v>5200</v>
      </c>
      <c r="BT21" s="144" t="str">
        <f t="shared" si="15"/>
        <v>Positive Margin at Inception</v>
      </c>
      <c r="BU21" s="145">
        <f t="shared" si="16"/>
        <v>0.2857142857142857</v>
      </c>
      <c r="BV21" s="144" t="str">
        <f t="shared" si="17"/>
        <v>More than 2%</v>
      </c>
      <c r="BW21" s="125">
        <f t="shared" si="18"/>
        <v>0</v>
      </c>
      <c r="BX21" s="126">
        <f t="shared" si="19"/>
        <v>0</v>
      </c>
      <c r="BY21" s="125">
        <f t="shared" si="20"/>
        <v>0</v>
      </c>
      <c r="BZ21" s="146">
        <f t="shared" si="21"/>
        <v>0</v>
      </c>
      <c r="CA21" s="146">
        <f t="shared" si="22"/>
        <v>0</v>
      </c>
      <c r="CB21" s="127">
        <f t="shared" si="23"/>
        <v>0</v>
      </c>
      <c r="CC21" s="146" t="s">
        <v>397</v>
      </c>
      <c r="CD21" s="127">
        <v>0</v>
      </c>
      <c r="CE21" s="127" t="str">
        <f t="shared" si="24"/>
        <v>Apr-26</v>
      </c>
      <c r="CF21" s="127">
        <f t="shared" si="25"/>
        <v>13000</v>
      </c>
      <c r="CG21" s="127">
        <f t="shared" si="26"/>
        <v>18200</v>
      </c>
      <c r="CH21" s="127">
        <f t="shared" si="27"/>
        <v>1</v>
      </c>
      <c r="CI21" s="147" t="str">
        <f t="shared" si="28"/>
        <v>BG AHD</v>
      </c>
      <c r="CJ21" s="127">
        <v>0</v>
      </c>
      <c r="CK21" s="127">
        <v>0</v>
      </c>
      <c r="CL21" s="127">
        <f t="shared" si="29"/>
        <v>5200</v>
      </c>
      <c r="CM21" s="127">
        <f t="shared" si="30"/>
        <v>5200</v>
      </c>
      <c r="CN21" s="127">
        <f t="shared" si="31"/>
        <v>5200</v>
      </c>
      <c r="CO21" s="127">
        <f t="shared" si="32"/>
        <v>21476</v>
      </c>
      <c r="CP21" s="127">
        <f t="shared" si="33"/>
        <v>-15340</v>
      </c>
      <c r="CQ21" s="127">
        <f t="shared" si="34"/>
        <v>0</v>
      </c>
      <c r="CR21" s="127">
        <f t="shared" si="35"/>
        <v>0</v>
      </c>
      <c r="CS21" s="127">
        <f t="shared" si="36"/>
        <v>6136</v>
      </c>
      <c r="CT21" s="127" t="s">
        <v>361</v>
      </c>
      <c r="CU21" s="127" t="s">
        <v>361</v>
      </c>
      <c r="CV21" s="142" t="str">
        <f t="shared" si="37"/>
        <v>AAMCB5608A</v>
      </c>
      <c r="CW21" s="142" t="str">
        <f t="shared" si="38"/>
        <v>BJHPB3107J</v>
      </c>
    </row>
    <row r="22" spans="2:101" s="149" customFormat="1" ht="11.85" customHeight="1" x14ac:dyDescent="0.25">
      <c r="B22" s="120" t="str">
        <f t="shared" si="0"/>
        <v>Q1</v>
      </c>
      <c r="C22" s="121" t="str">
        <f t="shared" si="1"/>
        <v>Apr-26</v>
      </c>
      <c r="D22" s="122">
        <v>46116</v>
      </c>
      <c r="E22" s="123" t="s">
        <v>3124</v>
      </c>
      <c r="F22" s="123" t="s">
        <v>196</v>
      </c>
      <c r="G22" s="123" t="s">
        <v>198</v>
      </c>
      <c r="H22" s="124" t="s">
        <v>3125</v>
      </c>
      <c r="I22" s="122">
        <v>46116</v>
      </c>
      <c r="J22" s="123" t="s">
        <v>3126</v>
      </c>
      <c r="K22" s="122">
        <v>46116</v>
      </c>
      <c r="L22" s="123" t="s">
        <v>199</v>
      </c>
      <c r="M22" s="123" t="s">
        <v>2975</v>
      </c>
      <c r="N22" s="550" t="s">
        <v>205</v>
      </c>
      <c r="O22" s="123">
        <v>830</v>
      </c>
      <c r="P22" s="551">
        <v>12</v>
      </c>
      <c r="Q22" s="125">
        <f t="shared" si="2"/>
        <v>9960</v>
      </c>
      <c r="R22" s="126">
        <v>0</v>
      </c>
      <c r="S22" s="125">
        <f t="shared" si="3"/>
        <v>830</v>
      </c>
      <c r="T22" s="126">
        <v>0</v>
      </c>
      <c r="U22" s="127">
        <v>0</v>
      </c>
      <c r="V22" s="128">
        <v>0</v>
      </c>
      <c r="W22" s="127">
        <v>0</v>
      </c>
      <c r="X22" s="129">
        <v>0</v>
      </c>
      <c r="Y22" s="127">
        <v>0</v>
      </c>
      <c r="Z22" s="127">
        <v>0</v>
      </c>
      <c r="AA22" s="126">
        <v>0</v>
      </c>
      <c r="AB22" s="130">
        <f t="shared" si="4"/>
        <v>0</v>
      </c>
      <c r="AC22" s="129">
        <v>0</v>
      </c>
      <c r="AD22" s="125">
        <f t="shared" si="5"/>
        <v>12</v>
      </c>
      <c r="AE22" s="144">
        <v>0</v>
      </c>
      <c r="AF22" s="127">
        <v>0</v>
      </c>
      <c r="AG22" s="131">
        <v>0</v>
      </c>
      <c r="AH22" s="127">
        <v>0</v>
      </c>
      <c r="AI22" s="128">
        <v>0</v>
      </c>
      <c r="AJ22" s="127">
        <v>0</v>
      </c>
      <c r="AK22" s="127">
        <v>0</v>
      </c>
      <c r="AL22" s="127">
        <v>0</v>
      </c>
      <c r="AM22" s="132">
        <f t="shared" si="6"/>
        <v>9960</v>
      </c>
      <c r="AN22" s="133">
        <v>46116</v>
      </c>
      <c r="AO22" s="134" t="s">
        <v>3235</v>
      </c>
      <c r="AP22" s="135" t="s">
        <v>234</v>
      </c>
      <c r="AQ22" s="136" t="s">
        <v>235</v>
      </c>
      <c r="AR22" s="136" t="s">
        <v>236</v>
      </c>
      <c r="AS22" s="123" t="s">
        <v>239</v>
      </c>
      <c r="AT22" s="137" t="s">
        <v>238</v>
      </c>
      <c r="AU22" s="137" t="s">
        <v>197</v>
      </c>
      <c r="AV22" s="138" t="s">
        <v>329</v>
      </c>
      <c r="AW22" s="136">
        <v>830</v>
      </c>
      <c r="AX22" s="138">
        <v>14</v>
      </c>
      <c r="AY22" s="136">
        <f t="shared" si="7"/>
        <v>11620</v>
      </c>
      <c r="AZ22" s="139" t="b">
        <f t="shared" si="8"/>
        <v>1</v>
      </c>
      <c r="BA22" s="125">
        <v>0</v>
      </c>
      <c r="BB22" s="140">
        <f t="shared" si="9"/>
        <v>830</v>
      </c>
      <c r="BC22" s="141">
        <v>0</v>
      </c>
      <c r="BD22" s="140" t="s">
        <v>107</v>
      </c>
      <c r="BE22" s="141">
        <v>0</v>
      </c>
      <c r="BF22" s="140">
        <v>0</v>
      </c>
      <c r="BG22" s="141">
        <v>0</v>
      </c>
      <c r="BH22" s="127">
        <v>0</v>
      </c>
      <c r="BI22" s="130">
        <v>0</v>
      </c>
      <c r="BJ22" s="128">
        <v>0</v>
      </c>
      <c r="BK22" s="125">
        <v>0</v>
      </c>
      <c r="BL22" s="136">
        <v>0</v>
      </c>
      <c r="BM22" s="127">
        <v>0</v>
      </c>
      <c r="BN22" s="142">
        <f t="shared" si="10"/>
        <v>0</v>
      </c>
      <c r="BO22" s="126">
        <f t="shared" si="11"/>
        <v>11620</v>
      </c>
      <c r="BP22" s="132">
        <f t="shared" si="12"/>
        <v>1660</v>
      </c>
      <c r="BQ22" s="141" t="str">
        <f t="shared" si="13"/>
        <v>Positive Margin</v>
      </c>
      <c r="BR22" s="143" t="s">
        <v>119</v>
      </c>
      <c r="BS22" s="125">
        <f t="shared" si="14"/>
        <v>1660</v>
      </c>
      <c r="BT22" s="144" t="str">
        <f t="shared" si="15"/>
        <v>Positive Margin at Inception</v>
      </c>
      <c r="BU22" s="145">
        <f t="shared" si="16"/>
        <v>0.14285714285714285</v>
      </c>
      <c r="BV22" s="144" t="str">
        <f t="shared" si="17"/>
        <v>More than 2%</v>
      </c>
      <c r="BW22" s="125">
        <f t="shared" si="18"/>
        <v>0</v>
      </c>
      <c r="BX22" s="126">
        <f t="shared" si="19"/>
        <v>0</v>
      </c>
      <c r="BY22" s="125">
        <f t="shared" si="20"/>
        <v>0</v>
      </c>
      <c r="BZ22" s="146">
        <f t="shared" si="21"/>
        <v>0</v>
      </c>
      <c r="CA22" s="146">
        <f t="shared" si="22"/>
        <v>0</v>
      </c>
      <c r="CB22" s="127">
        <f t="shared" si="23"/>
        <v>0</v>
      </c>
      <c r="CC22" s="146" t="s">
        <v>397</v>
      </c>
      <c r="CD22" s="127">
        <v>0</v>
      </c>
      <c r="CE22" s="127" t="str">
        <f t="shared" si="24"/>
        <v>Apr-26</v>
      </c>
      <c r="CF22" s="127">
        <f t="shared" si="25"/>
        <v>9960</v>
      </c>
      <c r="CG22" s="127">
        <f t="shared" si="26"/>
        <v>11620</v>
      </c>
      <c r="CH22" s="127">
        <f t="shared" si="27"/>
        <v>1</v>
      </c>
      <c r="CI22" s="147" t="str">
        <f t="shared" si="28"/>
        <v>BG AHD</v>
      </c>
      <c r="CJ22" s="127">
        <v>0</v>
      </c>
      <c r="CK22" s="127">
        <v>0</v>
      </c>
      <c r="CL22" s="127">
        <f t="shared" si="29"/>
        <v>1660</v>
      </c>
      <c r="CM22" s="127">
        <f t="shared" si="30"/>
        <v>1660</v>
      </c>
      <c r="CN22" s="127">
        <f t="shared" si="31"/>
        <v>1660</v>
      </c>
      <c r="CO22" s="127">
        <f t="shared" si="32"/>
        <v>13711.599999999999</v>
      </c>
      <c r="CP22" s="127">
        <f t="shared" si="33"/>
        <v>-11752.8</v>
      </c>
      <c r="CQ22" s="127">
        <f t="shared" si="34"/>
        <v>0</v>
      </c>
      <c r="CR22" s="127">
        <f t="shared" si="35"/>
        <v>0</v>
      </c>
      <c r="CS22" s="127">
        <f t="shared" si="36"/>
        <v>1958.7999999999993</v>
      </c>
      <c r="CT22" s="127" t="s">
        <v>361</v>
      </c>
      <c r="CU22" s="127" t="s">
        <v>361</v>
      </c>
      <c r="CV22" s="142" t="str">
        <f t="shared" si="37"/>
        <v>AAMCB5608A</v>
      </c>
      <c r="CW22" s="142" t="str">
        <f t="shared" si="38"/>
        <v>BJHPB3107J</v>
      </c>
    </row>
    <row r="23" spans="2:101" s="149" customFormat="1" ht="11.85" customHeight="1" x14ac:dyDescent="0.25">
      <c r="B23" s="120" t="str">
        <f t="shared" si="0"/>
        <v>Q1</v>
      </c>
      <c r="C23" s="121" t="str">
        <f t="shared" si="1"/>
        <v>Apr-26</v>
      </c>
      <c r="D23" s="122">
        <v>46116</v>
      </c>
      <c r="E23" s="123" t="s">
        <v>3124</v>
      </c>
      <c r="F23" s="123" t="s">
        <v>196</v>
      </c>
      <c r="G23" s="123" t="s">
        <v>198</v>
      </c>
      <c r="H23" s="124" t="s">
        <v>3125</v>
      </c>
      <c r="I23" s="122">
        <v>46116</v>
      </c>
      <c r="J23" s="123" t="s">
        <v>3126</v>
      </c>
      <c r="K23" s="122">
        <v>46116</v>
      </c>
      <c r="L23" s="123" t="s">
        <v>199</v>
      </c>
      <c r="M23" s="123" t="s">
        <v>2975</v>
      </c>
      <c r="N23" s="550" t="s">
        <v>206</v>
      </c>
      <c r="O23" s="123">
        <v>144</v>
      </c>
      <c r="P23" s="551">
        <v>50</v>
      </c>
      <c r="Q23" s="125">
        <f t="shared" si="2"/>
        <v>7200</v>
      </c>
      <c r="R23" s="126">
        <v>0</v>
      </c>
      <c r="S23" s="125">
        <f t="shared" si="3"/>
        <v>144</v>
      </c>
      <c r="T23" s="126">
        <v>0</v>
      </c>
      <c r="U23" s="127">
        <v>0</v>
      </c>
      <c r="V23" s="128">
        <v>0</v>
      </c>
      <c r="W23" s="127">
        <v>0</v>
      </c>
      <c r="X23" s="129">
        <v>0</v>
      </c>
      <c r="Y23" s="127">
        <v>0</v>
      </c>
      <c r="Z23" s="127">
        <v>0</v>
      </c>
      <c r="AA23" s="126">
        <v>0</v>
      </c>
      <c r="AB23" s="130">
        <f t="shared" si="4"/>
        <v>0</v>
      </c>
      <c r="AC23" s="129">
        <v>0</v>
      </c>
      <c r="AD23" s="125">
        <f t="shared" si="5"/>
        <v>50</v>
      </c>
      <c r="AE23" s="144">
        <v>0</v>
      </c>
      <c r="AF23" s="127">
        <v>0</v>
      </c>
      <c r="AG23" s="131">
        <v>0</v>
      </c>
      <c r="AH23" s="127">
        <v>0</v>
      </c>
      <c r="AI23" s="128">
        <v>0</v>
      </c>
      <c r="AJ23" s="127">
        <v>0</v>
      </c>
      <c r="AK23" s="127">
        <v>0</v>
      </c>
      <c r="AL23" s="127">
        <v>0</v>
      </c>
      <c r="AM23" s="132">
        <f t="shared" si="6"/>
        <v>7200</v>
      </c>
      <c r="AN23" s="133">
        <v>46116</v>
      </c>
      <c r="AO23" s="134" t="s">
        <v>3235</v>
      </c>
      <c r="AP23" s="135" t="s">
        <v>234</v>
      </c>
      <c r="AQ23" s="136" t="s">
        <v>235</v>
      </c>
      <c r="AR23" s="136" t="s">
        <v>236</v>
      </c>
      <c r="AS23" s="123" t="s">
        <v>239</v>
      </c>
      <c r="AT23" s="137" t="s">
        <v>238</v>
      </c>
      <c r="AU23" s="137" t="s">
        <v>197</v>
      </c>
      <c r="AV23" s="138" t="s">
        <v>329</v>
      </c>
      <c r="AW23" s="136">
        <v>144</v>
      </c>
      <c r="AX23" s="138">
        <v>70</v>
      </c>
      <c r="AY23" s="136">
        <f t="shared" si="7"/>
        <v>10080</v>
      </c>
      <c r="AZ23" s="139" t="b">
        <f t="shared" si="8"/>
        <v>1</v>
      </c>
      <c r="BA23" s="125">
        <v>0</v>
      </c>
      <c r="BB23" s="140">
        <f t="shared" si="9"/>
        <v>144</v>
      </c>
      <c r="BC23" s="141">
        <v>0</v>
      </c>
      <c r="BD23" s="140" t="s">
        <v>107</v>
      </c>
      <c r="BE23" s="141">
        <v>0</v>
      </c>
      <c r="BF23" s="140">
        <v>0</v>
      </c>
      <c r="BG23" s="141">
        <v>0</v>
      </c>
      <c r="BH23" s="127">
        <v>0</v>
      </c>
      <c r="BI23" s="130">
        <v>0</v>
      </c>
      <c r="BJ23" s="128">
        <v>0</v>
      </c>
      <c r="BK23" s="125">
        <v>0</v>
      </c>
      <c r="BL23" s="136">
        <v>0</v>
      </c>
      <c r="BM23" s="127">
        <v>0</v>
      </c>
      <c r="BN23" s="142">
        <f t="shared" si="10"/>
        <v>0</v>
      </c>
      <c r="BO23" s="126">
        <f t="shared" si="11"/>
        <v>10080</v>
      </c>
      <c r="BP23" s="132">
        <f t="shared" si="12"/>
        <v>2880</v>
      </c>
      <c r="BQ23" s="141" t="str">
        <f t="shared" si="13"/>
        <v>Positive Margin</v>
      </c>
      <c r="BR23" s="143" t="s">
        <v>119</v>
      </c>
      <c r="BS23" s="125">
        <f t="shared" si="14"/>
        <v>2880</v>
      </c>
      <c r="BT23" s="144" t="str">
        <f t="shared" si="15"/>
        <v>Positive Margin at Inception</v>
      </c>
      <c r="BU23" s="145">
        <f t="shared" si="16"/>
        <v>0.2857142857142857</v>
      </c>
      <c r="BV23" s="144" t="str">
        <f t="shared" si="17"/>
        <v>More than 2%</v>
      </c>
      <c r="BW23" s="125">
        <f t="shared" si="18"/>
        <v>0</v>
      </c>
      <c r="BX23" s="126">
        <f t="shared" si="19"/>
        <v>0</v>
      </c>
      <c r="BY23" s="125">
        <f t="shared" si="20"/>
        <v>0</v>
      </c>
      <c r="BZ23" s="146">
        <f t="shared" si="21"/>
        <v>0</v>
      </c>
      <c r="CA23" s="146">
        <f t="shared" si="22"/>
        <v>0</v>
      </c>
      <c r="CB23" s="127">
        <f t="shared" si="23"/>
        <v>0</v>
      </c>
      <c r="CC23" s="146" t="s">
        <v>397</v>
      </c>
      <c r="CD23" s="127">
        <v>0</v>
      </c>
      <c r="CE23" s="127" t="str">
        <f t="shared" si="24"/>
        <v>Apr-26</v>
      </c>
      <c r="CF23" s="127">
        <f t="shared" si="25"/>
        <v>7200</v>
      </c>
      <c r="CG23" s="127">
        <f t="shared" si="26"/>
        <v>10080</v>
      </c>
      <c r="CH23" s="127">
        <f t="shared" si="27"/>
        <v>1</v>
      </c>
      <c r="CI23" s="147" t="str">
        <f t="shared" si="28"/>
        <v>BG AHD</v>
      </c>
      <c r="CJ23" s="127">
        <v>0</v>
      </c>
      <c r="CK23" s="127">
        <v>0</v>
      </c>
      <c r="CL23" s="127">
        <f t="shared" si="29"/>
        <v>2880</v>
      </c>
      <c r="CM23" s="127">
        <f t="shared" si="30"/>
        <v>2880</v>
      </c>
      <c r="CN23" s="127">
        <f t="shared" si="31"/>
        <v>2880</v>
      </c>
      <c r="CO23" s="127">
        <f t="shared" si="32"/>
        <v>11894.4</v>
      </c>
      <c r="CP23" s="127">
        <f t="shared" si="33"/>
        <v>-8496</v>
      </c>
      <c r="CQ23" s="127">
        <f t="shared" si="34"/>
        <v>0</v>
      </c>
      <c r="CR23" s="127">
        <f t="shared" si="35"/>
        <v>0</v>
      </c>
      <c r="CS23" s="127">
        <f t="shared" si="36"/>
        <v>3398.3999999999996</v>
      </c>
      <c r="CT23" s="127" t="s">
        <v>361</v>
      </c>
      <c r="CU23" s="127" t="s">
        <v>361</v>
      </c>
      <c r="CV23" s="142" t="str">
        <f t="shared" si="37"/>
        <v>AAMCB5608A</v>
      </c>
      <c r="CW23" s="142" t="str">
        <f t="shared" si="38"/>
        <v>BJHPB3107J</v>
      </c>
    </row>
    <row r="24" spans="2:101" s="149" customFormat="1" ht="11.85" customHeight="1" x14ac:dyDescent="0.25">
      <c r="B24" s="120" t="str">
        <f t="shared" si="0"/>
        <v>Q1</v>
      </c>
      <c r="C24" s="121" t="str">
        <f t="shared" si="1"/>
        <v>Apr-26</v>
      </c>
      <c r="D24" s="122">
        <v>46116</v>
      </c>
      <c r="E24" s="123" t="s">
        <v>3124</v>
      </c>
      <c r="F24" s="123" t="s">
        <v>196</v>
      </c>
      <c r="G24" s="123" t="s">
        <v>198</v>
      </c>
      <c r="H24" s="124" t="s">
        <v>3125</v>
      </c>
      <c r="I24" s="122">
        <v>46116</v>
      </c>
      <c r="J24" s="123" t="s">
        <v>3126</v>
      </c>
      <c r="K24" s="122">
        <v>46116</v>
      </c>
      <c r="L24" s="123" t="s">
        <v>199</v>
      </c>
      <c r="M24" s="123" t="s">
        <v>2975</v>
      </c>
      <c r="N24" s="550" t="s">
        <v>243</v>
      </c>
      <c r="O24" s="123">
        <v>125</v>
      </c>
      <c r="P24" s="551">
        <v>60</v>
      </c>
      <c r="Q24" s="125">
        <f t="shared" si="2"/>
        <v>7500</v>
      </c>
      <c r="R24" s="126">
        <v>0</v>
      </c>
      <c r="S24" s="125">
        <f t="shared" si="3"/>
        <v>125</v>
      </c>
      <c r="T24" s="126">
        <v>0</v>
      </c>
      <c r="U24" s="127">
        <v>0</v>
      </c>
      <c r="V24" s="128">
        <v>0</v>
      </c>
      <c r="W24" s="127">
        <v>0</v>
      </c>
      <c r="X24" s="129">
        <v>0</v>
      </c>
      <c r="Y24" s="127">
        <v>0</v>
      </c>
      <c r="Z24" s="127">
        <v>0</v>
      </c>
      <c r="AA24" s="126">
        <v>0</v>
      </c>
      <c r="AB24" s="130">
        <f t="shared" si="4"/>
        <v>0</v>
      </c>
      <c r="AC24" s="129">
        <v>0</v>
      </c>
      <c r="AD24" s="125">
        <f t="shared" si="5"/>
        <v>60</v>
      </c>
      <c r="AE24" s="144">
        <v>0</v>
      </c>
      <c r="AF24" s="127">
        <v>0</v>
      </c>
      <c r="AG24" s="131">
        <v>0</v>
      </c>
      <c r="AH24" s="127">
        <v>0</v>
      </c>
      <c r="AI24" s="128">
        <v>0</v>
      </c>
      <c r="AJ24" s="127">
        <v>0</v>
      </c>
      <c r="AK24" s="127">
        <v>0</v>
      </c>
      <c r="AL24" s="127">
        <v>0</v>
      </c>
      <c r="AM24" s="132">
        <f t="shared" si="6"/>
        <v>7500</v>
      </c>
      <c r="AN24" s="133">
        <v>46116</v>
      </c>
      <c r="AO24" s="134" t="s">
        <v>3235</v>
      </c>
      <c r="AP24" s="135" t="s">
        <v>234</v>
      </c>
      <c r="AQ24" s="136" t="s">
        <v>235</v>
      </c>
      <c r="AR24" s="136" t="s">
        <v>236</v>
      </c>
      <c r="AS24" s="123" t="s">
        <v>239</v>
      </c>
      <c r="AT24" s="137" t="s">
        <v>238</v>
      </c>
      <c r="AU24" s="137" t="s">
        <v>197</v>
      </c>
      <c r="AV24" s="138" t="s">
        <v>329</v>
      </c>
      <c r="AW24" s="136">
        <v>125</v>
      </c>
      <c r="AX24" s="138">
        <v>80</v>
      </c>
      <c r="AY24" s="136">
        <f t="shared" si="7"/>
        <v>10000</v>
      </c>
      <c r="AZ24" s="139" t="b">
        <f t="shared" si="8"/>
        <v>1</v>
      </c>
      <c r="BA24" s="125">
        <v>0</v>
      </c>
      <c r="BB24" s="140">
        <f t="shared" si="9"/>
        <v>125</v>
      </c>
      <c r="BC24" s="141">
        <v>0</v>
      </c>
      <c r="BD24" s="140" t="s">
        <v>107</v>
      </c>
      <c r="BE24" s="141">
        <v>0</v>
      </c>
      <c r="BF24" s="140">
        <v>0</v>
      </c>
      <c r="BG24" s="141">
        <v>0</v>
      </c>
      <c r="BH24" s="127">
        <v>0</v>
      </c>
      <c r="BI24" s="130">
        <v>0</v>
      </c>
      <c r="BJ24" s="128">
        <v>0</v>
      </c>
      <c r="BK24" s="125">
        <v>0</v>
      </c>
      <c r="BL24" s="136">
        <v>0</v>
      </c>
      <c r="BM24" s="127">
        <v>0</v>
      </c>
      <c r="BN24" s="142">
        <f t="shared" si="10"/>
        <v>0</v>
      </c>
      <c r="BO24" s="126">
        <f t="shared" si="11"/>
        <v>10000</v>
      </c>
      <c r="BP24" s="132">
        <f t="shared" si="12"/>
        <v>2500</v>
      </c>
      <c r="BQ24" s="141" t="str">
        <f t="shared" si="13"/>
        <v>Positive Margin</v>
      </c>
      <c r="BR24" s="143" t="s">
        <v>119</v>
      </c>
      <c r="BS24" s="125">
        <f t="shared" si="14"/>
        <v>2500</v>
      </c>
      <c r="BT24" s="144" t="str">
        <f t="shared" si="15"/>
        <v>Positive Margin at Inception</v>
      </c>
      <c r="BU24" s="145">
        <f t="shared" si="16"/>
        <v>0.25</v>
      </c>
      <c r="BV24" s="144" t="str">
        <f t="shared" si="17"/>
        <v>More than 2%</v>
      </c>
      <c r="BW24" s="125">
        <f t="shared" si="18"/>
        <v>0</v>
      </c>
      <c r="BX24" s="126">
        <f t="shared" si="19"/>
        <v>0</v>
      </c>
      <c r="BY24" s="125">
        <f t="shared" si="20"/>
        <v>0</v>
      </c>
      <c r="BZ24" s="146">
        <f t="shared" si="21"/>
        <v>0</v>
      </c>
      <c r="CA24" s="146">
        <f t="shared" si="22"/>
        <v>0</v>
      </c>
      <c r="CB24" s="127">
        <f t="shared" si="23"/>
        <v>0</v>
      </c>
      <c r="CC24" s="146" t="s">
        <v>397</v>
      </c>
      <c r="CD24" s="127">
        <v>0</v>
      </c>
      <c r="CE24" s="127" t="str">
        <f t="shared" si="24"/>
        <v>Apr-26</v>
      </c>
      <c r="CF24" s="127">
        <f t="shared" si="25"/>
        <v>7500</v>
      </c>
      <c r="CG24" s="127">
        <f t="shared" si="26"/>
        <v>10000</v>
      </c>
      <c r="CH24" s="127">
        <f t="shared" si="27"/>
        <v>1</v>
      </c>
      <c r="CI24" s="147" t="str">
        <f t="shared" si="28"/>
        <v>BG AHD</v>
      </c>
      <c r="CJ24" s="127">
        <v>0</v>
      </c>
      <c r="CK24" s="127">
        <v>0</v>
      </c>
      <c r="CL24" s="127">
        <f t="shared" si="29"/>
        <v>2500</v>
      </c>
      <c r="CM24" s="127">
        <f t="shared" si="30"/>
        <v>2500</v>
      </c>
      <c r="CN24" s="127">
        <f t="shared" si="31"/>
        <v>2500</v>
      </c>
      <c r="CO24" s="127">
        <f t="shared" si="32"/>
        <v>11800</v>
      </c>
      <c r="CP24" s="127">
        <f t="shared" si="33"/>
        <v>-8850</v>
      </c>
      <c r="CQ24" s="127">
        <f t="shared" si="34"/>
        <v>0</v>
      </c>
      <c r="CR24" s="127">
        <f t="shared" si="35"/>
        <v>0</v>
      </c>
      <c r="CS24" s="127">
        <f t="shared" si="36"/>
        <v>2950</v>
      </c>
      <c r="CT24" s="127" t="s">
        <v>361</v>
      </c>
      <c r="CU24" s="127" t="s">
        <v>361</v>
      </c>
      <c r="CV24" s="142" t="str">
        <f t="shared" si="37"/>
        <v>AAMCB5608A</v>
      </c>
      <c r="CW24" s="142" t="str">
        <f t="shared" si="38"/>
        <v>BJHPB3107J</v>
      </c>
    </row>
    <row r="25" spans="2:101" s="149" customFormat="1" ht="11.85" customHeight="1" x14ac:dyDescent="0.25">
      <c r="B25" s="120" t="str">
        <f t="shared" si="0"/>
        <v>Q1</v>
      </c>
      <c r="C25" s="121" t="str">
        <f t="shared" si="1"/>
        <v>Apr-26</v>
      </c>
      <c r="D25" s="122">
        <v>46116</v>
      </c>
      <c r="E25" s="123" t="s">
        <v>3127</v>
      </c>
      <c r="F25" s="123" t="s">
        <v>196</v>
      </c>
      <c r="G25" s="123" t="s">
        <v>198</v>
      </c>
      <c r="H25" s="124" t="s">
        <v>3128</v>
      </c>
      <c r="I25" s="122">
        <v>46116</v>
      </c>
      <c r="J25" s="123" t="s">
        <v>3129</v>
      </c>
      <c r="K25" s="122">
        <v>46118</v>
      </c>
      <c r="L25" s="123" t="s">
        <v>199</v>
      </c>
      <c r="M25" s="123" t="s">
        <v>1941</v>
      </c>
      <c r="N25" s="550" t="s">
        <v>3130</v>
      </c>
      <c r="O25" s="123">
        <v>3000</v>
      </c>
      <c r="P25" s="551">
        <v>27.5</v>
      </c>
      <c r="Q25" s="125">
        <f t="shared" si="2"/>
        <v>82500</v>
      </c>
      <c r="R25" s="126">
        <v>0</v>
      </c>
      <c r="S25" s="125">
        <f t="shared" si="3"/>
        <v>3000</v>
      </c>
      <c r="T25" s="126">
        <v>0</v>
      </c>
      <c r="U25" s="127">
        <v>0</v>
      </c>
      <c r="V25" s="128">
        <v>0</v>
      </c>
      <c r="W25" s="127">
        <v>0</v>
      </c>
      <c r="X25" s="129">
        <v>0</v>
      </c>
      <c r="Y25" s="127">
        <v>0</v>
      </c>
      <c r="Z25" s="127">
        <v>0</v>
      </c>
      <c r="AA25" s="126">
        <v>0</v>
      </c>
      <c r="AB25" s="130">
        <f t="shared" si="4"/>
        <v>0</v>
      </c>
      <c r="AC25" s="129">
        <v>0</v>
      </c>
      <c r="AD25" s="125">
        <f t="shared" si="5"/>
        <v>27.5</v>
      </c>
      <c r="AE25" s="144">
        <v>0</v>
      </c>
      <c r="AF25" s="127">
        <v>0</v>
      </c>
      <c r="AG25" s="131">
        <v>0</v>
      </c>
      <c r="AH25" s="127">
        <v>0</v>
      </c>
      <c r="AI25" s="128">
        <v>0</v>
      </c>
      <c r="AJ25" s="127">
        <v>0</v>
      </c>
      <c r="AK25" s="127">
        <v>0</v>
      </c>
      <c r="AL25" s="127">
        <v>0</v>
      </c>
      <c r="AM25" s="132">
        <f t="shared" si="6"/>
        <v>82500</v>
      </c>
      <c r="AN25" s="133">
        <v>46118</v>
      </c>
      <c r="AO25" s="134" t="s">
        <v>3239</v>
      </c>
      <c r="AP25" s="135" t="s">
        <v>1937</v>
      </c>
      <c r="AQ25" s="136" t="s">
        <v>1938</v>
      </c>
      <c r="AR25" s="136" t="s">
        <v>1939</v>
      </c>
      <c r="AS25" s="123" t="s">
        <v>1653</v>
      </c>
      <c r="AT25" s="137" t="s">
        <v>1940</v>
      </c>
      <c r="AU25" s="137" t="s">
        <v>197</v>
      </c>
      <c r="AV25" s="138" t="s">
        <v>329</v>
      </c>
      <c r="AW25" s="136">
        <v>3000</v>
      </c>
      <c r="AX25" s="138">
        <v>28</v>
      </c>
      <c r="AY25" s="136">
        <f t="shared" si="7"/>
        <v>84000</v>
      </c>
      <c r="AZ25" s="139" t="b">
        <f t="shared" si="8"/>
        <v>1</v>
      </c>
      <c r="BA25" s="125">
        <v>0</v>
      </c>
      <c r="BB25" s="140">
        <f t="shared" si="9"/>
        <v>3000</v>
      </c>
      <c r="BC25" s="141">
        <v>0</v>
      </c>
      <c r="BD25" s="140" t="s">
        <v>107</v>
      </c>
      <c r="BE25" s="141">
        <v>0</v>
      </c>
      <c r="BF25" s="140">
        <v>0</v>
      </c>
      <c r="BG25" s="141">
        <v>0</v>
      </c>
      <c r="BH25" s="127">
        <v>0</v>
      </c>
      <c r="BI25" s="130">
        <v>0</v>
      </c>
      <c r="BJ25" s="128">
        <v>0</v>
      </c>
      <c r="BK25" s="125">
        <v>0</v>
      </c>
      <c r="BL25" s="136">
        <v>0</v>
      </c>
      <c r="BM25" s="127">
        <v>0</v>
      </c>
      <c r="BN25" s="142">
        <f t="shared" si="10"/>
        <v>0</v>
      </c>
      <c r="BO25" s="126">
        <f t="shared" si="11"/>
        <v>84000</v>
      </c>
      <c r="BP25" s="132">
        <f t="shared" si="12"/>
        <v>1500</v>
      </c>
      <c r="BQ25" s="141" t="str">
        <f t="shared" si="13"/>
        <v>Positive Margin</v>
      </c>
      <c r="BR25" s="143" t="s">
        <v>119</v>
      </c>
      <c r="BS25" s="125">
        <f t="shared" si="14"/>
        <v>1500</v>
      </c>
      <c r="BT25" s="144" t="str">
        <f t="shared" si="15"/>
        <v>Positive Margin at Inception</v>
      </c>
      <c r="BU25" s="145">
        <f t="shared" si="16"/>
        <v>1.7857142857142856E-2</v>
      </c>
      <c r="BV25" s="144" t="str">
        <f t="shared" si="17"/>
        <v>1% - 2%</v>
      </c>
      <c r="BW25" s="125">
        <f t="shared" si="18"/>
        <v>0</v>
      </c>
      <c r="BX25" s="126">
        <f t="shared" si="19"/>
        <v>0</v>
      </c>
      <c r="BY25" s="125">
        <f t="shared" si="20"/>
        <v>0</v>
      </c>
      <c r="BZ25" s="146">
        <f t="shared" si="21"/>
        <v>0</v>
      </c>
      <c r="CA25" s="146">
        <f t="shared" si="22"/>
        <v>0</v>
      </c>
      <c r="CB25" s="127">
        <f t="shared" si="23"/>
        <v>0</v>
      </c>
      <c r="CC25" s="146" t="s">
        <v>397</v>
      </c>
      <c r="CD25" s="127">
        <v>0</v>
      </c>
      <c r="CE25" s="127" t="str">
        <f t="shared" si="24"/>
        <v>Apr-26</v>
      </c>
      <c r="CF25" s="127">
        <f t="shared" si="25"/>
        <v>82500</v>
      </c>
      <c r="CG25" s="127">
        <f t="shared" si="26"/>
        <v>84000</v>
      </c>
      <c r="CH25" s="127">
        <f t="shared" si="27"/>
        <v>1</v>
      </c>
      <c r="CI25" s="147" t="str">
        <f t="shared" si="28"/>
        <v>BG AHD</v>
      </c>
      <c r="CJ25" s="127">
        <v>0</v>
      </c>
      <c r="CK25" s="127">
        <v>0</v>
      </c>
      <c r="CL25" s="127">
        <f t="shared" si="29"/>
        <v>1500</v>
      </c>
      <c r="CM25" s="127">
        <f t="shared" si="30"/>
        <v>1500</v>
      </c>
      <c r="CN25" s="127">
        <f t="shared" si="31"/>
        <v>1500</v>
      </c>
      <c r="CO25" s="127">
        <f t="shared" si="32"/>
        <v>99120</v>
      </c>
      <c r="CP25" s="127">
        <f t="shared" si="33"/>
        <v>-97350</v>
      </c>
      <c r="CQ25" s="127">
        <f t="shared" si="34"/>
        <v>0</v>
      </c>
      <c r="CR25" s="127">
        <f t="shared" si="35"/>
        <v>0</v>
      </c>
      <c r="CS25" s="127">
        <f t="shared" si="36"/>
        <v>1770</v>
      </c>
      <c r="CT25" s="127" t="s">
        <v>361</v>
      </c>
      <c r="CU25" s="127" t="s">
        <v>361</v>
      </c>
      <c r="CV25" s="142" t="str">
        <f t="shared" si="37"/>
        <v>AAMCB5608A</v>
      </c>
      <c r="CW25" s="142" t="str">
        <f t="shared" si="38"/>
        <v>AFDPY5902R</v>
      </c>
    </row>
    <row r="26" spans="2:101" s="149" customFormat="1" ht="11.85" customHeight="1" x14ac:dyDescent="0.25">
      <c r="B26" s="120" t="str">
        <f t="shared" si="0"/>
        <v>Q1</v>
      </c>
      <c r="C26" s="121" t="str">
        <f t="shared" si="1"/>
        <v>Apr-26</v>
      </c>
      <c r="D26" s="122">
        <v>46118</v>
      </c>
      <c r="E26" s="123" t="s">
        <v>3131</v>
      </c>
      <c r="F26" s="123" t="s">
        <v>196</v>
      </c>
      <c r="G26" s="123" t="s">
        <v>198</v>
      </c>
      <c r="H26" s="124" t="s">
        <v>3132</v>
      </c>
      <c r="I26" s="122">
        <v>46118</v>
      </c>
      <c r="J26" s="123" t="s">
        <v>3133</v>
      </c>
      <c r="K26" s="122">
        <v>46118</v>
      </c>
      <c r="L26" s="123" t="s">
        <v>199</v>
      </c>
      <c r="M26" s="123" t="s">
        <v>2331</v>
      </c>
      <c r="N26" s="550" t="s">
        <v>241</v>
      </c>
      <c r="O26" s="123">
        <v>980</v>
      </c>
      <c r="P26" s="551">
        <v>30</v>
      </c>
      <c r="Q26" s="125">
        <f t="shared" si="2"/>
        <v>29400</v>
      </c>
      <c r="R26" s="126">
        <v>0</v>
      </c>
      <c r="S26" s="125">
        <f t="shared" si="3"/>
        <v>980</v>
      </c>
      <c r="T26" s="126">
        <v>0</v>
      </c>
      <c r="U26" s="127">
        <v>0</v>
      </c>
      <c r="V26" s="128">
        <v>0</v>
      </c>
      <c r="W26" s="127">
        <v>0</v>
      </c>
      <c r="X26" s="129">
        <v>0</v>
      </c>
      <c r="Y26" s="127">
        <v>0</v>
      </c>
      <c r="Z26" s="127">
        <v>0</v>
      </c>
      <c r="AA26" s="126">
        <v>0</v>
      </c>
      <c r="AB26" s="130">
        <f t="shared" si="4"/>
        <v>0</v>
      </c>
      <c r="AC26" s="129">
        <v>0</v>
      </c>
      <c r="AD26" s="125">
        <f t="shared" si="5"/>
        <v>30</v>
      </c>
      <c r="AE26" s="144">
        <v>0</v>
      </c>
      <c r="AF26" s="127">
        <v>0</v>
      </c>
      <c r="AG26" s="131">
        <v>0</v>
      </c>
      <c r="AH26" s="127">
        <v>0</v>
      </c>
      <c r="AI26" s="128">
        <v>0</v>
      </c>
      <c r="AJ26" s="127">
        <v>0</v>
      </c>
      <c r="AK26" s="127">
        <v>0</v>
      </c>
      <c r="AL26" s="127">
        <v>0</v>
      </c>
      <c r="AM26" s="132">
        <f t="shared" si="6"/>
        <v>29400</v>
      </c>
      <c r="AN26" s="133">
        <v>46118</v>
      </c>
      <c r="AO26" s="134" t="s">
        <v>3233</v>
      </c>
      <c r="AP26" s="135" t="s">
        <v>234</v>
      </c>
      <c r="AQ26" s="136" t="s">
        <v>235</v>
      </c>
      <c r="AR26" s="136" t="s">
        <v>236</v>
      </c>
      <c r="AS26" s="123" t="s">
        <v>2006</v>
      </c>
      <c r="AT26" s="137" t="s">
        <v>238</v>
      </c>
      <c r="AU26" s="137" t="s">
        <v>197</v>
      </c>
      <c r="AV26" s="138" t="s">
        <v>329</v>
      </c>
      <c r="AW26" s="136">
        <v>980</v>
      </c>
      <c r="AX26" s="138">
        <v>35</v>
      </c>
      <c r="AY26" s="136">
        <f t="shared" si="7"/>
        <v>34300</v>
      </c>
      <c r="AZ26" s="139" t="b">
        <f t="shared" si="8"/>
        <v>1</v>
      </c>
      <c r="BA26" s="125">
        <v>0</v>
      </c>
      <c r="BB26" s="140">
        <f t="shared" si="9"/>
        <v>980</v>
      </c>
      <c r="BC26" s="141">
        <v>0</v>
      </c>
      <c r="BD26" s="140" t="s">
        <v>107</v>
      </c>
      <c r="BE26" s="141">
        <v>0</v>
      </c>
      <c r="BF26" s="140">
        <v>0</v>
      </c>
      <c r="BG26" s="141">
        <v>0</v>
      </c>
      <c r="BH26" s="127">
        <v>0</v>
      </c>
      <c r="BI26" s="130">
        <v>0</v>
      </c>
      <c r="BJ26" s="128">
        <v>0</v>
      </c>
      <c r="BK26" s="125">
        <v>0</v>
      </c>
      <c r="BL26" s="136">
        <v>0</v>
      </c>
      <c r="BM26" s="127">
        <v>0</v>
      </c>
      <c r="BN26" s="142">
        <f t="shared" si="10"/>
        <v>0</v>
      </c>
      <c r="BO26" s="126">
        <f t="shared" si="11"/>
        <v>34300</v>
      </c>
      <c r="BP26" s="132">
        <f t="shared" si="12"/>
        <v>4900</v>
      </c>
      <c r="BQ26" s="141" t="str">
        <f t="shared" si="13"/>
        <v>Positive Margin</v>
      </c>
      <c r="BR26" s="143" t="s">
        <v>119</v>
      </c>
      <c r="BS26" s="125">
        <f t="shared" si="14"/>
        <v>4900</v>
      </c>
      <c r="BT26" s="144" t="str">
        <f t="shared" si="15"/>
        <v>Positive Margin at Inception</v>
      </c>
      <c r="BU26" s="145">
        <f t="shared" si="16"/>
        <v>0.14285714285714285</v>
      </c>
      <c r="BV26" s="144" t="str">
        <f t="shared" si="17"/>
        <v>More than 2%</v>
      </c>
      <c r="BW26" s="125">
        <f t="shared" si="18"/>
        <v>0</v>
      </c>
      <c r="BX26" s="126">
        <f t="shared" si="19"/>
        <v>0</v>
      </c>
      <c r="BY26" s="125">
        <f t="shared" si="20"/>
        <v>0</v>
      </c>
      <c r="BZ26" s="146">
        <f t="shared" si="21"/>
        <v>0</v>
      </c>
      <c r="CA26" s="146">
        <f t="shared" si="22"/>
        <v>0</v>
      </c>
      <c r="CB26" s="127">
        <f t="shared" si="23"/>
        <v>0</v>
      </c>
      <c r="CC26" s="146" t="s">
        <v>397</v>
      </c>
      <c r="CD26" s="127">
        <v>0</v>
      </c>
      <c r="CE26" s="127" t="str">
        <f t="shared" si="24"/>
        <v>Apr-26</v>
      </c>
      <c r="CF26" s="127">
        <f t="shared" si="25"/>
        <v>29400</v>
      </c>
      <c r="CG26" s="127">
        <f t="shared" si="26"/>
        <v>34300</v>
      </c>
      <c r="CH26" s="127">
        <f t="shared" si="27"/>
        <v>1</v>
      </c>
      <c r="CI26" s="147" t="str">
        <f t="shared" si="28"/>
        <v>BG AHD</v>
      </c>
      <c r="CJ26" s="127">
        <v>0</v>
      </c>
      <c r="CK26" s="127">
        <v>0</v>
      </c>
      <c r="CL26" s="127">
        <f t="shared" si="29"/>
        <v>4900</v>
      </c>
      <c r="CM26" s="127">
        <f t="shared" si="30"/>
        <v>4900</v>
      </c>
      <c r="CN26" s="127">
        <f t="shared" si="31"/>
        <v>4900</v>
      </c>
      <c r="CO26" s="127">
        <f t="shared" si="32"/>
        <v>40474</v>
      </c>
      <c r="CP26" s="127">
        <f t="shared" si="33"/>
        <v>-34692</v>
      </c>
      <c r="CQ26" s="127">
        <f t="shared" si="34"/>
        <v>0</v>
      </c>
      <c r="CR26" s="127">
        <f t="shared" si="35"/>
        <v>0</v>
      </c>
      <c r="CS26" s="127">
        <f t="shared" si="36"/>
        <v>5782</v>
      </c>
      <c r="CT26" s="127" t="s">
        <v>361</v>
      </c>
      <c r="CU26" s="127" t="s">
        <v>361</v>
      </c>
      <c r="CV26" s="142" t="str">
        <f t="shared" si="37"/>
        <v>AAMCB5608A</v>
      </c>
      <c r="CW26" s="142" t="str">
        <f t="shared" si="38"/>
        <v>BJHPB3107J</v>
      </c>
    </row>
    <row r="27" spans="2:101" s="149" customFormat="1" ht="11.85" customHeight="1" x14ac:dyDescent="0.25">
      <c r="B27" s="120" t="str">
        <f t="shared" si="0"/>
        <v>Q1</v>
      </c>
      <c r="C27" s="121" t="str">
        <f t="shared" si="1"/>
        <v>Apr-26</v>
      </c>
      <c r="D27" s="122">
        <v>46118</v>
      </c>
      <c r="E27" s="123" t="s">
        <v>3131</v>
      </c>
      <c r="F27" s="123" t="s">
        <v>196</v>
      </c>
      <c r="G27" s="123" t="s">
        <v>198</v>
      </c>
      <c r="H27" s="124" t="s">
        <v>3132</v>
      </c>
      <c r="I27" s="122">
        <v>46118</v>
      </c>
      <c r="J27" s="123" t="s">
        <v>3133</v>
      </c>
      <c r="K27" s="122">
        <v>46118</v>
      </c>
      <c r="L27" s="123" t="s">
        <v>199</v>
      </c>
      <c r="M27" s="123" t="s">
        <v>2331</v>
      </c>
      <c r="N27" s="550" t="s">
        <v>1436</v>
      </c>
      <c r="O27" s="123">
        <v>840</v>
      </c>
      <c r="P27" s="551">
        <v>33</v>
      </c>
      <c r="Q27" s="125">
        <f t="shared" si="2"/>
        <v>27720</v>
      </c>
      <c r="R27" s="126">
        <v>0</v>
      </c>
      <c r="S27" s="125">
        <f t="shared" si="3"/>
        <v>840</v>
      </c>
      <c r="T27" s="126">
        <v>0</v>
      </c>
      <c r="U27" s="127">
        <v>0</v>
      </c>
      <c r="V27" s="128">
        <v>0</v>
      </c>
      <c r="W27" s="127">
        <v>0</v>
      </c>
      <c r="X27" s="129">
        <v>0</v>
      </c>
      <c r="Y27" s="127">
        <v>0</v>
      </c>
      <c r="Z27" s="127">
        <v>0</v>
      </c>
      <c r="AA27" s="126">
        <v>0</v>
      </c>
      <c r="AB27" s="130">
        <f t="shared" si="4"/>
        <v>0</v>
      </c>
      <c r="AC27" s="129">
        <v>0</v>
      </c>
      <c r="AD27" s="125">
        <f t="shared" si="5"/>
        <v>33</v>
      </c>
      <c r="AE27" s="144">
        <v>0</v>
      </c>
      <c r="AF27" s="127">
        <v>0</v>
      </c>
      <c r="AG27" s="131">
        <v>0</v>
      </c>
      <c r="AH27" s="127">
        <v>0</v>
      </c>
      <c r="AI27" s="128">
        <v>0</v>
      </c>
      <c r="AJ27" s="127">
        <v>0</v>
      </c>
      <c r="AK27" s="127">
        <v>0</v>
      </c>
      <c r="AL27" s="127">
        <v>0</v>
      </c>
      <c r="AM27" s="132">
        <f t="shared" si="6"/>
        <v>27720</v>
      </c>
      <c r="AN27" s="133">
        <v>46118</v>
      </c>
      <c r="AO27" s="134" t="s">
        <v>3233</v>
      </c>
      <c r="AP27" s="135" t="s">
        <v>234</v>
      </c>
      <c r="AQ27" s="136" t="s">
        <v>235</v>
      </c>
      <c r="AR27" s="136" t="s">
        <v>236</v>
      </c>
      <c r="AS27" s="123" t="s">
        <v>2006</v>
      </c>
      <c r="AT27" s="137" t="s">
        <v>238</v>
      </c>
      <c r="AU27" s="137" t="s">
        <v>197</v>
      </c>
      <c r="AV27" s="138" t="s">
        <v>329</v>
      </c>
      <c r="AW27" s="136">
        <v>840</v>
      </c>
      <c r="AX27" s="138">
        <v>38</v>
      </c>
      <c r="AY27" s="136">
        <f t="shared" si="7"/>
        <v>31920</v>
      </c>
      <c r="AZ27" s="139" t="b">
        <f t="shared" si="8"/>
        <v>1</v>
      </c>
      <c r="BA27" s="125">
        <v>0</v>
      </c>
      <c r="BB27" s="140">
        <f t="shared" si="9"/>
        <v>840</v>
      </c>
      <c r="BC27" s="141">
        <v>0</v>
      </c>
      <c r="BD27" s="140" t="s">
        <v>107</v>
      </c>
      <c r="BE27" s="141">
        <v>0</v>
      </c>
      <c r="BF27" s="140">
        <v>0</v>
      </c>
      <c r="BG27" s="141">
        <v>0</v>
      </c>
      <c r="BH27" s="127">
        <v>0</v>
      </c>
      <c r="BI27" s="130">
        <v>0</v>
      </c>
      <c r="BJ27" s="128">
        <v>0</v>
      </c>
      <c r="BK27" s="125">
        <v>0</v>
      </c>
      <c r="BL27" s="136">
        <v>0</v>
      </c>
      <c r="BM27" s="127">
        <v>0</v>
      </c>
      <c r="BN27" s="142">
        <f t="shared" si="10"/>
        <v>0</v>
      </c>
      <c r="BO27" s="126">
        <f t="shared" si="11"/>
        <v>31920</v>
      </c>
      <c r="BP27" s="132">
        <f t="shared" si="12"/>
        <v>4200</v>
      </c>
      <c r="BQ27" s="141" t="str">
        <f t="shared" si="13"/>
        <v>Positive Margin</v>
      </c>
      <c r="BR27" s="143" t="s">
        <v>119</v>
      </c>
      <c r="BS27" s="125">
        <f t="shared" si="14"/>
        <v>4200</v>
      </c>
      <c r="BT27" s="144" t="str">
        <f t="shared" si="15"/>
        <v>Positive Margin at Inception</v>
      </c>
      <c r="BU27" s="145">
        <f t="shared" si="16"/>
        <v>0.13157894736842105</v>
      </c>
      <c r="BV27" s="144" t="str">
        <f t="shared" si="17"/>
        <v>More than 2%</v>
      </c>
      <c r="BW27" s="125">
        <f t="shared" si="18"/>
        <v>0</v>
      </c>
      <c r="BX27" s="126">
        <f t="shared" si="19"/>
        <v>0</v>
      </c>
      <c r="BY27" s="125">
        <f t="shared" si="20"/>
        <v>0</v>
      </c>
      <c r="BZ27" s="146">
        <f t="shared" si="21"/>
        <v>0</v>
      </c>
      <c r="CA27" s="146">
        <f t="shared" si="22"/>
        <v>0</v>
      </c>
      <c r="CB27" s="127">
        <f t="shared" si="23"/>
        <v>0</v>
      </c>
      <c r="CC27" s="146" t="s">
        <v>397</v>
      </c>
      <c r="CD27" s="127">
        <v>0</v>
      </c>
      <c r="CE27" s="127" t="str">
        <f t="shared" si="24"/>
        <v>Apr-26</v>
      </c>
      <c r="CF27" s="127">
        <f t="shared" si="25"/>
        <v>27720</v>
      </c>
      <c r="CG27" s="127">
        <f t="shared" si="26"/>
        <v>31920</v>
      </c>
      <c r="CH27" s="127">
        <f t="shared" si="27"/>
        <v>1</v>
      </c>
      <c r="CI27" s="147" t="str">
        <f t="shared" si="28"/>
        <v>BG AHD</v>
      </c>
      <c r="CJ27" s="127">
        <v>0</v>
      </c>
      <c r="CK27" s="127">
        <v>0</v>
      </c>
      <c r="CL27" s="127">
        <f t="shared" si="29"/>
        <v>4200</v>
      </c>
      <c r="CM27" s="127">
        <f t="shared" si="30"/>
        <v>4200</v>
      </c>
      <c r="CN27" s="127">
        <f t="shared" si="31"/>
        <v>4200</v>
      </c>
      <c r="CO27" s="127">
        <f t="shared" si="32"/>
        <v>37665.599999999999</v>
      </c>
      <c r="CP27" s="127">
        <f t="shared" si="33"/>
        <v>-32709.599999999999</v>
      </c>
      <c r="CQ27" s="127">
        <f t="shared" si="34"/>
        <v>0</v>
      </c>
      <c r="CR27" s="127">
        <f t="shared" si="35"/>
        <v>0</v>
      </c>
      <c r="CS27" s="127">
        <f t="shared" si="36"/>
        <v>4956</v>
      </c>
      <c r="CT27" s="127" t="s">
        <v>361</v>
      </c>
      <c r="CU27" s="127" t="s">
        <v>361</v>
      </c>
      <c r="CV27" s="142" t="str">
        <f t="shared" si="37"/>
        <v>AAMCB5608A</v>
      </c>
      <c r="CW27" s="142" t="str">
        <f t="shared" si="38"/>
        <v>BJHPB3107J</v>
      </c>
    </row>
    <row r="28" spans="2:101" s="149" customFormat="1" ht="11.85" customHeight="1" x14ac:dyDescent="0.25">
      <c r="B28" s="120" t="str">
        <f t="shared" si="0"/>
        <v>Q1</v>
      </c>
      <c r="C28" s="121" t="str">
        <f t="shared" si="1"/>
        <v>Apr-26</v>
      </c>
      <c r="D28" s="122">
        <v>46119</v>
      </c>
      <c r="E28" s="123" t="s">
        <v>3134</v>
      </c>
      <c r="F28" s="123" t="s">
        <v>196</v>
      </c>
      <c r="G28" s="123" t="s">
        <v>198</v>
      </c>
      <c r="H28" s="124" t="s">
        <v>3135</v>
      </c>
      <c r="I28" s="122">
        <v>46119</v>
      </c>
      <c r="J28" s="123" t="s">
        <v>3136</v>
      </c>
      <c r="K28" s="122">
        <v>46119</v>
      </c>
      <c r="L28" s="123" t="s">
        <v>199</v>
      </c>
      <c r="M28" s="123" t="s">
        <v>3137</v>
      </c>
      <c r="N28" s="550" t="s">
        <v>3130</v>
      </c>
      <c r="O28" s="123">
        <v>3870</v>
      </c>
      <c r="P28" s="551">
        <v>27.5</v>
      </c>
      <c r="Q28" s="125">
        <f t="shared" si="2"/>
        <v>106425</v>
      </c>
      <c r="R28" s="126">
        <v>0</v>
      </c>
      <c r="S28" s="125">
        <f t="shared" si="3"/>
        <v>3870</v>
      </c>
      <c r="T28" s="126">
        <v>0</v>
      </c>
      <c r="U28" s="127">
        <v>0</v>
      </c>
      <c r="V28" s="128">
        <v>0</v>
      </c>
      <c r="W28" s="127">
        <v>0</v>
      </c>
      <c r="X28" s="129">
        <v>0</v>
      </c>
      <c r="Y28" s="127">
        <v>0</v>
      </c>
      <c r="Z28" s="127">
        <v>0</v>
      </c>
      <c r="AA28" s="126">
        <v>0</v>
      </c>
      <c r="AB28" s="130">
        <f t="shared" si="4"/>
        <v>0</v>
      </c>
      <c r="AC28" s="129">
        <v>0</v>
      </c>
      <c r="AD28" s="125">
        <f t="shared" si="5"/>
        <v>27.5</v>
      </c>
      <c r="AE28" s="144">
        <v>0</v>
      </c>
      <c r="AF28" s="127">
        <v>0</v>
      </c>
      <c r="AG28" s="131">
        <v>0</v>
      </c>
      <c r="AH28" s="127">
        <v>0</v>
      </c>
      <c r="AI28" s="128">
        <v>0</v>
      </c>
      <c r="AJ28" s="127">
        <v>0</v>
      </c>
      <c r="AK28" s="127">
        <v>0</v>
      </c>
      <c r="AL28" s="127">
        <v>0</v>
      </c>
      <c r="AM28" s="132">
        <f t="shared" si="6"/>
        <v>106425</v>
      </c>
      <c r="AN28" s="133">
        <v>46119</v>
      </c>
      <c r="AO28" s="134" t="s">
        <v>3240</v>
      </c>
      <c r="AP28" s="135" t="s">
        <v>1937</v>
      </c>
      <c r="AQ28" s="136" t="s">
        <v>1938</v>
      </c>
      <c r="AR28" s="136" t="s">
        <v>1939</v>
      </c>
      <c r="AS28" s="123" t="s">
        <v>1653</v>
      </c>
      <c r="AT28" s="137" t="s">
        <v>1940</v>
      </c>
      <c r="AU28" s="137" t="s">
        <v>197</v>
      </c>
      <c r="AV28" s="138" t="s">
        <v>329</v>
      </c>
      <c r="AW28" s="136">
        <v>3870</v>
      </c>
      <c r="AX28" s="138">
        <v>28</v>
      </c>
      <c r="AY28" s="136">
        <f t="shared" si="7"/>
        <v>108360</v>
      </c>
      <c r="AZ28" s="139" t="b">
        <f t="shared" si="8"/>
        <v>1</v>
      </c>
      <c r="BA28" s="125">
        <v>0</v>
      </c>
      <c r="BB28" s="140">
        <f t="shared" si="9"/>
        <v>3870</v>
      </c>
      <c r="BC28" s="141">
        <v>0</v>
      </c>
      <c r="BD28" s="140" t="s">
        <v>107</v>
      </c>
      <c r="BE28" s="141">
        <v>0</v>
      </c>
      <c r="BF28" s="140">
        <v>0</v>
      </c>
      <c r="BG28" s="141">
        <v>0</v>
      </c>
      <c r="BH28" s="127">
        <v>0</v>
      </c>
      <c r="BI28" s="130">
        <v>0</v>
      </c>
      <c r="BJ28" s="128">
        <v>0</v>
      </c>
      <c r="BK28" s="125">
        <v>0</v>
      </c>
      <c r="BL28" s="136">
        <v>0</v>
      </c>
      <c r="BM28" s="127">
        <v>0</v>
      </c>
      <c r="BN28" s="142">
        <f t="shared" si="10"/>
        <v>0</v>
      </c>
      <c r="BO28" s="126">
        <f t="shared" si="11"/>
        <v>108360</v>
      </c>
      <c r="BP28" s="132">
        <f t="shared" si="12"/>
        <v>1935</v>
      </c>
      <c r="BQ28" s="141" t="str">
        <f t="shared" si="13"/>
        <v>Positive Margin</v>
      </c>
      <c r="BR28" s="143" t="s">
        <v>119</v>
      </c>
      <c r="BS28" s="125">
        <f t="shared" si="14"/>
        <v>1935</v>
      </c>
      <c r="BT28" s="144" t="str">
        <f t="shared" si="15"/>
        <v>Positive Margin at Inception</v>
      </c>
      <c r="BU28" s="145">
        <f t="shared" si="16"/>
        <v>1.7857142857142856E-2</v>
      </c>
      <c r="BV28" s="144" t="str">
        <f t="shared" si="17"/>
        <v>1% - 2%</v>
      </c>
      <c r="BW28" s="125">
        <f t="shared" si="18"/>
        <v>0</v>
      </c>
      <c r="BX28" s="126">
        <f t="shared" si="19"/>
        <v>0</v>
      </c>
      <c r="BY28" s="125">
        <f t="shared" si="20"/>
        <v>0</v>
      </c>
      <c r="BZ28" s="146">
        <f t="shared" si="21"/>
        <v>0</v>
      </c>
      <c r="CA28" s="146">
        <f t="shared" si="22"/>
        <v>0</v>
      </c>
      <c r="CB28" s="127">
        <f t="shared" si="23"/>
        <v>0</v>
      </c>
      <c r="CC28" s="146" t="s">
        <v>397</v>
      </c>
      <c r="CD28" s="127">
        <v>0</v>
      </c>
      <c r="CE28" s="127" t="str">
        <f t="shared" si="24"/>
        <v>Apr-26</v>
      </c>
      <c r="CF28" s="127">
        <f t="shared" si="25"/>
        <v>106425</v>
      </c>
      <c r="CG28" s="127">
        <f t="shared" si="26"/>
        <v>108360</v>
      </c>
      <c r="CH28" s="127">
        <f t="shared" si="27"/>
        <v>1</v>
      </c>
      <c r="CI28" s="147" t="str">
        <f t="shared" si="28"/>
        <v>BG AHD</v>
      </c>
      <c r="CJ28" s="127">
        <v>0</v>
      </c>
      <c r="CK28" s="127">
        <v>0</v>
      </c>
      <c r="CL28" s="127">
        <f t="shared" si="29"/>
        <v>1935</v>
      </c>
      <c r="CM28" s="127">
        <f t="shared" si="30"/>
        <v>1935</v>
      </c>
      <c r="CN28" s="127">
        <f t="shared" si="31"/>
        <v>1935</v>
      </c>
      <c r="CO28" s="127">
        <f t="shared" si="32"/>
        <v>127864.79999999999</v>
      </c>
      <c r="CP28" s="127">
        <f t="shared" si="33"/>
        <v>-125581.5</v>
      </c>
      <c r="CQ28" s="127">
        <f t="shared" si="34"/>
        <v>0</v>
      </c>
      <c r="CR28" s="127">
        <f t="shared" si="35"/>
        <v>0</v>
      </c>
      <c r="CS28" s="127">
        <f t="shared" si="36"/>
        <v>2283.2999999999884</v>
      </c>
      <c r="CT28" s="127" t="s">
        <v>361</v>
      </c>
      <c r="CU28" s="127" t="s">
        <v>361</v>
      </c>
      <c r="CV28" s="142" t="str">
        <f t="shared" si="37"/>
        <v>AAMCB5608A</v>
      </c>
      <c r="CW28" s="142" t="str">
        <f t="shared" si="38"/>
        <v>AFDPY5902R</v>
      </c>
    </row>
    <row r="29" spans="2:101" s="149" customFormat="1" ht="11.85" customHeight="1" x14ac:dyDescent="0.25">
      <c r="B29" s="120" t="str">
        <f t="shared" si="0"/>
        <v>Q1</v>
      </c>
      <c r="C29" s="121" t="str">
        <f t="shared" si="1"/>
        <v>Apr-26</v>
      </c>
      <c r="D29" s="122">
        <v>46119</v>
      </c>
      <c r="E29" s="123" t="s">
        <v>3138</v>
      </c>
      <c r="F29" s="123" t="s">
        <v>196</v>
      </c>
      <c r="G29" s="123" t="s">
        <v>198</v>
      </c>
      <c r="H29" s="124" t="s">
        <v>3139</v>
      </c>
      <c r="I29" s="122">
        <v>46119</v>
      </c>
      <c r="J29" s="123" t="s">
        <v>3140</v>
      </c>
      <c r="K29" s="122">
        <v>46119</v>
      </c>
      <c r="L29" s="123" t="s">
        <v>199</v>
      </c>
      <c r="M29" s="123" t="s">
        <v>1941</v>
      </c>
      <c r="N29" s="550" t="s">
        <v>3130</v>
      </c>
      <c r="O29" s="123">
        <v>3290</v>
      </c>
      <c r="P29" s="551">
        <v>27.5</v>
      </c>
      <c r="Q29" s="125">
        <f t="shared" si="2"/>
        <v>90475</v>
      </c>
      <c r="R29" s="126">
        <v>0</v>
      </c>
      <c r="S29" s="125">
        <f t="shared" si="3"/>
        <v>3290</v>
      </c>
      <c r="T29" s="126">
        <v>0</v>
      </c>
      <c r="U29" s="127">
        <v>0</v>
      </c>
      <c r="V29" s="128">
        <v>0</v>
      </c>
      <c r="W29" s="127">
        <v>0</v>
      </c>
      <c r="X29" s="129">
        <v>0</v>
      </c>
      <c r="Y29" s="127">
        <v>0</v>
      </c>
      <c r="Z29" s="127">
        <v>0</v>
      </c>
      <c r="AA29" s="126">
        <v>0</v>
      </c>
      <c r="AB29" s="130">
        <f t="shared" si="4"/>
        <v>0</v>
      </c>
      <c r="AC29" s="129">
        <v>0</v>
      </c>
      <c r="AD29" s="125">
        <f t="shared" si="5"/>
        <v>27.5</v>
      </c>
      <c r="AE29" s="144">
        <v>0</v>
      </c>
      <c r="AF29" s="127">
        <v>0</v>
      </c>
      <c r="AG29" s="131">
        <v>0</v>
      </c>
      <c r="AH29" s="127">
        <v>0</v>
      </c>
      <c r="AI29" s="128">
        <v>0</v>
      </c>
      <c r="AJ29" s="127">
        <v>0</v>
      </c>
      <c r="AK29" s="127">
        <v>0</v>
      </c>
      <c r="AL29" s="127">
        <v>0</v>
      </c>
      <c r="AM29" s="132">
        <f t="shared" si="6"/>
        <v>90475</v>
      </c>
      <c r="AN29" s="133">
        <v>46119</v>
      </c>
      <c r="AO29" s="134" t="s">
        <v>3236</v>
      </c>
      <c r="AP29" s="135" t="s">
        <v>1937</v>
      </c>
      <c r="AQ29" s="136" t="s">
        <v>1938</v>
      </c>
      <c r="AR29" s="136" t="s">
        <v>1939</v>
      </c>
      <c r="AS29" s="123" t="s">
        <v>1424</v>
      </c>
      <c r="AT29" s="137" t="s">
        <v>1940</v>
      </c>
      <c r="AU29" s="137" t="s">
        <v>197</v>
      </c>
      <c r="AV29" s="138" t="s">
        <v>329</v>
      </c>
      <c r="AW29" s="136">
        <v>3290</v>
      </c>
      <c r="AX29" s="138">
        <v>28</v>
      </c>
      <c r="AY29" s="136">
        <f t="shared" si="7"/>
        <v>92120</v>
      </c>
      <c r="AZ29" s="139" t="b">
        <f t="shared" si="8"/>
        <v>1</v>
      </c>
      <c r="BA29" s="125">
        <v>0</v>
      </c>
      <c r="BB29" s="140">
        <f t="shared" si="9"/>
        <v>3290</v>
      </c>
      <c r="BC29" s="141">
        <v>0</v>
      </c>
      <c r="BD29" s="140" t="s">
        <v>107</v>
      </c>
      <c r="BE29" s="141">
        <v>0</v>
      </c>
      <c r="BF29" s="140">
        <v>0</v>
      </c>
      <c r="BG29" s="141">
        <v>0</v>
      </c>
      <c r="BH29" s="127">
        <v>0</v>
      </c>
      <c r="BI29" s="130">
        <v>0</v>
      </c>
      <c r="BJ29" s="128">
        <v>0</v>
      </c>
      <c r="BK29" s="125">
        <v>0</v>
      </c>
      <c r="BL29" s="136">
        <v>0</v>
      </c>
      <c r="BM29" s="127">
        <v>0</v>
      </c>
      <c r="BN29" s="142">
        <f t="shared" si="10"/>
        <v>0</v>
      </c>
      <c r="BO29" s="126">
        <f t="shared" si="11"/>
        <v>92120</v>
      </c>
      <c r="BP29" s="132">
        <f t="shared" si="12"/>
        <v>1645</v>
      </c>
      <c r="BQ29" s="141" t="str">
        <f t="shared" si="13"/>
        <v>Positive Margin</v>
      </c>
      <c r="BR29" s="143" t="s">
        <v>119</v>
      </c>
      <c r="BS29" s="125">
        <f t="shared" si="14"/>
        <v>1645</v>
      </c>
      <c r="BT29" s="144" t="str">
        <f t="shared" si="15"/>
        <v>Positive Margin at Inception</v>
      </c>
      <c r="BU29" s="145">
        <f t="shared" si="16"/>
        <v>1.7857142857142856E-2</v>
      </c>
      <c r="BV29" s="144" t="str">
        <f t="shared" si="17"/>
        <v>1% - 2%</v>
      </c>
      <c r="BW29" s="125">
        <f t="shared" si="18"/>
        <v>0</v>
      </c>
      <c r="BX29" s="126">
        <f t="shared" si="19"/>
        <v>0</v>
      </c>
      <c r="BY29" s="125">
        <f t="shared" si="20"/>
        <v>0</v>
      </c>
      <c r="BZ29" s="146">
        <f t="shared" si="21"/>
        <v>0</v>
      </c>
      <c r="CA29" s="146">
        <f t="shared" si="22"/>
        <v>0</v>
      </c>
      <c r="CB29" s="127">
        <f t="shared" si="23"/>
        <v>0</v>
      </c>
      <c r="CC29" s="146" t="s">
        <v>397</v>
      </c>
      <c r="CD29" s="127">
        <v>0</v>
      </c>
      <c r="CE29" s="127" t="str">
        <f t="shared" si="24"/>
        <v>Apr-26</v>
      </c>
      <c r="CF29" s="127">
        <f t="shared" si="25"/>
        <v>90475</v>
      </c>
      <c r="CG29" s="127">
        <f t="shared" si="26"/>
        <v>92120</v>
      </c>
      <c r="CH29" s="127">
        <f t="shared" si="27"/>
        <v>1</v>
      </c>
      <c r="CI29" s="147" t="str">
        <f t="shared" si="28"/>
        <v>BG AHD</v>
      </c>
      <c r="CJ29" s="127">
        <v>0</v>
      </c>
      <c r="CK29" s="127">
        <v>0</v>
      </c>
      <c r="CL29" s="127">
        <f t="shared" si="29"/>
        <v>1645</v>
      </c>
      <c r="CM29" s="127">
        <f t="shared" si="30"/>
        <v>1645</v>
      </c>
      <c r="CN29" s="127">
        <f t="shared" si="31"/>
        <v>1645</v>
      </c>
      <c r="CO29" s="127">
        <f t="shared" si="32"/>
        <v>108701.59999999999</v>
      </c>
      <c r="CP29" s="127">
        <f t="shared" si="33"/>
        <v>-106760.5</v>
      </c>
      <c r="CQ29" s="127">
        <f t="shared" si="34"/>
        <v>0</v>
      </c>
      <c r="CR29" s="127">
        <f t="shared" si="35"/>
        <v>0</v>
      </c>
      <c r="CS29" s="127">
        <f t="shared" si="36"/>
        <v>1941.0999999999913</v>
      </c>
      <c r="CT29" s="127" t="s">
        <v>361</v>
      </c>
      <c r="CU29" s="127" t="s">
        <v>361</v>
      </c>
      <c r="CV29" s="142" t="str">
        <f t="shared" si="37"/>
        <v>AAMCB5608A</v>
      </c>
      <c r="CW29" s="142" t="str">
        <f t="shared" si="38"/>
        <v>AFDPY5902R</v>
      </c>
    </row>
    <row r="30" spans="2:101" s="149" customFormat="1" ht="11.85" customHeight="1" x14ac:dyDescent="0.25">
      <c r="B30" s="120" t="str">
        <f t="shared" si="0"/>
        <v>Q1</v>
      </c>
      <c r="C30" s="121" t="str">
        <f t="shared" si="1"/>
        <v>Apr-26</v>
      </c>
      <c r="D30" s="122">
        <v>46119</v>
      </c>
      <c r="E30" s="123" t="s">
        <v>3141</v>
      </c>
      <c r="F30" s="123" t="s">
        <v>196</v>
      </c>
      <c r="G30" s="123" t="s">
        <v>198</v>
      </c>
      <c r="H30" s="124" t="s">
        <v>3142</v>
      </c>
      <c r="I30" s="122">
        <v>46119</v>
      </c>
      <c r="J30" s="123" t="s">
        <v>3143</v>
      </c>
      <c r="K30" s="122">
        <v>46119</v>
      </c>
      <c r="L30" s="123" t="s">
        <v>199</v>
      </c>
      <c r="M30" s="123" t="s">
        <v>2331</v>
      </c>
      <c r="N30" s="550" t="s">
        <v>271</v>
      </c>
      <c r="O30" s="123">
        <v>395</v>
      </c>
      <c r="P30" s="551">
        <v>100</v>
      </c>
      <c r="Q30" s="125">
        <f t="shared" si="2"/>
        <v>39500</v>
      </c>
      <c r="R30" s="126">
        <v>0</v>
      </c>
      <c r="S30" s="125">
        <f t="shared" si="3"/>
        <v>395</v>
      </c>
      <c r="T30" s="126">
        <v>0</v>
      </c>
      <c r="U30" s="127">
        <v>0</v>
      </c>
      <c r="V30" s="128">
        <v>0</v>
      </c>
      <c r="W30" s="127">
        <v>0</v>
      </c>
      <c r="X30" s="129">
        <v>0</v>
      </c>
      <c r="Y30" s="127">
        <v>0</v>
      </c>
      <c r="Z30" s="127">
        <v>0</v>
      </c>
      <c r="AA30" s="126">
        <v>0</v>
      </c>
      <c r="AB30" s="130">
        <f t="shared" si="4"/>
        <v>0</v>
      </c>
      <c r="AC30" s="129">
        <v>0</v>
      </c>
      <c r="AD30" s="125">
        <f t="shared" si="5"/>
        <v>100</v>
      </c>
      <c r="AE30" s="144">
        <v>0</v>
      </c>
      <c r="AF30" s="127">
        <v>0</v>
      </c>
      <c r="AG30" s="131">
        <v>0</v>
      </c>
      <c r="AH30" s="127">
        <v>0</v>
      </c>
      <c r="AI30" s="128">
        <v>0</v>
      </c>
      <c r="AJ30" s="127">
        <v>0</v>
      </c>
      <c r="AK30" s="127">
        <v>0</v>
      </c>
      <c r="AL30" s="127">
        <v>0</v>
      </c>
      <c r="AM30" s="132">
        <f t="shared" si="6"/>
        <v>39500</v>
      </c>
      <c r="AN30" s="133">
        <v>46119</v>
      </c>
      <c r="AO30" s="134" t="s">
        <v>3238</v>
      </c>
      <c r="AP30" s="135" t="s">
        <v>234</v>
      </c>
      <c r="AQ30" s="136" t="s">
        <v>235</v>
      </c>
      <c r="AR30" s="136" t="s">
        <v>236</v>
      </c>
      <c r="AS30" s="123" t="s">
        <v>239</v>
      </c>
      <c r="AT30" s="137" t="s">
        <v>238</v>
      </c>
      <c r="AU30" s="137" t="s">
        <v>197</v>
      </c>
      <c r="AV30" s="138" t="s">
        <v>329</v>
      </c>
      <c r="AW30" s="136">
        <v>395</v>
      </c>
      <c r="AX30" s="138">
        <v>120</v>
      </c>
      <c r="AY30" s="136">
        <f t="shared" si="7"/>
        <v>47400</v>
      </c>
      <c r="AZ30" s="139" t="b">
        <f t="shared" si="8"/>
        <v>1</v>
      </c>
      <c r="BA30" s="125">
        <v>0</v>
      </c>
      <c r="BB30" s="140">
        <f t="shared" si="9"/>
        <v>395</v>
      </c>
      <c r="BC30" s="141">
        <v>0</v>
      </c>
      <c r="BD30" s="140" t="s">
        <v>107</v>
      </c>
      <c r="BE30" s="141">
        <v>0</v>
      </c>
      <c r="BF30" s="140">
        <v>0</v>
      </c>
      <c r="BG30" s="141">
        <v>0</v>
      </c>
      <c r="BH30" s="127">
        <v>0</v>
      </c>
      <c r="BI30" s="130">
        <v>0</v>
      </c>
      <c r="BJ30" s="128">
        <v>0</v>
      </c>
      <c r="BK30" s="125">
        <v>0</v>
      </c>
      <c r="BL30" s="136">
        <v>0</v>
      </c>
      <c r="BM30" s="127">
        <v>0</v>
      </c>
      <c r="BN30" s="142">
        <f t="shared" si="10"/>
        <v>0</v>
      </c>
      <c r="BO30" s="126">
        <f t="shared" si="11"/>
        <v>47400</v>
      </c>
      <c r="BP30" s="132">
        <f t="shared" si="12"/>
        <v>7900</v>
      </c>
      <c r="BQ30" s="141" t="str">
        <f t="shared" si="13"/>
        <v>Positive Margin</v>
      </c>
      <c r="BR30" s="143" t="s">
        <v>119</v>
      </c>
      <c r="BS30" s="125">
        <f t="shared" si="14"/>
        <v>7900</v>
      </c>
      <c r="BT30" s="144" t="str">
        <f t="shared" si="15"/>
        <v>Positive Margin at Inception</v>
      </c>
      <c r="BU30" s="145">
        <f t="shared" si="16"/>
        <v>0.16666666666666666</v>
      </c>
      <c r="BV30" s="144" t="str">
        <f t="shared" si="17"/>
        <v>More than 2%</v>
      </c>
      <c r="BW30" s="125">
        <f t="shared" si="18"/>
        <v>0</v>
      </c>
      <c r="BX30" s="126">
        <f t="shared" si="19"/>
        <v>0</v>
      </c>
      <c r="BY30" s="125">
        <f t="shared" si="20"/>
        <v>0</v>
      </c>
      <c r="BZ30" s="146">
        <f t="shared" si="21"/>
        <v>0</v>
      </c>
      <c r="CA30" s="146">
        <f t="shared" si="22"/>
        <v>0</v>
      </c>
      <c r="CB30" s="127">
        <f t="shared" si="23"/>
        <v>0</v>
      </c>
      <c r="CC30" s="146" t="s">
        <v>397</v>
      </c>
      <c r="CD30" s="127">
        <v>0</v>
      </c>
      <c r="CE30" s="127" t="str">
        <f t="shared" si="24"/>
        <v>Apr-26</v>
      </c>
      <c r="CF30" s="127">
        <f t="shared" si="25"/>
        <v>39500</v>
      </c>
      <c r="CG30" s="127">
        <f t="shared" si="26"/>
        <v>47400</v>
      </c>
      <c r="CH30" s="127">
        <f t="shared" si="27"/>
        <v>1</v>
      </c>
      <c r="CI30" s="147" t="str">
        <f t="shared" si="28"/>
        <v>BG AHD</v>
      </c>
      <c r="CJ30" s="127">
        <v>0</v>
      </c>
      <c r="CK30" s="127">
        <v>0</v>
      </c>
      <c r="CL30" s="127">
        <f t="shared" si="29"/>
        <v>7900</v>
      </c>
      <c r="CM30" s="127">
        <f t="shared" si="30"/>
        <v>7900</v>
      </c>
      <c r="CN30" s="127">
        <f t="shared" si="31"/>
        <v>7900</v>
      </c>
      <c r="CO30" s="127">
        <f t="shared" si="32"/>
        <v>55932</v>
      </c>
      <c r="CP30" s="127">
        <f t="shared" si="33"/>
        <v>-46610</v>
      </c>
      <c r="CQ30" s="127">
        <f t="shared" si="34"/>
        <v>0</v>
      </c>
      <c r="CR30" s="127">
        <f t="shared" si="35"/>
        <v>0</v>
      </c>
      <c r="CS30" s="127">
        <f t="shared" si="36"/>
        <v>9322</v>
      </c>
      <c r="CT30" s="127" t="s">
        <v>361</v>
      </c>
      <c r="CU30" s="127" t="s">
        <v>361</v>
      </c>
      <c r="CV30" s="142" t="str">
        <f t="shared" si="37"/>
        <v>AAMCB5608A</v>
      </c>
      <c r="CW30" s="142" t="str">
        <f t="shared" si="38"/>
        <v>BJHPB3107J</v>
      </c>
    </row>
    <row r="31" spans="2:101" s="149" customFormat="1" ht="11.85" customHeight="1" x14ac:dyDescent="0.25">
      <c r="B31" s="120" t="str">
        <f t="shared" si="0"/>
        <v>Q1</v>
      </c>
      <c r="C31" s="121" t="str">
        <f t="shared" si="1"/>
        <v>Apr-26</v>
      </c>
      <c r="D31" s="122">
        <v>46121</v>
      </c>
      <c r="E31" s="123" t="s">
        <v>3144</v>
      </c>
      <c r="F31" s="123" t="s">
        <v>196</v>
      </c>
      <c r="G31" s="123" t="s">
        <v>198</v>
      </c>
      <c r="H31" s="124" t="s">
        <v>3145</v>
      </c>
      <c r="I31" s="122">
        <v>46121</v>
      </c>
      <c r="J31" s="123" t="s">
        <v>3146</v>
      </c>
      <c r="K31" s="122">
        <v>46121</v>
      </c>
      <c r="L31" s="123" t="s">
        <v>199</v>
      </c>
      <c r="M31" s="123" t="s">
        <v>399</v>
      </c>
      <c r="N31" s="550" t="s">
        <v>206</v>
      </c>
      <c r="O31" s="123">
        <v>344</v>
      </c>
      <c r="P31" s="551">
        <v>50</v>
      </c>
      <c r="Q31" s="125">
        <f t="shared" si="2"/>
        <v>17200</v>
      </c>
      <c r="R31" s="126">
        <v>0</v>
      </c>
      <c r="S31" s="125">
        <f t="shared" si="3"/>
        <v>344</v>
      </c>
      <c r="T31" s="126">
        <v>0</v>
      </c>
      <c r="U31" s="127">
        <v>0</v>
      </c>
      <c r="V31" s="128">
        <v>0</v>
      </c>
      <c r="W31" s="127">
        <v>0</v>
      </c>
      <c r="X31" s="129">
        <v>0</v>
      </c>
      <c r="Y31" s="127">
        <v>0</v>
      </c>
      <c r="Z31" s="127">
        <v>0</v>
      </c>
      <c r="AA31" s="126">
        <v>0</v>
      </c>
      <c r="AB31" s="130">
        <f t="shared" si="4"/>
        <v>0</v>
      </c>
      <c r="AC31" s="129">
        <v>0</v>
      </c>
      <c r="AD31" s="125">
        <f t="shared" si="5"/>
        <v>50</v>
      </c>
      <c r="AE31" s="144">
        <v>0</v>
      </c>
      <c r="AF31" s="127">
        <v>0</v>
      </c>
      <c r="AG31" s="131">
        <v>0</v>
      </c>
      <c r="AH31" s="127">
        <v>0</v>
      </c>
      <c r="AI31" s="128">
        <v>0</v>
      </c>
      <c r="AJ31" s="127">
        <v>0</v>
      </c>
      <c r="AK31" s="127">
        <v>0</v>
      </c>
      <c r="AL31" s="127">
        <v>0</v>
      </c>
      <c r="AM31" s="132">
        <f t="shared" si="6"/>
        <v>17200</v>
      </c>
      <c r="AN31" s="133">
        <v>46121</v>
      </c>
      <c r="AO31" s="134" t="s">
        <v>3241</v>
      </c>
      <c r="AP31" s="135" t="s">
        <v>234</v>
      </c>
      <c r="AQ31" s="136" t="s">
        <v>235</v>
      </c>
      <c r="AR31" s="136" t="s">
        <v>236</v>
      </c>
      <c r="AS31" s="123" t="s">
        <v>237</v>
      </c>
      <c r="AT31" s="137" t="s">
        <v>238</v>
      </c>
      <c r="AU31" s="137" t="s">
        <v>197</v>
      </c>
      <c r="AV31" s="138" t="s">
        <v>329</v>
      </c>
      <c r="AW31" s="136">
        <v>344</v>
      </c>
      <c r="AX31" s="138">
        <v>70</v>
      </c>
      <c r="AY31" s="136">
        <f t="shared" si="7"/>
        <v>24080</v>
      </c>
      <c r="AZ31" s="139" t="b">
        <f t="shared" si="8"/>
        <v>1</v>
      </c>
      <c r="BA31" s="125">
        <v>0</v>
      </c>
      <c r="BB31" s="140">
        <f t="shared" si="9"/>
        <v>344</v>
      </c>
      <c r="BC31" s="141">
        <v>0</v>
      </c>
      <c r="BD31" s="140" t="s">
        <v>107</v>
      </c>
      <c r="BE31" s="141">
        <v>0</v>
      </c>
      <c r="BF31" s="140">
        <v>0</v>
      </c>
      <c r="BG31" s="141">
        <v>0</v>
      </c>
      <c r="BH31" s="127">
        <v>0</v>
      </c>
      <c r="BI31" s="130">
        <v>0</v>
      </c>
      <c r="BJ31" s="128">
        <v>0</v>
      </c>
      <c r="BK31" s="125">
        <v>0</v>
      </c>
      <c r="BL31" s="136">
        <v>0</v>
      </c>
      <c r="BM31" s="127">
        <v>0</v>
      </c>
      <c r="BN31" s="142">
        <f t="shared" si="10"/>
        <v>0</v>
      </c>
      <c r="BO31" s="126">
        <f t="shared" si="11"/>
        <v>24080</v>
      </c>
      <c r="BP31" s="132">
        <f t="shared" si="12"/>
        <v>6880</v>
      </c>
      <c r="BQ31" s="141" t="str">
        <f t="shared" si="13"/>
        <v>Positive Margin</v>
      </c>
      <c r="BR31" s="143" t="s">
        <v>119</v>
      </c>
      <c r="BS31" s="125">
        <f t="shared" si="14"/>
        <v>6880</v>
      </c>
      <c r="BT31" s="144" t="str">
        <f t="shared" si="15"/>
        <v>Positive Margin at Inception</v>
      </c>
      <c r="BU31" s="145">
        <f t="shared" si="16"/>
        <v>0.2857142857142857</v>
      </c>
      <c r="BV31" s="144" t="str">
        <f t="shared" si="17"/>
        <v>More than 2%</v>
      </c>
      <c r="BW31" s="125">
        <f t="shared" si="18"/>
        <v>0</v>
      </c>
      <c r="BX31" s="126">
        <f t="shared" si="19"/>
        <v>0</v>
      </c>
      <c r="BY31" s="125">
        <f t="shared" si="20"/>
        <v>0</v>
      </c>
      <c r="BZ31" s="146">
        <f t="shared" si="21"/>
        <v>0</v>
      </c>
      <c r="CA31" s="146">
        <f t="shared" si="22"/>
        <v>0</v>
      </c>
      <c r="CB31" s="127">
        <f t="shared" si="23"/>
        <v>0</v>
      </c>
      <c r="CC31" s="146" t="s">
        <v>397</v>
      </c>
      <c r="CD31" s="127">
        <v>0</v>
      </c>
      <c r="CE31" s="127" t="str">
        <f t="shared" si="24"/>
        <v>Apr-26</v>
      </c>
      <c r="CF31" s="127">
        <f t="shared" si="25"/>
        <v>17200</v>
      </c>
      <c r="CG31" s="127">
        <f t="shared" si="26"/>
        <v>24080</v>
      </c>
      <c r="CH31" s="127">
        <f t="shared" si="27"/>
        <v>2</v>
      </c>
      <c r="CI31" s="147" t="str">
        <f t="shared" si="28"/>
        <v>BG AHD</v>
      </c>
      <c r="CJ31" s="127">
        <v>0</v>
      </c>
      <c r="CK31" s="127">
        <v>0</v>
      </c>
      <c r="CL31" s="127">
        <f t="shared" si="29"/>
        <v>6880</v>
      </c>
      <c r="CM31" s="127">
        <f t="shared" si="30"/>
        <v>6880</v>
      </c>
      <c r="CN31" s="127">
        <f t="shared" si="31"/>
        <v>6880</v>
      </c>
      <c r="CO31" s="127">
        <f t="shared" si="32"/>
        <v>28414.399999999998</v>
      </c>
      <c r="CP31" s="127">
        <f t="shared" si="33"/>
        <v>-20296</v>
      </c>
      <c r="CQ31" s="127">
        <f t="shared" si="34"/>
        <v>0</v>
      </c>
      <c r="CR31" s="127">
        <f t="shared" si="35"/>
        <v>0</v>
      </c>
      <c r="CS31" s="127">
        <f t="shared" si="36"/>
        <v>8118.3999999999978</v>
      </c>
      <c r="CT31" s="127" t="s">
        <v>361</v>
      </c>
      <c r="CU31" s="127" t="s">
        <v>361</v>
      </c>
      <c r="CV31" s="142" t="str">
        <f t="shared" si="37"/>
        <v>AAMCB5608A</v>
      </c>
      <c r="CW31" s="142" t="str">
        <f t="shared" si="38"/>
        <v>BJHPB3107J</v>
      </c>
    </row>
    <row r="32" spans="2:101" s="149" customFormat="1" ht="11.85" customHeight="1" x14ac:dyDescent="0.25">
      <c r="B32" s="120" t="str">
        <f t="shared" si="0"/>
        <v>Q1</v>
      </c>
      <c r="C32" s="121" t="str">
        <f t="shared" si="1"/>
        <v>Apr-26</v>
      </c>
      <c r="D32" s="122">
        <v>46121</v>
      </c>
      <c r="E32" s="123" t="s">
        <v>3144</v>
      </c>
      <c r="F32" s="123" t="s">
        <v>196</v>
      </c>
      <c r="G32" s="123" t="s">
        <v>198</v>
      </c>
      <c r="H32" s="124" t="s">
        <v>3145</v>
      </c>
      <c r="I32" s="122">
        <v>46121</v>
      </c>
      <c r="J32" s="123" t="s">
        <v>3146</v>
      </c>
      <c r="K32" s="122">
        <v>46121</v>
      </c>
      <c r="L32" s="123" t="s">
        <v>199</v>
      </c>
      <c r="M32" s="123" t="s">
        <v>399</v>
      </c>
      <c r="N32" s="550" t="s">
        <v>243</v>
      </c>
      <c r="O32" s="123">
        <v>160</v>
      </c>
      <c r="P32" s="551">
        <v>60</v>
      </c>
      <c r="Q32" s="125">
        <f t="shared" si="2"/>
        <v>9600</v>
      </c>
      <c r="R32" s="126">
        <v>0</v>
      </c>
      <c r="S32" s="125">
        <f t="shared" si="3"/>
        <v>160</v>
      </c>
      <c r="T32" s="126">
        <v>0</v>
      </c>
      <c r="U32" s="127">
        <v>0</v>
      </c>
      <c r="V32" s="128">
        <v>0</v>
      </c>
      <c r="W32" s="127">
        <v>0</v>
      </c>
      <c r="X32" s="129">
        <v>0</v>
      </c>
      <c r="Y32" s="127">
        <v>0</v>
      </c>
      <c r="Z32" s="127">
        <v>0</v>
      </c>
      <c r="AA32" s="126">
        <v>0</v>
      </c>
      <c r="AB32" s="130">
        <f t="shared" si="4"/>
        <v>0</v>
      </c>
      <c r="AC32" s="129">
        <v>0</v>
      </c>
      <c r="AD32" s="125">
        <f t="shared" si="5"/>
        <v>60</v>
      </c>
      <c r="AE32" s="144">
        <v>0</v>
      </c>
      <c r="AF32" s="127">
        <v>0</v>
      </c>
      <c r="AG32" s="131">
        <v>0</v>
      </c>
      <c r="AH32" s="127">
        <v>0</v>
      </c>
      <c r="AI32" s="128">
        <v>0</v>
      </c>
      <c r="AJ32" s="127">
        <v>0</v>
      </c>
      <c r="AK32" s="127">
        <v>0</v>
      </c>
      <c r="AL32" s="127">
        <v>0</v>
      </c>
      <c r="AM32" s="132">
        <f t="shared" si="6"/>
        <v>9600</v>
      </c>
      <c r="AN32" s="133">
        <v>46121</v>
      </c>
      <c r="AO32" s="134" t="s">
        <v>3241</v>
      </c>
      <c r="AP32" s="135" t="s">
        <v>234</v>
      </c>
      <c r="AQ32" s="136" t="s">
        <v>235</v>
      </c>
      <c r="AR32" s="136" t="s">
        <v>236</v>
      </c>
      <c r="AS32" s="123" t="s">
        <v>237</v>
      </c>
      <c r="AT32" s="137" t="s">
        <v>238</v>
      </c>
      <c r="AU32" s="137" t="s">
        <v>197</v>
      </c>
      <c r="AV32" s="138" t="s">
        <v>329</v>
      </c>
      <c r="AW32" s="136">
        <v>160</v>
      </c>
      <c r="AX32" s="138">
        <v>80</v>
      </c>
      <c r="AY32" s="136">
        <f t="shared" si="7"/>
        <v>12800</v>
      </c>
      <c r="AZ32" s="139" t="b">
        <f t="shared" si="8"/>
        <v>1</v>
      </c>
      <c r="BA32" s="125">
        <v>0</v>
      </c>
      <c r="BB32" s="140">
        <f t="shared" si="9"/>
        <v>160</v>
      </c>
      <c r="BC32" s="141">
        <v>0</v>
      </c>
      <c r="BD32" s="140" t="s">
        <v>107</v>
      </c>
      <c r="BE32" s="141">
        <v>0</v>
      </c>
      <c r="BF32" s="140">
        <v>0</v>
      </c>
      <c r="BG32" s="141">
        <v>0</v>
      </c>
      <c r="BH32" s="127">
        <v>0</v>
      </c>
      <c r="BI32" s="130">
        <v>0</v>
      </c>
      <c r="BJ32" s="128">
        <v>0</v>
      </c>
      <c r="BK32" s="125">
        <v>0</v>
      </c>
      <c r="BL32" s="136">
        <v>0</v>
      </c>
      <c r="BM32" s="127">
        <v>0</v>
      </c>
      <c r="BN32" s="142">
        <f t="shared" si="10"/>
        <v>0</v>
      </c>
      <c r="BO32" s="126">
        <f t="shared" si="11"/>
        <v>12800</v>
      </c>
      <c r="BP32" s="132">
        <f t="shared" si="12"/>
        <v>3200</v>
      </c>
      <c r="BQ32" s="141" t="str">
        <f t="shared" si="13"/>
        <v>Positive Margin</v>
      </c>
      <c r="BR32" s="143" t="s">
        <v>119</v>
      </c>
      <c r="BS32" s="125">
        <f t="shared" si="14"/>
        <v>3200</v>
      </c>
      <c r="BT32" s="144" t="str">
        <f t="shared" si="15"/>
        <v>Positive Margin at Inception</v>
      </c>
      <c r="BU32" s="145">
        <f t="shared" si="16"/>
        <v>0.25</v>
      </c>
      <c r="BV32" s="144" t="str">
        <f t="shared" si="17"/>
        <v>More than 2%</v>
      </c>
      <c r="BW32" s="125">
        <f t="shared" si="18"/>
        <v>0</v>
      </c>
      <c r="BX32" s="126">
        <f t="shared" si="19"/>
        <v>0</v>
      </c>
      <c r="BY32" s="125">
        <f t="shared" si="20"/>
        <v>0</v>
      </c>
      <c r="BZ32" s="146">
        <f t="shared" si="21"/>
        <v>0</v>
      </c>
      <c r="CA32" s="146">
        <f t="shared" si="22"/>
        <v>0</v>
      </c>
      <c r="CB32" s="127">
        <f t="shared" si="23"/>
        <v>0</v>
      </c>
      <c r="CC32" s="146" t="s">
        <v>397</v>
      </c>
      <c r="CD32" s="127">
        <v>0</v>
      </c>
      <c r="CE32" s="127" t="str">
        <f t="shared" si="24"/>
        <v>Apr-26</v>
      </c>
      <c r="CF32" s="127">
        <f t="shared" si="25"/>
        <v>9600</v>
      </c>
      <c r="CG32" s="127">
        <f t="shared" si="26"/>
        <v>12800</v>
      </c>
      <c r="CH32" s="127">
        <f t="shared" si="27"/>
        <v>2</v>
      </c>
      <c r="CI32" s="147" t="str">
        <f t="shared" si="28"/>
        <v>BG AHD</v>
      </c>
      <c r="CJ32" s="127">
        <v>0</v>
      </c>
      <c r="CK32" s="127">
        <v>0</v>
      </c>
      <c r="CL32" s="127">
        <f t="shared" si="29"/>
        <v>3200</v>
      </c>
      <c r="CM32" s="127">
        <f t="shared" si="30"/>
        <v>3200</v>
      </c>
      <c r="CN32" s="127">
        <f t="shared" si="31"/>
        <v>3200</v>
      </c>
      <c r="CO32" s="127">
        <f t="shared" si="32"/>
        <v>15104</v>
      </c>
      <c r="CP32" s="127">
        <f t="shared" si="33"/>
        <v>-11328</v>
      </c>
      <c r="CQ32" s="127">
        <f t="shared" si="34"/>
        <v>0</v>
      </c>
      <c r="CR32" s="127">
        <f t="shared" si="35"/>
        <v>0</v>
      </c>
      <c r="CS32" s="127">
        <f t="shared" si="36"/>
        <v>3776</v>
      </c>
      <c r="CT32" s="127" t="s">
        <v>361</v>
      </c>
      <c r="CU32" s="127" t="s">
        <v>361</v>
      </c>
      <c r="CV32" s="142" t="str">
        <f t="shared" si="37"/>
        <v>AAMCB5608A</v>
      </c>
      <c r="CW32" s="142" t="str">
        <f t="shared" si="38"/>
        <v>BJHPB3107J</v>
      </c>
    </row>
    <row r="33" spans="2:101" s="149" customFormat="1" ht="11.85" customHeight="1" x14ac:dyDescent="0.25">
      <c r="B33" s="120" t="str">
        <f t="shared" si="0"/>
        <v>Q1</v>
      </c>
      <c r="C33" s="121" t="str">
        <f t="shared" si="1"/>
        <v>Apr-26</v>
      </c>
      <c r="D33" s="122">
        <v>46121</v>
      </c>
      <c r="E33" s="123" t="s">
        <v>3144</v>
      </c>
      <c r="F33" s="123" t="s">
        <v>196</v>
      </c>
      <c r="G33" s="123" t="s">
        <v>198</v>
      </c>
      <c r="H33" s="124" t="s">
        <v>3145</v>
      </c>
      <c r="I33" s="122">
        <v>46121</v>
      </c>
      <c r="J33" s="123" t="s">
        <v>3146</v>
      </c>
      <c r="K33" s="122">
        <v>46121</v>
      </c>
      <c r="L33" s="123" t="s">
        <v>199</v>
      </c>
      <c r="M33" s="123" t="s">
        <v>399</v>
      </c>
      <c r="N33" s="550" t="s">
        <v>207</v>
      </c>
      <c r="O33" s="123">
        <v>80</v>
      </c>
      <c r="P33" s="551">
        <v>6.5</v>
      </c>
      <c r="Q33" s="125">
        <f t="shared" si="2"/>
        <v>520</v>
      </c>
      <c r="R33" s="126">
        <v>0</v>
      </c>
      <c r="S33" s="125">
        <f t="shared" si="3"/>
        <v>80</v>
      </c>
      <c r="T33" s="126">
        <v>0</v>
      </c>
      <c r="U33" s="127">
        <v>0</v>
      </c>
      <c r="V33" s="128">
        <v>0</v>
      </c>
      <c r="W33" s="127">
        <v>0</v>
      </c>
      <c r="X33" s="129">
        <v>0</v>
      </c>
      <c r="Y33" s="127">
        <v>0</v>
      </c>
      <c r="Z33" s="127">
        <v>0</v>
      </c>
      <c r="AA33" s="126">
        <v>0</v>
      </c>
      <c r="AB33" s="130">
        <f t="shared" si="4"/>
        <v>0</v>
      </c>
      <c r="AC33" s="129">
        <v>0</v>
      </c>
      <c r="AD33" s="125">
        <f t="shared" si="5"/>
        <v>6.5</v>
      </c>
      <c r="AE33" s="144">
        <v>0</v>
      </c>
      <c r="AF33" s="127">
        <v>0</v>
      </c>
      <c r="AG33" s="131">
        <v>0</v>
      </c>
      <c r="AH33" s="127">
        <v>0</v>
      </c>
      <c r="AI33" s="128">
        <v>0</v>
      </c>
      <c r="AJ33" s="127">
        <v>0</v>
      </c>
      <c r="AK33" s="127">
        <v>0</v>
      </c>
      <c r="AL33" s="127">
        <v>0</v>
      </c>
      <c r="AM33" s="132">
        <f t="shared" si="6"/>
        <v>520</v>
      </c>
      <c r="AN33" s="133">
        <v>46121</v>
      </c>
      <c r="AO33" s="134" t="s">
        <v>3241</v>
      </c>
      <c r="AP33" s="135" t="s">
        <v>234</v>
      </c>
      <c r="AQ33" s="136" t="s">
        <v>235</v>
      </c>
      <c r="AR33" s="136" t="s">
        <v>236</v>
      </c>
      <c r="AS33" s="123" t="s">
        <v>237</v>
      </c>
      <c r="AT33" s="137" t="s">
        <v>238</v>
      </c>
      <c r="AU33" s="137" t="s">
        <v>197</v>
      </c>
      <c r="AV33" s="138" t="s">
        <v>329</v>
      </c>
      <c r="AW33" s="136">
        <v>80</v>
      </c>
      <c r="AX33" s="138">
        <v>8</v>
      </c>
      <c r="AY33" s="136">
        <f t="shared" si="7"/>
        <v>640</v>
      </c>
      <c r="AZ33" s="139" t="b">
        <f t="shared" si="8"/>
        <v>1</v>
      </c>
      <c r="BA33" s="125">
        <v>0</v>
      </c>
      <c r="BB33" s="140">
        <f t="shared" si="9"/>
        <v>80</v>
      </c>
      <c r="BC33" s="141">
        <v>0</v>
      </c>
      <c r="BD33" s="140" t="s">
        <v>107</v>
      </c>
      <c r="BE33" s="141">
        <v>0</v>
      </c>
      <c r="BF33" s="140">
        <v>0</v>
      </c>
      <c r="BG33" s="141">
        <v>0</v>
      </c>
      <c r="BH33" s="127">
        <v>0</v>
      </c>
      <c r="BI33" s="130">
        <v>0</v>
      </c>
      <c r="BJ33" s="128">
        <v>0</v>
      </c>
      <c r="BK33" s="125">
        <v>0</v>
      </c>
      <c r="BL33" s="136">
        <v>0</v>
      </c>
      <c r="BM33" s="127">
        <v>0</v>
      </c>
      <c r="BN33" s="142">
        <f t="shared" si="10"/>
        <v>0</v>
      </c>
      <c r="BO33" s="126">
        <f t="shared" si="11"/>
        <v>640</v>
      </c>
      <c r="BP33" s="132">
        <f t="shared" si="12"/>
        <v>120</v>
      </c>
      <c r="BQ33" s="141" t="str">
        <f t="shared" si="13"/>
        <v>Positive Margin</v>
      </c>
      <c r="BR33" s="143" t="s">
        <v>119</v>
      </c>
      <c r="BS33" s="125">
        <f t="shared" si="14"/>
        <v>120</v>
      </c>
      <c r="BT33" s="144" t="str">
        <f t="shared" si="15"/>
        <v>Positive Margin at Inception</v>
      </c>
      <c r="BU33" s="145">
        <f t="shared" si="16"/>
        <v>0.1875</v>
      </c>
      <c r="BV33" s="144" t="str">
        <f t="shared" si="17"/>
        <v>More than 2%</v>
      </c>
      <c r="BW33" s="125">
        <f t="shared" si="18"/>
        <v>0</v>
      </c>
      <c r="BX33" s="126">
        <f t="shared" si="19"/>
        <v>0</v>
      </c>
      <c r="BY33" s="125">
        <f t="shared" si="20"/>
        <v>0</v>
      </c>
      <c r="BZ33" s="146">
        <f t="shared" si="21"/>
        <v>0</v>
      </c>
      <c r="CA33" s="146">
        <f t="shared" si="22"/>
        <v>0</v>
      </c>
      <c r="CB33" s="127">
        <f t="shared" si="23"/>
        <v>0</v>
      </c>
      <c r="CC33" s="146" t="s">
        <v>397</v>
      </c>
      <c r="CD33" s="127">
        <v>0</v>
      </c>
      <c r="CE33" s="127" t="str">
        <f t="shared" si="24"/>
        <v>Apr-26</v>
      </c>
      <c r="CF33" s="127">
        <f t="shared" si="25"/>
        <v>520</v>
      </c>
      <c r="CG33" s="127">
        <f t="shared" si="26"/>
        <v>640</v>
      </c>
      <c r="CH33" s="127">
        <f t="shared" si="27"/>
        <v>2</v>
      </c>
      <c r="CI33" s="147" t="str">
        <f t="shared" si="28"/>
        <v>BG AHD</v>
      </c>
      <c r="CJ33" s="127">
        <v>0</v>
      </c>
      <c r="CK33" s="127">
        <v>0</v>
      </c>
      <c r="CL33" s="127">
        <f t="shared" si="29"/>
        <v>120</v>
      </c>
      <c r="CM33" s="127">
        <f t="shared" si="30"/>
        <v>120</v>
      </c>
      <c r="CN33" s="127">
        <f t="shared" si="31"/>
        <v>120</v>
      </c>
      <c r="CO33" s="127">
        <f t="shared" si="32"/>
        <v>755.19999999999993</v>
      </c>
      <c r="CP33" s="127">
        <f t="shared" si="33"/>
        <v>-613.6</v>
      </c>
      <c r="CQ33" s="127">
        <f t="shared" si="34"/>
        <v>0</v>
      </c>
      <c r="CR33" s="127">
        <f t="shared" si="35"/>
        <v>0</v>
      </c>
      <c r="CS33" s="127">
        <f t="shared" si="36"/>
        <v>141.59999999999991</v>
      </c>
      <c r="CT33" s="127" t="s">
        <v>361</v>
      </c>
      <c r="CU33" s="127" t="s">
        <v>361</v>
      </c>
      <c r="CV33" s="142" t="str">
        <f t="shared" si="37"/>
        <v>AAMCB5608A</v>
      </c>
      <c r="CW33" s="142" t="str">
        <f t="shared" si="38"/>
        <v>BJHPB3107J</v>
      </c>
    </row>
    <row r="34" spans="2:101" s="149" customFormat="1" ht="11.85" customHeight="1" x14ac:dyDescent="0.25">
      <c r="B34" s="120" t="str">
        <f t="shared" si="0"/>
        <v>Q1</v>
      </c>
      <c r="C34" s="121" t="str">
        <f t="shared" si="1"/>
        <v>Apr-26</v>
      </c>
      <c r="D34" s="122">
        <v>46121</v>
      </c>
      <c r="E34" s="123" t="s">
        <v>3147</v>
      </c>
      <c r="F34" s="123" t="s">
        <v>196</v>
      </c>
      <c r="G34" s="123" t="s">
        <v>198</v>
      </c>
      <c r="H34" s="124" t="s">
        <v>3148</v>
      </c>
      <c r="I34" s="122">
        <v>46121</v>
      </c>
      <c r="J34" s="123" t="s">
        <v>3149</v>
      </c>
      <c r="K34" s="122">
        <v>46121</v>
      </c>
      <c r="L34" s="123" t="s">
        <v>199</v>
      </c>
      <c r="M34" s="123" t="s">
        <v>3150</v>
      </c>
      <c r="N34" s="550" t="s">
        <v>204</v>
      </c>
      <c r="O34" s="123">
        <v>7790</v>
      </c>
      <c r="P34" s="551">
        <v>10</v>
      </c>
      <c r="Q34" s="125">
        <f t="shared" si="2"/>
        <v>77900</v>
      </c>
      <c r="R34" s="126">
        <v>0</v>
      </c>
      <c r="S34" s="125">
        <f t="shared" si="3"/>
        <v>7790</v>
      </c>
      <c r="T34" s="126">
        <v>0</v>
      </c>
      <c r="U34" s="127">
        <v>0</v>
      </c>
      <c r="V34" s="128">
        <v>0</v>
      </c>
      <c r="W34" s="127">
        <v>0</v>
      </c>
      <c r="X34" s="129">
        <v>0</v>
      </c>
      <c r="Y34" s="127">
        <v>0</v>
      </c>
      <c r="Z34" s="127">
        <v>0</v>
      </c>
      <c r="AA34" s="126">
        <v>0</v>
      </c>
      <c r="AB34" s="130">
        <f t="shared" si="4"/>
        <v>0</v>
      </c>
      <c r="AC34" s="129">
        <v>0</v>
      </c>
      <c r="AD34" s="125">
        <f t="shared" si="5"/>
        <v>10</v>
      </c>
      <c r="AE34" s="144">
        <v>0</v>
      </c>
      <c r="AF34" s="127">
        <v>0</v>
      </c>
      <c r="AG34" s="131">
        <v>0</v>
      </c>
      <c r="AH34" s="127">
        <v>0</v>
      </c>
      <c r="AI34" s="128">
        <v>0</v>
      </c>
      <c r="AJ34" s="127">
        <v>0</v>
      </c>
      <c r="AK34" s="127">
        <v>0</v>
      </c>
      <c r="AL34" s="127">
        <v>0</v>
      </c>
      <c r="AM34" s="132">
        <f t="shared" si="6"/>
        <v>77900</v>
      </c>
      <c r="AN34" s="133">
        <v>46121</v>
      </c>
      <c r="AO34" s="134" t="s">
        <v>3243</v>
      </c>
      <c r="AP34" s="135" t="s">
        <v>234</v>
      </c>
      <c r="AQ34" s="136" t="s">
        <v>235</v>
      </c>
      <c r="AR34" s="136" t="s">
        <v>236</v>
      </c>
      <c r="AS34" s="123" t="s">
        <v>237</v>
      </c>
      <c r="AT34" s="137" t="s">
        <v>238</v>
      </c>
      <c r="AU34" s="137" t="s">
        <v>197</v>
      </c>
      <c r="AV34" s="138" t="s">
        <v>329</v>
      </c>
      <c r="AW34" s="136">
        <v>7790</v>
      </c>
      <c r="AX34" s="138">
        <v>12</v>
      </c>
      <c r="AY34" s="136">
        <f t="shared" si="7"/>
        <v>93480</v>
      </c>
      <c r="AZ34" s="139" t="b">
        <f t="shared" si="8"/>
        <v>1</v>
      </c>
      <c r="BA34" s="125">
        <v>0</v>
      </c>
      <c r="BB34" s="140">
        <f t="shared" si="9"/>
        <v>7790</v>
      </c>
      <c r="BC34" s="141">
        <v>0</v>
      </c>
      <c r="BD34" s="140" t="s">
        <v>107</v>
      </c>
      <c r="BE34" s="141">
        <v>0</v>
      </c>
      <c r="BF34" s="140">
        <v>0</v>
      </c>
      <c r="BG34" s="141">
        <v>0</v>
      </c>
      <c r="BH34" s="127">
        <v>0</v>
      </c>
      <c r="BI34" s="130">
        <v>0</v>
      </c>
      <c r="BJ34" s="128">
        <v>0</v>
      </c>
      <c r="BK34" s="125">
        <v>0</v>
      </c>
      <c r="BL34" s="136">
        <v>0</v>
      </c>
      <c r="BM34" s="127">
        <v>0</v>
      </c>
      <c r="BN34" s="142">
        <f t="shared" si="10"/>
        <v>0</v>
      </c>
      <c r="BO34" s="126">
        <f t="shared" si="11"/>
        <v>93480</v>
      </c>
      <c r="BP34" s="132">
        <f t="shared" si="12"/>
        <v>15580</v>
      </c>
      <c r="BQ34" s="141" t="str">
        <f t="shared" si="13"/>
        <v>Positive Margin</v>
      </c>
      <c r="BR34" s="143" t="s">
        <v>119</v>
      </c>
      <c r="BS34" s="125">
        <f t="shared" si="14"/>
        <v>15580</v>
      </c>
      <c r="BT34" s="144" t="str">
        <f t="shared" si="15"/>
        <v>Positive Margin at Inception</v>
      </c>
      <c r="BU34" s="145">
        <f t="shared" si="16"/>
        <v>0.16666666666666666</v>
      </c>
      <c r="BV34" s="144" t="str">
        <f t="shared" si="17"/>
        <v>More than 2%</v>
      </c>
      <c r="BW34" s="125">
        <f t="shared" si="18"/>
        <v>0</v>
      </c>
      <c r="BX34" s="126">
        <f t="shared" si="19"/>
        <v>0</v>
      </c>
      <c r="BY34" s="125">
        <f t="shared" si="20"/>
        <v>0</v>
      </c>
      <c r="BZ34" s="146">
        <f t="shared" si="21"/>
        <v>0</v>
      </c>
      <c r="CA34" s="146">
        <f t="shared" si="22"/>
        <v>0</v>
      </c>
      <c r="CB34" s="127">
        <f t="shared" si="23"/>
        <v>0</v>
      </c>
      <c r="CC34" s="146" t="s">
        <v>397</v>
      </c>
      <c r="CD34" s="127">
        <v>0</v>
      </c>
      <c r="CE34" s="127" t="str">
        <f t="shared" si="24"/>
        <v>Apr-26</v>
      </c>
      <c r="CF34" s="127">
        <f t="shared" si="25"/>
        <v>77900</v>
      </c>
      <c r="CG34" s="127">
        <f t="shared" si="26"/>
        <v>93480</v>
      </c>
      <c r="CH34" s="127">
        <f t="shared" si="27"/>
        <v>2</v>
      </c>
      <c r="CI34" s="147" t="str">
        <f t="shared" si="28"/>
        <v>BG AHD</v>
      </c>
      <c r="CJ34" s="127">
        <v>0</v>
      </c>
      <c r="CK34" s="127">
        <v>0</v>
      </c>
      <c r="CL34" s="127">
        <f t="shared" si="29"/>
        <v>15580</v>
      </c>
      <c r="CM34" s="127">
        <f t="shared" si="30"/>
        <v>15580</v>
      </c>
      <c r="CN34" s="127">
        <f t="shared" si="31"/>
        <v>15580</v>
      </c>
      <c r="CO34" s="127">
        <f t="shared" si="32"/>
        <v>110306.4</v>
      </c>
      <c r="CP34" s="127">
        <f t="shared" si="33"/>
        <v>-91922</v>
      </c>
      <c r="CQ34" s="127">
        <f t="shared" si="34"/>
        <v>0</v>
      </c>
      <c r="CR34" s="127">
        <f t="shared" si="35"/>
        <v>0</v>
      </c>
      <c r="CS34" s="127">
        <f t="shared" si="36"/>
        <v>18384.399999999994</v>
      </c>
      <c r="CT34" s="127" t="s">
        <v>361</v>
      </c>
      <c r="CU34" s="127" t="s">
        <v>361</v>
      </c>
      <c r="CV34" s="142" t="str">
        <f t="shared" si="37"/>
        <v>AAMCB5608A</v>
      </c>
      <c r="CW34" s="142" t="str">
        <f t="shared" si="38"/>
        <v>BJHPB3107J</v>
      </c>
    </row>
    <row r="35" spans="2:101" s="149" customFormat="1" ht="11.85" customHeight="1" x14ac:dyDescent="0.25">
      <c r="B35" s="120" t="str">
        <f t="shared" si="0"/>
        <v>Q1</v>
      </c>
      <c r="C35" s="121" t="str">
        <f t="shared" si="1"/>
        <v>Apr-26</v>
      </c>
      <c r="D35" s="122">
        <v>46121</v>
      </c>
      <c r="E35" s="123" t="s">
        <v>3151</v>
      </c>
      <c r="F35" s="123" t="s">
        <v>196</v>
      </c>
      <c r="G35" s="123" t="s">
        <v>198</v>
      </c>
      <c r="H35" s="124" t="s">
        <v>3152</v>
      </c>
      <c r="I35" s="122">
        <v>46121</v>
      </c>
      <c r="J35" s="123" t="s">
        <v>3153</v>
      </c>
      <c r="K35" s="122">
        <v>46121</v>
      </c>
      <c r="L35" s="123" t="s">
        <v>199</v>
      </c>
      <c r="M35" s="123" t="s">
        <v>244</v>
      </c>
      <c r="N35" s="550" t="s">
        <v>271</v>
      </c>
      <c r="O35" s="123">
        <v>540</v>
      </c>
      <c r="P35" s="551">
        <v>100</v>
      </c>
      <c r="Q35" s="125">
        <f t="shared" si="2"/>
        <v>54000</v>
      </c>
      <c r="R35" s="126">
        <v>0</v>
      </c>
      <c r="S35" s="125">
        <f t="shared" si="3"/>
        <v>540</v>
      </c>
      <c r="T35" s="126">
        <v>0</v>
      </c>
      <c r="U35" s="127">
        <v>0</v>
      </c>
      <c r="V35" s="128">
        <v>0</v>
      </c>
      <c r="W35" s="127">
        <v>0</v>
      </c>
      <c r="X35" s="129">
        <v>0</v>
      </c>
      <c r="Y35" s="127">
        <v>0</v>
      </c>
      <c r="Z35" s="127">
        <v>0</v>
      </c>
      <c r="AA35" s="126">
        <v>0</v>
      </c>
      <c r="AB35" s="130">
        <f t="shared" si="4"/>
        <v>0</v>
      </c>
      <c r="AC35" s="129">
        <v>0</v>
      </c>
      <c r="AD35" s="125">
        <f t="shared" si="5"/>
        <v>100</v>
      </c>
      <c r="AE35" s="144">
        <v>0</v>
      </c>
      <c r="AF35" s="127">
        <v>0</v>
      </c>
      <c r="AG35" s="131">
        <v>0</v>
      </c>
      <c r="AH35" s="127">
        <v>0</v>
      </c>
      <c r="AI35" s="128">
        <v>0</v>
      </c>
      <c r="AJ35" s="127">
        <v>0</v>
      </c>
      <c r="AK35" s="127">
        <v>0</v>
      </c>
      <c r="AL35" s="127">
        <v>0</v>
      </c>
      <c r="AM35" s="132">
        <f t="shared" si="6"/>
        <v>54000</v>
      </c>
      <c r="AN35" s="133">
        <v>46121</v>
      </c>
      <c r="AO35" s="134" t="s">
        <v>3242</v>
      </c>
      <c r="AP35" s="135" t="s">
        <v>234</v>
      </c>
      <c r="AQ35" s="136" t="s">
        <v>235</v>
      </c>
      <c r="AR35" s="136" t="s">
        <v>236</v>
      </c>
      <c r="AS35" s="123" t="s">
        <v>237</v>
      </c>
      <c r="AT35" s="137" t="s">
        <v>238</v>
      </c>
      <c r="AU35" s="137" t="s">
        <v>197</v>
      </c>
      <c r="AV35" s="138" t="s">
        <v>329</v>
      </c>
      <c r="AW35" s="136">
        <v>540</v>
      </c>
      <c r="AX35" s="138">
        <v>120</v>
      </c>
      <c r="AY35" s="136">
        <f t="shared" si="7"/>
        <v>64800</v>
      </c>
      <c r="AZ35" s="139" t="b">
        <f t="shared" si="8"/>
        <v>1</v>
      </c>
      <c r="BA35" s="125">
        <v>0</v>
      </c>
      <c r="BB35" s="140">
        <f t="shared" si="9"/>
        <v>540</v>
      </c>
      <c r="BC35" s="141">
        <v>0</v>
      </c>
      <c r="BD35" s="140" t="s">
        <v>107</v>
      </c>
      <c r="BE35" s="141">
        <v>0</v>
      </c>
      <c r="BF35" s="140">
        <v>0</v>
      </c>
      <c r="BG35" s="141">
        <v>0</v>
      </c>
      <c r="BH35" s="127">
        <v>0</v>
      </c>
      <c r="BI35" s="130">
        <v>0</v>
      </c>
      <c r="BJ35" s="128">
        <v>0</v>
      </c>
      <c r="BK35" s="125">
        <v>0</v>
      </c>
      <c r="BL35" s="136">
        <v>0</v>
      </c>
      <c r="BM35" s="127">
        <v>0</v>
      </c>
      <c r="BN35" s="142">
        <f t="shared" si="10"/>
        <v>0</v>
      </c>
      <c r="BO35" s="126">
        <f t="shared" si="11"/>
        <v>64800</v>
      </c>
      <c r="BP35" s="132">
        <f t="shared" si="12"/>
        <v>10800</v>
      </c>
      <c r="BQ35" s="141" t="str">
        <f t="shared" si="13"/>
        <v>Positive Margin</v>
      </c>
      <c r="BR35" s="143" t="s">
        <v>119</v>
      </c>
      <c r="BS35" s="125">
        <f t="shared" si="14"/>
        <v>10800</v>
      </c>
      <c r="BT35" s="144" t="str">
        <f t="shared" si="15"/>
        <v>Positive Margin at Inception</v>
      </c>
      <c r="BU35" s="145">
        <f t="shared" si="16"/>
        <v>0.16666666666666666</v>
      </c>
      <c r="BV35" s="144" t="str">
        <f t="shared" si="17"/>
        <v>More than 2%</v>
      </c>
      <c r="BW35" s="125">
        <f t="shared" si="18"/>
        <v>0</v>
      </c>
      <c r="BX35" s="126">
        <f t="shared" si="19"/>
        <v>0</v>
      </c>
      <c r="BY35" s="125">
        <f t="shared" si="20"/>
        <v>0</v>
      </c>
      <c r="BZ35" s="146">
        <f t="shared" si="21"/>
        <v>0</v>
      </c>
      <c r="CA35" s="146">
        <f t="shared" si="22"/>
        <v>0</v>
      </c>
      <c r="CB35" s="127">
        <f t="shared" si="23"/>
        <v>0</v>
      </c>
      <c r="CC35" s="146" t="s">
        <v>397</v>
      </c>
      <c r="CD35" s="127">
        <v>0</v>
      </c>
      <c r="CE35" s="127" t="str">
        <f t="shared" si="24"/>
        <v>Apr-26</v>
      </c>
      <c r="CF35" s="127">
        <f t="shared" si="25"/>
        <v>54000</v>
      </c>
      <c r="CG35" s="127">
        <f t="shared" si="26"/>
        <v>64800</v>
      </c>
      <c r="CH35" s="127">
        <f t="shared" si="27"/>
        <v>2</v>
      </c>
      <c r="CI35" s="147" t="str">
        <f t="shared" si="28"/>
        <v>BG AHD</v>
      </c>
      <c r="CJ35" s="127">
        <v>0</v>
      </c>
      <c r="CK35" s="127">
        <v>0</v>
      </c>
      <c r="CL35" s="127">
        <f t="shared" si="29"/>
        <v>10800</v>
      </c>
      <c r="CM35" s="127">
        <f t="shared" si="30"/>
        <v>10800</v>
      </c>
      <c r="CN35" s="127">
        <f t="shared" si="31"/>
        <v>10800</v>
      </c>
      <c r="CO35" s="127">
        <f t="shared" si="32"/>
        <v>76464</v>
      </c>
      <c r="CP35" s="127">
        <f t="shared" si="33"/>
        <v>-63720</v>
      </c>
      <c r="CQ35" s="127">
        <f t="shared" si="34"/>
        <v>0</v>
      </c>
      <c r="CR35" s="127">
        <f t="shared" si="35"/>
        <v>0</v>
      </c>
      <c r="CS35" s="127">
        <f t="shared" si="36"/>
        <v>12744</v>
      </c>
      <c r="CT35" s="127" t="s">
        <v>361</v>
      </c>
      <c r="CU35" s="127" t="s">
        <v>361</v>
      </c>
      <c r="CV35" s="142" t="str">
        <f t="shared" si="37"/>
        <v>AAMCB5608A</v>
      </c>
      <c r="CW35" s="142" t="str">
        <f t="shared" si="38"/>
        <v>BJHPB3107J</v>
      </c>
    </row>
    <row r="36" spans="2:101" s="149" customFormat="1" ht="11.85" customHeight="1" x14ac:dyDescent="0.25">
      <c r="B36" s="120" t="str">
        <f t="shared" si="0"/>
        <v>Q1</v>
      </c>
      <c r="C36" s="121" t="str">
        <f t="shared" si="1"/>
        <v>Apr-26</v>
      </c>
      <c r="D36" s="122">
        <v>46121</v>
      </c>
      <c r="E36" s="123" t="s">
        <v>3154</v>
      </c>
      <c r="F36" s="123" t="s">
        <v>196</v>
      </c>
      <c r="G36" s="123" t="s">
        <v>198</v>
      </c>
      <c r="H36" s="124" t="s">
        <v>3155</v>
      </c>
      <c r="I36" s="122">
        <v>46121</v>
      </c>
      <c r="J36" s="123" t="s">
        <v>3156</v>
      </c>
      <c r="K36" s="122">
        <v>46121</v>
      </c>
      <c r="L36" s="123" t="s">
        <v>199</v>
      </c>
      <c r="M36" s="123" t="s">
        <v>2336</v>
      </c>
      <c r="N36" s="550" t="s">
        <v>204</v>
      </c>
      <c r="O36" s="123">
        <v>4460</v>
      </c>
      <c r="P36" s="551">
        <v>10</v>
      </c>
      <c r="Q36" s="125">
        <f t="shared" si="2"/>
        <v>44600</v>
      </c>
      <c r="R36" s="126">
        <v>0</v>
      </c>
      <c r="S36" s="125">
        <f t="shared" si="3"/>
        <v>4460</v>
      </c>
      <c r="T36" s="126">
        <v>0</v>
      </c>
      <c r="U36" s="127">
        <v>0</v>
      </c>
      <c r="V36" s="128">
        <v>0</v>
      </c>
      <c r="W36" s="127">
        <v>0</v>
      </c>
      <c r="X36" s="129">
        <v>0</v>
      </c>
      <c r="Y36" s="127">
        <v>0</v>
      </c>
      <c r="Z36" s="127">
        <v>0</v>
      </c>
      <c r="AA36" s="126">
        <v>0</v>
      </c>
      <c r="AB36" s="130">
        <f t="shared" si="4"/>
        <v>0</v>
      </c>
      <c r="AC36" s="129">
        <v>0</v>
      </c>
      <c r="AD36" s="125">
        <f t="shared" si="5"/>
        <v>10</v>
      </c>
      <c r="AE36" s="144">
        <v>0</v>
      </c>
      <c r="AF36" s="127">
        <v>0</v>
      </c>
      <c r="AG36" s="131">
        <v>0</v>
      </c>
      <c r="AH36" s="127">
        <v>0</v>
      </c>
      <c r="AI36" s="128">
        <v>0</v>
      </c>
      <c r="AJ36" s="127">
        <v>0</v>
      </c>
      <c r="AK36" s="127">
        <v>0</v>
      </c>
      <c r="AL36" s="127">
        <v>0</v>
      </c>
      <c r="AM36" s="132">
        <f t="shared" si="6"/>
        <v>44600</v>
      </c>
      <c r="AN36" s="133">
        <v>46121</v>
      </c>
      <c r="AO36" s="134" t="s">
        <v>3244</v>
      </c>
      <c r="AP36" s="135" t="s">
        <v>234</v>
      </c>
      <c r="AQ36" s="136" t="s">
        <v>235</v>
      </c>
      <c r="AR36" s="136" t="s">
        <v>236</v>
      </c>
      <c r="AS36" s="123" t="s">
        <v>237</v>
      </c>
      <c r="AT36" s="137" t="s">
        <v>238</v>
      </c>
      <c r="AU36" s="137" t="s">
        <v>197</v>
      </c>
      <c r="AV36" s="138" t="s">
        <v>329</v>
      </c>
      <c r="AW36" s="136">
        <v>4460</v>
      </c>
      <c r="AX36" s="138">
        <v>12</v>
      </c>
      <c r="AY36" s="136">
        <f t="shared" si="7"/>
        <v>53520</v>
      </c>
      <c r="AZ36" s="139" t="b">
        <f t="shared" si="8"/>
        <v>1</v>
      </c>
      <c r="BA36" s="125">
        <v>0</v>
      </c>
      <c r="BB36" s="140">
        <f t="shared" si="9"/>
        <v>4460</v>
      </c>
      <c r="BC36" s="141">
        <v>0</v>
      </c>
      <c r="BD36" s="140" t="s">
        <v>107</v>
      </c>
      <c r="BE36" s="141">
        <v>0</v>
      </c>
      <c r="BF36" s="140">
        <v>0</v>
      </c>
      <c r="BG36" s="141">
        <v>0</v>
      </c>
      <c r="BH36" s="127">
        <v>0</v>
      </c>
      <c r="BI36" s="130">
        <v>0</v>
      </c>
      <c r="BJ36" s="128">
        <v>0</v>
      </c>
      <c r="BK36" s="125">
        <v>0</v>
      </c>
      <c r="BL36" s="136">
        <v>0</v>
      </c>
      <c r="BM36" s="127">
        <v>0</v>
      </c>
      <c r="BN36" s="142">
        <f t="shared" si="10"/>
        <v>0</v>
      </c>
      <c r="BO36" s="126">
        <f t="shared" si="11"/>
        <v>53520</v>
      </c>
      <c r="BP36" s="132">
        <f t="shared" si="12"/>
        <v>8920</v>
      </c>
      <c r="BQ36" s="141" t="str">
        <f t="shared" si="13"/>
        <v>Positive Margin</v>
      </c>
      <c r="BR36" s="143" t="s">
        <v>119</v>
      </c>
      <c r="BS36" s="125">
        <f t="shared" si="14"/>
        <v>8920</v>
      </c>
      <c r="BT36" s="144" t="str">
        <f t="shared" si="15"/>
        <v>Positive Margin at Inception</v>
      </c>
      <c r="BU36" s="145">
        <f t="shared" si="16"/>
        <v>0.16666666666666666</v>
      </c>
      <c r="BV36" s="144" t="str">
        <f t="shared" si="17"/>
        <v>More than 2%</v>
      </c>
      <c r="BW36" s="125">
        <f t="shared" si="18"/>
        <v>0</v>
      </c>
      <c r="BX36" s="126">
        <f t="shared" si="19"/>
        <v>0</v>
      </c>
      <c r="BY36" s="125">
        <f t="shared" si="20"/>
        <v>0</v>
      </c>
      <c r="BZ36" s="146">
        <f t="shared" si="21"/>
        <v>0</v>
      </c>
      <c r="CA36" s="146">
        <f t="shared" si="22"/>
        <v>0</v>
      </c>
      <c r="CB36" s="127">
        <f t="shared" si="23"/>
        <v>0</v>
      </c>
      <c r="CC36" s="146" t="s">
        <v>397</v>
      </c>
      <c r="CD36" s="127">
        <v>0</v>
      </c>
      <c r="CE36" s="127" t="str">
        <f t="shared" si="24"/>
        <v>Apr-26</v>
      </c>
      <c r="CF36" s="127">
        <f t="shared" si="25"/>
        <v>44600</v>
      </c>
      <c r="CG36" s="127">
        <f t="shared" si="26"/>
        <v>53520</v>
      </c>
      <c r="CH36" s="127">
        <f t="shared" si="27"/>
        <v>2</v>
      </c>
      <c r="CI36" s="147" t="str">
        <f t="shared" si="28"/>
        <v>BG AHD</v>
      </c>
      <c r="CJ36" s="127">
        <v>0</v>
      </c>
      <c r="CK36" s="127">
        <v>0</v>
      </c>
      <c r="CL36" s="127">
        <f t="shared" si="29"/>
        <v>8920</v>
      </c>
      <c r="CM36" s="127">
        <f t="shared" si="30"/>
        <v>8920</v>
      </c>
      <c r="CN36" s="127">
        <f t="shared" si="31"/>
        <v>8920</v>
      </c>
      <c r="CO36" s="127">
        <f t="shared" si="32"/>
        <v>63153.599999999999</v>
      </c>
      <c r="CP36" s="127">
        <f t="shared" si="33"/>
        <v>-52628</v>
      </c>
      <c r="CQ36" s="127">
        <f t="shared" si="34"/>
        <v>0</v>
      </c>
      <c r="CR36" s="127">
        <f t="shared" si="35"/>
        <v>0</v>
      </c>
      <c r="CS36" s="127">
        <f t="shared" si="36"/>
        <v>10525.599999999999</v>
      </c>
      <c r="CT36" s="127" t="s">
        <v>361</v>
      </c>
      <c r="CU36" s="127" t="s">
        <v>361</v>
      </c>
      <c r="CV36" s="142" t="str">
        <f t="shared" si="37"/>
        <v>AAMCB5608A</v>
      </c>
      <c r="CW36" s="142" t="str">
        <f t="shared" si="38"/>
        <v>BJHPB3107J</v>
      </c>
    </row>
    <row r="37" spans="2:101" s="149" customFormat="1" ht="11.85" customHeight="1" x14ac:dyDescent="0.25">
      <c r="B37" s="120" t="str">
        <f t="shared" si="0"/>
        <v>Q1</v>
      </c>
      <c r="C37" s="121" t="str">
        <f t="shared" si="1"/>
        <v>Apr-26</v>
      </c>
      <c r="D37" s="122">
        <v>46121</v>
      </c>
      <c r="E37" s="123" t="s">
        <v>3154</v>
      </c>
      <c r="F37" s="123" t="s">
        <v>196</v>
      </c>
      <c r="G37" s="123" t="s">
        <v>198</v>
      </c>
      <c r="H37" s="124" t="s">
        <v>3155</v>
      </c>
      <c r="I37" s="122">
        <v>46121</v>
      </c>
      <c r="J37" s="123" t="s">
        <v>3156</v>
      </c>
      <c r="K37" s="122">
        <v>46121</v>
      </c>
      <c r="L37" s="123" t="s">
        <v>199</v>
      </c>
      <c r="M37" s="123" t="s">
        <v>2336</v>
      </c>
      <c r="N37" s="550" t="s">
        <v>207</v>
      </c>
      <c r="O37" s="123">
        <v>2530</v>
      </c>
      <c r="P37" s="551">
        <v>6.5</v>
      </c>
      <c r="Q37" s="125">
        <f t="shared" si="2"/>
        <v>16445</v>
      </c>
      <c r="R37" s="126">
        <v>0</v>
      </c>
      <c r="S37" s="125">
        <f t="shared" si="3"/>
        <v>2530</v>
      </c>
      <c r="T37" s="126">
        <v>0</v>
      </c>
      <c r="U37" s="127">
        <v>0</v>
      </c>
      <c r="V37" s="128">
        <v>0</v>
      </c>
      <c r="W37" s="127">
        <v>0</v>
      </c>
      <c r="X37" s="129">
        <v>0</v>
      </c>
      <c r="Y37" s="127">
        <v>0</v>
      </c>
      <c r="Z37" s="127">
        <v>0</v>
      </c>
      <c r="AA37" s="126">
        <v>0</v>
      </c>
      <c r="AB37" s="130">
        <f t="shared" si="4"/>
        <v>0</v>
      </c>
      <c r="AC37" s="129">
        <v>0</v>
      </c>
      <c r="AD37" s="125">
        <f t="shared" si="5"/>
        <v>6.5</v>
      </c>
      <c r="AE37" s="144">
        <v>0</v>
      </c>
      <c r="AF37" s="127">
        <v>0</v>
      </c>
      <c r="AG37" s="131">
        <v>0</v>
      </c>
      <c r="AH37" s="127">
        <v>0</v>
      </c>
      <c r="AI37" s="128">
        <v>0</v>
      </c>
      <c r="AJ37" s="127">
        <v>0</v>
      </c>
      <c r="AK37" s="127">
        <v>0</v>
      </c>
      <c r="AL37" s="127">
        <v>0</v>
      </c>
      <c r="AM37" s="132">
        <f t="shared" si="6"/>
        <v>16445</v>
      </c>
      <c r="AN37" s="133">
        <v>46121</v>
      </c>
      <c r="AO37" s="134" t="s">
        <v>3244</v>
      </c>
      <c r="AP37" s="135" t="s">
        <v>234</v>
      </c>
      <c r="AQ37" s="136" t="s">
        <v>235</v>
      </c>
      <c r="AR37" s="136" t="s">
        <v>236</v>
      </c>
      <c r="AS37" s="123" t="s">
        <v>237</v>
      </c>
      <c r="AT37" s="137" t="s">
        <v>238</v>
      </c>
      <c r="AU37" s="137" t="s">
        <v>197</v>
      </c>
      <c r="AV37" s="138" t="s">
        <v>329</v>
      </c>
      <c r="AW37" s="136">
        <v>2530</v>
      </c>
      <c r="AX37" s="138">
        <v>8</v>
      </c>
      <c r="AY37" s="136">
        <f t="shared" si="7"/>
        <v>20240</v>
      </c>
      <c r="AZ37" s="139" t="b">
        <f t="shared" si="8"/>
        <v>1</v>
      </c>
      <c r="BA37" s="125">
        <v>0</v>
      </c>
      <c r="BB37" s="140">
        <f t="shared" si="9"/>
        <v>2530</v>
      </c>
      <c r="BC37" s="141">
        <v>0</v>
      </c>
      <c r="BD37" s="140" t="s">
        <v>107</v>
      </c>
      <c r="BE37" s="141">
        <v>0</v>
      </c>
      <c r="BF37" s="140">
        <v>0</v>
      </c>
      <c r="BG37" s="141">
        <v>0</v>
      </c>
      <c r="BH37" s="127">
        <v>0</v>
      </c>
      <c r="BI37" s="130">
        <v>0</v>
      </c>
      <c r="BJ37" s="128">
        <v>0</v>
      </c>
      <c r="BK37" s="125">
        <v>0</v>
      </c>
      <c r="BL37" s="136">
        <v>0</v>
      </c>
      <c r="BM37" s="127">
        <v>0</v>
      </c>
      <c r="BN37" s="142">
        <f t="shared" si="10"/>
        <v>0</v>
      </c>
      <c r="BO37" s="126">
        <f t="shared" si="11"/>
        <v>20240</v>
      </c>
      <c r="BP37" s="132">
        <f t="shared" si="12"/>
        <v>3795</v>
      </c>
      <c r="BQ37" s="141" t="str">
        <f t="shared" si="13"/>
        <v>Positive Margin</v>
      </c>
      <c r="BR37" s="143" t="s">
        <v>119</v>
      </c>
      <c r="BS37" s="125">
        <f t="shared" si="14"/>
        <v>3795</v>
      </c>
      <c r="BT37" s="144" t="str">
        <f t="shared" si="15"/>
        <v>Positive Margin at Inception</v>
      </c>
      <c r="BU37" s="145">
        <f t="shared" si="16"/>
        <v>0.1875</v>
      </c>
      <c r="BV37" s="144" t="str">
        <f t="shared" si="17"/>
        <v>More than 2%</v>
      </c>
      <c r="BW37" s="125">
        <f t="shared" si="18"/>
        <v>0</v>
      </c>
      <c r="BX37" s="126">
        <f t="shared" si="19"/>
        <v>0</v>
      </c>
      <c r="BY37" s="125">
        <f t="shared" si="20"/>
        <v>0</v>
      </c>
      <c r="BZ37" s="146">
        <f t="shared" si="21"/>
        <v>0</v>
      </c>
      <c r="CA37" s="146">
        <f t="shared" si="22"/>
        <v>0</v>
      </c>
      <c r="CB37" s="127">
        <f t="shared" si="23"/>
        <v>0</v>
      </c>
      <c r="CC37" s="146" t="s">
        <v>397</v>
      </c>
      <c r="CD37" s="127">
        <v>0</v>
      </c>
      <c r="CE37" s="127" t="str">
        <f t="shared" si="24"/>
        <v>Apr-26</v>
      </c>
      <c r="CF37" s="127">
        <f t="shared" si="25"/>
        <v>16445</v>
      </c>
      <c r="CG37" s="127">
        <f t="shared" si="26"/>
        <v>20240</v>
      </c>
      <c r="CH37" s="127">
        <f t="shared" si="27"/>
        <v>2</v>
      </c>
      <c r="CI37" s="147" t="str">
        <f t="shared" si="28"/>
        <v>BG AHD</v>
      </c>
      <c r="CJ37" s="127">
        <v>0</v>
      </c>
      <c r="CK37" s="127">
        <v>0</v>
      </c>
      <c r="CL37" s="127">
        <f t="shared" si="29"/>
        <v>3795</v>
      </c>
      <c r="CM37" s="127">
        <f t="shared" si="30"/>
        <v>3795</v>
      </c>
      <c r="CN37" s="127">
        <f t="shared" si="31"/>
        <v>3795</v>
      </c>
      <c r="CO37" s="127">
        <f t="shared" si="32"/>
        <v>23883.199999999997</v>
      </c>
      <c r="CP37" s="127">
        <f t="shared" si="33"/>
        <v>-19405.099999999999</v>
      </c>
      <c r="CQ37" s="127">
        <f t="shared" si="34"/>
        <v>0</v>
      </c>
      <c r="CR37" s="127">
        <f t="shared" si="35"/>
        <v>0</v>
      </c>
      <c r="CS37" s="127">
        <f t="shared" si="36"/>
        <v>4478.0999999999985</v>
      </c>
      <c r="CT37" s="127" t="s">
        <v>361</v>
      </c>
      <c r="CU37" s="127" t="s">
        <v>361</v>
      </c>
      <c r="CV37" s="142" t="str">
        <f t="shared" si="37"/>
        <v>AAMCB5608A</v>
      </c>
      <c r="CW37" s="142" t="str">
        <f t="shared" si="38"/>
        <v>BJHPB3107J</v>
      </c>
    </row>
    <row r="38" spans="2:101" s="149" customFormat="1" ht="11.85" customHeight="1" x14ac:dyDescent="0.25">
      <c r="B38" s="120" t="str">
        <f t="shared" si="0"/>
        <v>Q1</v>
      </c>
      <c r="C38" s="121" t="str">
        <f t="shared" si="1"/>
        <v>Apr-26</v>
      </c>
      <c r="D38" s="122">
        <v>46121</v>
      </c>
      <c r="E38" s="123" t="s">
        <v>3157</v>
      </c>
      <c r="F38" s="123" t="s">
        <v>196</v>
      </c>
      <c r="G38" s="123" t="s">
        <v>198</v>
      </c>
      <c r="H38" s="124" t="s">
        <v>3158</v>
      </c>
      <c r="I38" s="122">
        <v>46121</v>
      </c>
      <c r="J38" s="123" t="s">
        <v>3159</v>
      </c>
      <c r="K38" s="122">
        <v>46122</v>
      </c>
      <c r="L38" s="123" t="s">
        <v>199</v>
      </c>
      <c r="M38" s="123" t="s">
        <v>3137</v>
      </c>
      <c r="N38" s="550" t="s">
        <v>3160</v>
      </c>
      <c r="O38" s="123">
        <v>6475</v>
      </c>
      <c r="P38" s="551">
        <v>12.5</v>
      </c>
      <c r="Q38" s="125">
        <f t="shared" si="2"/>
        <v>80937.5</v>
      </c>
      <c r="R38" s="126">
        <v>0</v>
      </c>
      <c r="S38" s="125">
        <f t="shared" si="3"/>
        <v>6475</v>
      </c>
      <c r="T38" s="126">
        <v>0</v>
      </c>
      <c r="U38" s="127">
        <v>0</v>
      </c>
      <c r="V38" s="128">
        <v>0</v>
      </c>
      <c r="W38" s="127">
        <v>0</v>
      </c>
      <c r="X38" s="129">
        <v>0</v>
      </c>
      <c r="Y38" s="127">
        <v>0</v>
      </c>
      <c r="Z38" s="127">
        <v>0</v>
      </c>
      <c r="AA38" s="126">
        <v>0</v>
      </c>
      <c r="AB38" s="130">
        <f t="shared" si="4"/>
        <v>0</v>
      </c>
      <c r="AC38" s="129">
        <v>0</v>
      </c>
      <c r="AD38" s="125">
        <f t="shared" si="5"/>
        <v>12.5</v>
      </c>
      <c r="AE38" s="144">
        <v>0</v>
      </c>
      <c r="AF38" s="127">
        <v>0</v>
      </c>
      <c r="AG38" s="131">
        <v>0</v>
      </c>
      <c r="AH38" s="127">
        <v>0</v>
      </c>
      <c r="AI38" s="128">
        <v>0</v>
      </c>
      <c r="AJ38" s="127">
        <v>0</v>
      </c>
      <c r="AK38" s="127">
        <v>0</v>
      </c>
      <c r="AL38" s="127">
        <v>0</v>
      </c>
      <c r="AM38" s="132">
        <f t="shared" si="6"/>
        <v>80937.5</v>
      </c>
      <c r="AN38" s="133">
        <v>46122</v>
      </c>
      <c r="AO38" s="134" t="s">
        <v>3249</v>
      </c>
      <c r="AP38" s="135" t="s">
        <v>1937</v>
      </c>
      <c r="AQ38" s="136" t="s">
        <v>1938</v>
      </c>
      <c r="AR38" s="136" t="s">
        <v>1939</v>
      </c>
      <c r="AS38" s="123" t="s">
        <v>404</v>
      </c>
      <c r="AT38" s="137" t="s">
        <v>1940</v>
      </c>
      <c r="AU38" s="137" t="s">
        <v>197</v>
      </c>
      <c r="AV38" s="138" t="s">
        <v>329</v>
      </c>
      <c r="AW38" s="136">
        <v>6475</v>
      </c>
      <c r="AX38" s="138">
        <v>13</v>
      </c>
      <c r="AY38" s="136">
        <f t="shared" si="7"/>
        <v>84175</v>
      </c>
      <c r="AZ38" s="139" t="b">
        <f t="shared" si="8"/>
        <v>1</v>
      </c>
      <c r="BA38" s="125">
        <v>0</v>
      </c>
      <c r="BB38" s="140">
        <f t="shared" si="9"/>
        <v>6475</v>
      </c>
      <c r="BC38" s="141">
        <v>0</v>
      </c>
      <c r="BD38" s="140" t="s">
        <v>107</v>
      </c>
      <c r="BE38" s="141">
        <v>0</v>
      </c>
      <c r="BF38" s="140">
        <v>0</v>
      </c>
      <c r="BG38" s="141">
        <v>0</v>
      </c>
      <c r="BH38" s="127">
        <v>0</v>
      </c>
      <c r="BI38" s="130">
        <v>0</v>
      </c>
      <c r="BJ38" s="128">
        <v>0</v>
      </c>
      <c r="BK38" s="125">
        <v>0</v>
      </c>
      <c r="BL38" s="136">
        <v>0</v>
      </c>
      <c r="BM38" s="127">
        <v>0</v>
      </c>
      <c r="BN38" s="142">
        <f t="shared" si="10"/>
        <v>0</v>
      </c>
      <c r="BO38" s="126">
        <f t="shared" si="11"/>
        <v>84175</v>
      </c>
      <c r="BP38" s="132">
        <f t="shared" si="12"/>
        <v>3237.5</v>
      </c>
      <c r="BQ38" s="141" t="str">
        <f t="shared" si="13"/>
        <v>Positive Margin</v>
      </c>
      <c r="BR38" s="143" t="s">
        <v>119</v>
      </c>
      <c r="BS38" s="125">
        <f t="shared" si="14"/>
        <v>3237.5</v>
      </c>
      <c r="BT38" s="144" t="str">
        <f t="shared" si="15"/>
        <v>Positive Margin at Inception</v>
      </c>
      <c r="BU38" s="145">
        <f t="shared" si="16"/>
        <v>3.8461538461538464E-2</v>
      </c>
      <c r="BV38" s="144" t="str">
        <f t="shared" si="17"/>
        <v>More than 2%</v>
      </c>
      <c r="BW38" s="125">
        <f t="shared" si="18"/>
        <v>0</v>
      </c>
      <c r="BX38" s="126">
        <f t="shared" si="19"/>
        <v>0</v>
      </c>
      <c r="BY38" s="125">
        <f t="shared" si="20"/>
        <v>0</v>
      </c>
      <c r="BZ38" s="146">
        <f t="shared" si="21"/>
        <v>0</v>
      </c>
      <c r="CA38" s="146">
        <f t="shared" si="22"/>
        <v>0</v>
      </c>
      <c r="CB38" s="127">
        <f t="shared" si="23"/>
        <v>0</v>
      </c>
      <c r="CC38" s="146" t="s">
        <v>397</v>
      </c>
      <c r="CD38" s="127">
        <v>0</v>
      </c>
      <c r="CE38" s="127" t="str">
        <f t="shared" si="24"/>
        <v>Apr-26</v>
      </c>
      <c r="CF38" s="127">
        <f t="shared" si="25"/>
        <v>80937.5</v>
      </c>
      <c r="CG38" s="127">
        <f t="shared" si="26"/>
        <v>84175</v>
      </c>
      <c r="CH38" s="127">
        <f t="shared" si="27"/>
        <v>2</v>
      </c>
      <c r="CI38" s="147" t="str">
        <f t="shared" si="28"/>
        <v>BG AHD</v>
      </c>
      <c r="CJ38" s="127">
        <v>0</v>
      </c>
      <c r="CK38" s="127">
        <v>0</v>
      </c>
      <c r="CL38" s="127">
        <f t="shared" si="29"/>
        <v>3237.5</v>
      </c>
      <c r="CM38" s="127">
        <f t="shared" si="30"/>
        <v>3237.5</v>
      </c>
      <c r="CN38" s="127">
        <f t="shared" si="31"/>
        <v>3237.5</v>
      </c>
      <c r="CO38" s="127">
        <f t="shared" si="32"/>
        <v>99326.5</v>
      </c>
      <c r="CP38" s="127">
        <f t="shared" si="33"/>
        <v>-95506.25</v>
      </c>
      <c r="CQ38" s="127">
        <f t="shared" si="34"/>
        <v>0</v>
      </c>
      <c r="CR38" s="127">
        <f t="shared" si="35"/>
        <v>0</v>
      </c>
      <c r="CS38" s="127">
        <f t="shared" si="36"/>
        <v>3820.25</v>
      </c>
      <c r="CT38" s="127" t="s">
        <v>361</v>
      </c>
      <c r="CU38" s="127" t="s">
        <v>361</v>
      </c>
      <c r="CV38" s="142" t="str">
        <f t="shared" si="37"/>
        <v>AAMCB5608A</v>
      </c>
      <c r="CW38" s="142" t="str">
        <f t="shared" si="38"/>
        <v>AFDPY5902R</v>
      </c>
    </row>
    <row r="39" spans="2:101" s="149" customFormat="1" ht="11.85" customHeight="1" x14ac:dyDescent="0.25">
      <c r="B39" s="120" t="str">
        <f t="shared" si="0"/>
        <v>Q1</v>
      </c>
      <c r="C39" s="121" t="str">
        <f t="shared" si="1"/>
        <v>Apr-26</v>
      </c>
      <c r="D39" s="122">
        <v>46122</v>
      </c>
      <c r="E39" s="123" t="s">
        <v>3161</v>
      </c>
      <c r="F39" s="123" t="s">
        <v>196</v>
      </c>
      <c r="G39" s="123" t="s">
        <v>198</v>
      </c>
      <c r="H39" s="124" t="s">
        <v>3162</v>
      </c>
      <c r="I39" s="122">
        <v>46122</v>
      </c>
      <c r="J39" s="123" t="s">
        <v>3163</v>
      </c>
      <c r="K39" s="122">
        <v>46122</v>
      </c>
      <c r="L39" s="123" t="s">
        <v>199</v>
      </c>
      <c r="M39" s="123" t="s">
        <v>201</v>
      </c>
      <c r="N39" s="550" t="s">
        <v>258</v>
      </c>
      <c r="O39" s="123">
        <v>840</v>
      </c>
      <c r="P39" s="551">
        <v>1.1000000000000001</v>
      </c>
      <c r="Q39" s="125">
        <f t="shared" si="2"/>
        <v>924.00000000000011</v>
      </c>
      <c r="R39" s="126">
        <v>0</v>
      </c>
      <c r="S39" s="125">
        <f t="shared" si="3"/>
        <v>840</v>
      </c>
      <c r="T39" s="126">
        <v>0</v>
      </c>
      <c r="U39" s="127">
        <v>0</v>
      </c>
      <c r="V39" s="128">
        <v>0</v>
      </c>
      <c r="W39" s="127">
        <v>0</v>
      </c>
      <c r="X39" s="129">
        <v>0</v>
      </c>
      <c r="Y39" s="127">
        <v>0</v>
      </c>
      <c r="Z39" s="127">
        <v>0</v>
      </c>
      <c r="AA39" s="126">
        <v>0</v>
      </c>
      <c r="AB39" s="130">
        <f t="shared" si="4"/>
        <v>0</v>
      </c>
      <c r="AC39" s="129">
        <v>0</v>
      </c>
      <c r="AD39" s="125">
        <f t="shared" si="5"/>
        <v>1.1000000000000001</v>
      </c>
      <c r="AE39" s="144">
        <v>0</v>
      </c>
      <c r="AF39" s="127">
        <v>0</v>
      </c>
      <c r="AG39" s="131">
        <v>0</v>
      </c>
      <c r="AH39" s="127">
        <v>0</v>
      </c>
      <c r="AI39" s="128">
        <v>0</v>
      </c>
      <c r="AJ39" s="127">
        <v>0</v>
      </c>
      <c r="AK39" s="127">
        <v>0</v>
      </c>
      <c r="AL39" s="127">
        <v>0</v>
      </c>
      <c r="AM39" s="132">
        <f t="shared" si="6"/>
        <v>924.00000000000011</v>
      </c>
      <c r="AN39" s="133">
        <v>46122</v>
      </c>
      <c r="AO39" s="134" t="s">
        <v>3250</v>
      </c>
      <c r="AP39" s="135" t="s">
        <v>234</v>
      </c>
      <c r="AQ39" s="136" t="s">
        <v>235</v>
      </c>
      <c r="AR39" s="136" t="s">
        <v>236</v>
      </c>
      <c r="AS39" s="123" t="s">
        <v>237</v>
      </c>
      <c r="AT39" s="137" t="s">
        <v>238</v>
      </c>
      <c r="AU39" s="137" t="s">
        <v>197</v>
      </c>
      <c r="AV39" s="138" t="s">
        <v>329</v>
      </c>
      <c r="AW39" s="136">
        <v>840</v>
      </c>
      <c r="AX39" s="138">
        <v>2.1</v>
      </c>
      <c r="AY39" s="136">
        <f t="shared" si="7"/>
        <v>1764</v>
      </c>
      <c r="AZ39" s="139" t="b">
        <f t="shared" si="8"/>
        <v>1</v>
      </c>
      <c r="BA39" s="125">
        <v>0</v>
      </c>
      <c r="BB39" s="140">
        <f t="shared" si="9"/>
        <v>840</v>
      </c>
      <c r="BC39" s="141">
        <v>0</v>
      </c>
      <c r="BD39" s="140" t="s">
        <v>107</v>
      </c>
      <c r="BE39" s="141">
        <v>0</v>
      </c>
      <c r="BF39" s="140">
        <v>0</v>
      </c>
      <c r="BG39" s="141">
        <v>0</v>
      </c>
      <c r="BH39" s="127">
        <v>0</v>
      </c>
      <c r="BI39" s="130">
        <v>0</v>
      </c>
      <c r="BJ39" s="128">
        <v>0</v>
      </c>
      <c r="BK39" s="125">
        <v>0</v>
      </c>
      <c r="BL39" s="136">
        <v>0</v>
      </c>
      <c r="BM39" s="127">
        <v>0</v>
      </c>
      <c r="BN39" s="142">
        <f t="shared" si="10"/>
        <v>0</v>
      </c>
      <c r="BO39" s="126">
        <f t="shared" si="11"/>
        <v>1764</v>
      </c>
      <c r="BP39" s="132">
        <f t="shared" si="12"/>
        <v>839.99999999999989</v>
      </c>
      <c r="BQ39" s="141" t="str">
        <f t="shared" si="13"/>
        <v>Positive Margin</v>
      </c>
      <c r="BR39" s="143" t="s">
        <v>119</v>
      </c>
      <c r="BS39" s="125">
        <f t="shared" si="14"/>
        <v>839.99999999999989</v>
      </c>
      <c r="BT39" s="144" t="str">
        <f t="shared" si="15"/>
        <v>Positive Margin at Inception</v>
      </c>
      <c r="BU39" s="145">
        <f t="shared" si="16"/>
        <v>0.47619047619047611</v>
      </c>
      <c r="BV39" s="144" t="str">
        <f t="shared" si="17"/>
        <v>More than 2%</v>
      </c>
      <c r="BW39" s="125">
        <f t="shared" si="18"/>
        <v>0</v>
      </c>
      <c r="BX39" s="126">
        <f t="shared" si="19"/>
        <v>0</v>
      </c>
      <c r="BY39" s="125">
        <f t="shared" si="20"/>
        <v>0</v>
      </c>
      <c r="BZ39" s="146">
        <f t="shared" si="21"/>
        <v>0</v>
      </c>
      <c r="CA39" s="146">
        <f t="shared" si="22"/>
        <v>0</v>
      </c>
      <c r="CB39" s="127">
        <f t="shared" si="23"/>
        <v>0</v>
      </c>
      <c r="CC39" s="146" t="s">
        <v>397</v>
      </c>
      <c r="CD39" s="127">
        <v>0</v>
      </c>
      <c r="CE39" s="127" t="str">
        <f t="shared" si="24"/>
        <v>Apr-26</v>
      </c>
      <c r="CF39" s="127">
        <f t="shared" si="25"/>
        <v>924.00000000000011</v>
      </c>
      <c r="CG39" s="127">
        <f t="shared" si="26"/>
        <v>1764</v>
      </c>
      <c r="CH39" s="127">
        <f t="shared" si="27"/>
        <v>2</v>
      </c>
      <c r="CI39" s="147" t="str">
        <f t="shared" si="28"/>
        <v>BG AHD</v>
      </c>
      <c r="CJ39" s="127">
        <v>0</v>
      </c>
      <c r="CK39" s="127">
        <v>0</v>
      </c>
      <c r="CL39" s="127">
        <f t="shared" si="29"/>
        <v>839.99999999999989</v>
      </c>
      <c r="CM39" s="127">
        <f t="shared" si="30"/>
        <v>839.99999999999989</v>
      </c>
      <c r="CN39" s="127">
        <f t="shared" si="31"/>
        <v>839.99999999999989</v>
      </c>
      <c r="CO39" s="127">
        <f t="shared" si="32"/>
        <v>2081.52</v>
      </c>
      <c r="CP39" s="127">
        <f t="shared" si="33"/>
        <v>-1090.3200000000002</v>
      </c>
      <c r="CQ39" s="127">
        <f t="shared" si="34"/>
        <v>0</v>
      </c>
      <c r="CR39" s="127">
        <f t="shared" si="35"/>
        <v>0</v>
      </c>
      <c r="CS39" s="127">
        <f t="shared" si="36"/>
        <v>991.19999999999982</v>
      </c>
      <c r="CT39" s="127" t="s">
        <v>361</v>
      </c>
      <c r="CU39" s="127" t="s">
        <v>361</v>
      </c>
      <c r="CV39" s="142" t="str">
        <f t="shared" si="37"/>
        <v>AAMCB5608A</v>
      </c>
      <c r="CW39" s="142" t="str">
        <f t="shared" si="38"/>
        <v>BJHPB3107J</v>
      </c>
    </row>
    <row r="40" spans="2:101" s="149" customFormat="1" ht="11.85" customHeight="1" x14ac:dyDescent="0.25">
      <c r="B40" s="120" t="str">
        <f t="shared" si="0"/>
        <v>Q1</v>
      </c>
      <c r="C40" s="121" t="str">
        <f t="shared" si="1"/>
        <v>Apr-26</v>
      </c>
      <c r="D40" s="122">
        <v>46122</v>
      </c>
      <c r="E40" s="123" t="s">
        <v>3164</v>
      </c>
      <c r="F40" s="123" t="s">
        <v>196</v>
      </c>
      <c r="G40" s="123" t="s">
        <v>198</v>
      </c>
      <c r="H40" s="124" t="s">
        <v>3165</v>
      </c>
      <c r="I40" s="122">
        <v>46122</v>
      </c>
      <c r="J40" s="123" t="s">
        <v>3166</v>
      </c>
      <c r="K40" s="122">
        <v>46122</v>
      </c>
      <c r="L40" s="123" t="s">
        <v>199</v>
      </c>
      <c r="M40" s="123" t="s">
        <v>3167</v>
      </c>
      <c r="N40" s="550" t="s">
        <v>204</v>
      </c>
      <c r="O40" s="123">
        <v>7810</v>
      </c>
      <c r="P40" s="551">
        <v>10</v>
      </c>
      <c r="Q40" s="125">
        <f t="shared" si="2"/>
        <v>78100</v>
      </c>
      <c r="R40" s="126">
        <v>0</v>
      </c>
      <c r="S40" s="125">
        <f t="shared" si="3"/>
        <v>7810</v>
      </c>
      <c r="T40" s="126">
        <v>0</v>
      </c>
      <c r="U40" s="127">
        <v>0</v>
      </c>
      <c r="V40" s="128">
        <v>0</v>
      </c>
      <c r="W40" s="127">
        <v>0</v>
      </c>
      <c r="X40" s="129">
        <v>0</v>
      </c>
      <c r="Y40" s="127">
        <v>0</v>
      </c>
      <c r="Z40" s="127">
        <v>0</v>
      </c>
      <c r="AA40" s="126">
        <v>0</v>
      </c>
      <c r="AB40" s="130">
        <f t="shared" si="4"/>
        <v>0</v>
      </c>
      <c r="AC40" s="129">
        <v>0</v>
      </c>
      <c r="AD40" s="125">
        <f t="shared" si="5"/>
        <v>10</v>
      </c>
      <c r="AE40" s="144">
        <v>0</v>
      </c>
      <c r="AF40" s="127">
        <v>0</v>
      </c>
      <c r="AG40" s="131">
        <v>0</v>
      </c>
      <c r="AH40" s="127">
        <v>0</v>
      </c>
      <c r="AI40" s="128">
        <v>0</v>
      </c>
      <c r="AJ40" s="127">
        <v>0</v>
      </c>
      <c r="AK40" s="127">
        <v>0</v>
      </c>
      <c r="AL40" s="127">
        <v>0</v>
      </c>
      <c r="AM40" s="132">
        <f t="shared" si="6"/>
        <v>78100</v>
      </c>
      <c r="AN40" s="133">
        <v>46122</v>
      </c>
      <c r="AO40" s="134" t="s">
        <v>3248</v>
      </c>
      <c r="AP40" s="135" t="s">
        <v>234</v>
      </c>
      <c r="AQ40" s="136" t="s">
        <v>235</v>
      </c>
      <c r="AR40" s="136" t="s">
        <v>236</v>
      </c>
      <c r="AS40" s="123" t="s">
        <v>239</v>
      </c>
      <c r="AT40" s="137" t="s">
        <v>238</v>
      </c>
      <c r="AU40" s="137" t="s">
        <v>197</v>
      </c>
      <c r="AV40" s="138" t="s">
        <v>329</v>
      </c>
      <c r="AW40" s="136">
        <v>7810</v>
      </c>
      <c r="AX40" s="138">
        <v>12</v>
      </c>
      <c r="AY40" s="136">
        <f t="shared" si="7"/>
        <v>93720</v>
      </c>
      <c r="AZ40" s="139" t="b">
        <f t="shared" si="8"/>
        <v>1</v>
      </c>
      <c r="BA40" s="125">
        <v>0</v>
      </c>
      <c r="BB40" s="140">
        <f t="shared" si="9"/>
        <v>7810</v>
      </c>
      <c r="BC40" s="141">
        <v>0</v>
      </c>
      <c r="BD40" s="140" t="s">
        <v>107</v>
      </c>
      <c r="BE40" s="141">
        <v>0</v>
      </c>
      <c r="BF40" s="140">
        <v>0</v>
      </c>
      <c r="BG40" s="141">
        <v>0</v>
      </c>
      <c r="BH40" s="127">
        <v>0</v>
      </c>
      <c r="BI40" s="130">
        <v>0</v>
      </c>
      <c r="BJ40" s="128">
        <v>0</v>
      </c>
      <c r="BK40" s="125">
        <v>0</v>
      </c>
      <c r="BL40" s="136">
        <v>0</v>
      </c>
      <c r="BM40" s="127">
        <v>0</v>
      </c>
      <c r="BN40" s="142">
        <f t="shared" si="10"/>
        <v>0</v>
      </c>
      <c r="BO40" s="126">
        <f t="shared" si="11"/>
        <v>93720</v>
      </c>
      <c r="BP40" s="132">
        <f t="shared" si="12"/>
        <v>15620</v>
      </c>
      <c r="BQ40" s="141" t="str">
        <f t="shared" si="13"/>
        <v>Positive Margin</v>
      </c>
      <c r="BR40" s="143" t="s">
        <v>119</v>
      </c>
      <c r="BS40" s="125">
        <f t="shared" si="14"/>
        <v>15620</v>
      </c>
      <c r="BT40" s="144" t="str">
        <f t="shared" si="15"/>
        <v>Positive Margin at Inception</v>
      </c>
      <c r="BU40" s="145">
        <f t="shared" si="16"/>
        <v>0.16666666666666666</v>
      </c>
      <c r="BV40" s="144" t="str">
        <f t="shared" si="17"/>
        <v>More than 2%</v>
      </c>
      <c r="BW40" s="125">
        <f t="shared" si="18"/>
        <v>0</v>
      </c>
      <c r="BX40" s="126">
        <f t="shared" si="19"/>
        <v>0</v>
      </c>
      <c r="BY40" s="125">
        <f t="shared" si="20"/>
        <v>0</v>
      </c>
      <c r="BZ40" s="146">
        <f t="shared" si="21"/>
        <v>0</v>
      </c>
      <c r="CA40" s="146">
        <f t="shared" si="22"/>
        <v>0</v>
      </c>
      <c r="CB40" s="127">
        <f t="shared" si="23"/>
        <v>0</v>
      </c>
      <c r="CC40" s="146" t="s">
        <v>397</v>
      </c>
      <c r="CD40" s="127">
        <v>0</v>
      </c>
      <c r="CE40" s="127" t="str">
        <f t="shared" si="24"/>
        <v>Apr-26</v>
      </c>
      <c r="CF40" s="127">
        <f t="shared" si="25"/>
        <v>78100</v>
      </c>
      <c r="CG40" s="127">
        <f t="shared" si="26"/>
        <v>93720</v>
      </c>
      <c r="CH40" s="127">
        <f t="shared" si="27"/>
        <v>2</v>
      </c>
      <c r="CI40" s="147" t="str">
        <f t="shared" si="28"/>
        <v>BG AHD</v>
      </c>
      <c r="CJ40" s="127">
        <v>0</v>
      </c>
      <c r="CK40" s="127">
        <v>0</v>
      </c>
      <c r="CL40" s="127">
        <f t="shared" si="29"/>
        <v>15620</v>
      </c>
      <c r="CM40" s="127">
        <f t="shared" si="30"/>
        <v>15620</v>
      </c>
      <c r="CN40" s="127">
        <f t="shared" si="31"/>
        <v>15620</v>
      </c>
      <c r="CO40" s="127">
        <f t="shared" si="32"/>
        <v>110589.59999999999</v>
      </c>
      <c r="CP40" s="127">
        <f t="shared" si="33"/>
        <v>-92158</v>
      </c>
      <c r="CQ40" s="127">
        <f t="shared" si="34"/>
        <v>0</v>
      </c>
      <c r="CR40" s="127">
        <f t="shared" si="35"/>
        <v>0</v>
      </c>
      <c r="CS40" s="127">
        <f t="shared" si="36"/>
        <v>18431.599999999991</v>
      </c>
      <c r="CT40" s="127" t="s">
        <v>361</v>
      </c>
      <c r="CU40" s="127" t="s">
        <v>361</v>
      </c>
      <c r="CV40" s="142" t="str">
        <f t="shared" si="37"/>
        <v>AAMCB5608A</v>
      </c>
      <c r="CW40" s="142" t="str">
        <f t="shared" si="38"/>
        <v>BJHPB3107J</v>
      </c>
    </row>
    <row r="41" spans="2:101" s="149" customFormat="1" ht="11.85" customHeight="1" x14ac:dyDescent="0.25">
      <c r="B41" s="120" t="str">
        <f t="shared" si="0"/>
        <v>Q1</v>
      </c>
      <c r="C41" s="121" t="str">
        <f t="shared" si="1"/>
        <v>Apr-26</v>
      </c>
      <c r="D41" s="122">
        <v>46122</v>
      </c>
      <c r="E41" s="123" t="s">
        <v>3168</v>
      </c>
      <c r="F41" s="123" t="s">
        <v>196</v>
      </c>
      <c r="G41" s="123" t="s">
        <v>198</v>
      </c>
      <c r="H41" s="124" t="s">
        <v>3169</v>
      </c>
      <c r="I41" s="122">
        <v>46122</v>
      </c>
      <c r="J41" s="123" t="s">
        <v>3170</v>
      </c>
      <c r="K41" s="122">
        <v>46122</v>
      </c>
      <c r="L41" s="123" t="s">
        <v>199</v>
      </c>
      <c r="M41" s="123" t="s">
        <v>244</v>
      </c>
      <c r="N41" s="550" t="s">
        <v>200</v>
      </c>
      <c r="O41" s="123">
        <v>258</v>
      </c>
      <c r="P41" s="551">
        <v>105</v>
      </c>
      <c r="Q41" s="125">
        <f t="shared" si="2"/>
        <v>27090</v>
      </c>
      <c r="R41" s="126">
        <v>0</v>
      </c>
      <c r="S41" s="125">
        <f t="shared" si="3"/>
        <v>258</v>
      </c>
      <c r="T41" s="126">
        <v>0</v>
      </c>
      <c r="U41" s="127">
        <v>0</v>
      </c>
      <c r="V41" s="128">
        <v>0</v>
      </c>
      <c r="W41" s="127">
        <v>0</v>
      </c>
      <c r="X41" s="129">
        <v>0</v>
      </c>
      <c r="Y41" s="127">
        <v>0</v>
      </c>
      <c r="Z41" s="127">
        <v>0</v>
      </c>
      <c r="AA41" s="126">
        <v>0</v>
      </c>
      <c r="AB41" s="130">
        <f t="shared" si="4"/>
        <v>0</v>
      </c>
      <c r="AC41" s="129">
        <v>0</v>
      </c>
      <c r="AD41" s="125">
        <f t="shared" si="5"/>
        <v>105</v>
      </c>
      <c r="AE41" s="144">
        <v>0</v>
      </c>
      <c r="AF41" s="127">
        <v>0</v>
      </c>
      <c r="AG41" s="131">
        <v>0</v>
      </c>
      <c r="AH41" s="127">
        <v>0</v>
      </c>
      <c r="AI41" s="128">
        <v>0</v>
      </c>
      <c r="AJ41" s="127">
        <v>0</v>
      </c>
      <c r="AK41" s="127">
        <v>0</v>
      </c>
      <c r="AL41" s="127">
        <v>0</v>
      </c>
      <c r="AM41" s="132">
        <f t="shared" si="6"/>
        <v>27090</v>
      </c>
      <c r="AN41" s="133">
        <v>46122</v>
      </c>
      <c r="AO41" s="134" t="s">
        <v>3251</v>
      </c>
      <c r="AP41" s="135" t="s">
        <v>234</v>
      </c>
      <c r="AQ41" s="136" t="s">
        <v>235</v>
      </c>
      <c r="AR41" s="136" t="s">
        <v>236</v>
      </c>
      <c r="AS41" s="123" t="s">
        <v>237</v>
      </c>
      <c r="AT41" s="137" t="s">
        <v>238</v>
      </c>
      <c r="AU41" s="137" t="s">
        <v>197</v>
      </c>
      <c r="AV41" s="138" t="s">
        <v>329</v>
      </c>
      <c r="AW41" s="136">
        <v>258</v>
      </c>
      <c r="AX41" s="138">
        <v>130</v>
      </c>
      <c r="AY41" s="136">
        <f t="shared" si="7"/>
        <v>33540</v>
      </c>
      <c r="AZ41" s="139" t="b">
        <f t="shared" si="8"/>
        <v>1</v>
      </c>
      <c r="BA41" s="125">
        <v>0</v>
      </c>
      <c r="BB41" s="140">
        <f t="shared" si="9"/>
        <v>258</v>
      </c>
      <c r="BC41" s="141">
        <v>0</v>
      </c>
      <c r="BD41" s="140" t="s">
        <v>107</v>
      </c>
      <c r="BE41" s="141">
        <v>0</v>
      </c>
      <c r="BF41" s="140">
        <v>0</v>
      </c>
      <c r="BG41" s="141">
        <v>0</v>
      </c>
      <c r="BH41" s="127">
        <v>0</v>
      </c>
      <c r="BI41" s="130">
        <v>0</v>
      </c>
      <c r="BJ41" s="128">
        <v>0</v>
      </c>
      <c r="BK41" s="125">
        <v>0</v>
      </c>
      <c r="BL41" s="136">
        <v>0</v>
      </c>
      <c r="BM41" s="127">
        <v>0</v>
      </c>
      <c r="BN41" s="142">
        <f t="shared" si="10"/>
        <v>0</v>
      </c>
      <c r="BO41" s="126">
        <f t="shared" si="11"/>
        <v>33540</v>
      </c>
      <c r="BP41" s="132">
        <f t="shared" si="12"/>
        <v>6450</v>
      </c>
      <c r="BQ41" s="141" t="str">
        <f t="shared" si="13"/>
        <v>Positive Margin</v>
      </c>
      <c r="BR41" s="143" t="s">
        <v>119</v>
      </c>
      <c r="BS41" s="125">
        <f t="shared" si="14"/>
        <v>6450</v>
      </c>
      <c r="BT41" s="144" t="str">
        <f t="shared" si="15"/>
        <v>Positive Margin at Inception</v>
      </c>
      <c r="BU41" s="145">
        <f t="shared" si="16"/>
        <v>0.19230769230769232</v>
      </c>
      <c r="BV41" s="144" t="str">
        <f t="shared" si="17"/>
        <v>More than 2%</v>
      </c>
      <c r="BW41" s="125">
        <f t="shared" si="18"/>
        <v>0</v>
      </c>
      <c r="BX41" s="126">
        <f t="shared" si="19"/>
        <v>0</v>
      </c>
      <c r="BY41" s="125">
        <f t="shared" si="20"/>
        <v>0</v>
      </c>
      <c r="BZ41" s="146">
        <f t="shared" si="21"/>
        <v>0</v>
      </c>
      <c r="CA41" s="146">
        <f t="shared" si="22"/>
        <v>0</v>
      </c>
      <c r="CB41" s="127">
        <f t="shared" si="23"/>
        <v>0</v>
      </c>
      <c r="CC41" s="146" t="s">
        <v>397</v>
      </c>
      <c r="CD41" s="127">
        <v>0</v>
      </c>
      <c r="CE41" s="127" t="str">
        <f t="shared" si="24"/>
        <v>Apr-26</v>
      </c>
      <c r="CF41" s="127">
        <f t="shared" si="25"/>
        <v>27090</v>
      </c>
      <c r="CG41" s="127">
        <f t="shared" si="26"/>
        <v>33540</v>
      </c>
      <c r="CH41" s="127">
        <f t="shared" si="27"/>
        <v>2</v>
      </c>
      <c r="CI41" s="147" t="str">
        <f t="shared" si="28"/>
        <v>BG AHD</v>
      </c>
      <c r="CJ41" s="127">
        <v>0</v>
      </c>
      <c r="CK41" s="127">
        <v>0</v>
      </c>
      <c r="CL41" s="127">
        <f t="shared" si="29"/>
        <v>6450</v>
      </c>
      <c r="CM41" s="127">
        <f t="shared" si="30"/>
        <v>6450</v>
      </c>
      <c r="CN41" s="127">
        <f t="shared" si="31"/>
        <v>6450</v>
      </c>
      <c r="CO41" s="127">
        <f t="shared" si="32"/>
        <v>39577.199999999997</v>
      </c>
      <c r="CP41" s="127">
        <f t="shared" si="33"/>
        <v>-31966.199999999997</v>
      </c>
      <c r="CQ41" s="127">
        <f t="shared" si="34"/>
        <v>0</v>
      </c>
      <c r="CR41" s="127">
        <f t="shared" si="35"/>
        <v>0</v>
      </c>
      <c r="CS41" s="127">
        <f t="shared" si="36"/>
        <v>7611</v>
      </c>
      <c r="CT41" s="127" t="s">
        <v>361</v>
      </c>
      <c r="CU41" s="127" t="s">
        <v>361</v>
      </c>
      <c r="CV41" s="142" t="str">
        <f t="shared" si="37"/>
        <v>AAMCB5608A</v>
      </c>
      <c r="CW41" s="142" t="str">
        <f t="shared" si="38"/>
        <v>BJHPB3107J</v>
      </c>
    </row>
    <row r="42" spans="2:101" s="149" customFormat="1" ht="11.85" customHeight="1" x14ac:dyDescent="0.25">
      <c r="B42" s="120" t="str">
        <f t="shared" si="0"/>
        <v>Q1</v>
      </c>
      <c r="C42" s="121" t="str">
        <f t="shared" si="1"/>
        <v>Apr-26</v>
      </c>
      <c r="D42" s="122">
        <v>46125</v>
      </c>
      <c r="E42" s="123" t="s">
        <v>3171</v>
      </c>
      <c r="F42" s="123" t="s">
        <v>196</v>
      </c>
      <c r="G42" s="123" t="s">
        <v>198</v>
      </c>
      <c r="H42" s="124" t="s">
        <v>3172</v>
      </c>
      <c r="I42" s="122">
        <v>46125</v>
      </c>
      <c r="J42" s="123" t="s">
        <v>3173</v>
      </c>
      <c r="K42" s="122">
        <v>46125</v>
      </c>
      <c r="L42" s="123" t="s">
        <v>199</v>
      </c>
      <c r="M42" s="123" t="s">
        <v>244</v>
      </c>
      <c r="N42" s="550" t="s">
        <v>258</v>
      </c>
      <c r="O42" s="123">
        <v>2230</v>
      </c>
      <c r="P42" s="551">
        <v>1.1000000000000001</v>
      </c>
      <c r="Q42" s="125">
        <f t="shared" si="2"/>
        <v>2453</v>
      </c>
      <c r="R42" s="126">
        <v>0</v>
      </c>
      <c r="S42" s="125">
        <f t="shared" si="3"/>
        <v>2230</v>
      </c>
      <c r="T42" s="126">
        <v>0</v>
      </c>
      <c r="U42" s="127">
        <v>0</v>
      </c>
      <c r="V42" s="128">
        <v>0</v>
      </c>
      <c r="W42" s="127">
        <v>0</v>
      </c>
      <c r="X42" s="129">
        <v>0</v>
      </c>
      <c r="Y42" s="127">
        <v>0</v>
      </c>
      <c r="Z42" s="127">
        <v>0</v>
      </c>
      <c r="AA42" s="126">
        <v>0</v>
      </c>
      <c r="AB42" s="130">
        <f t="shared" si="4"/>
        <v>0</v>
      </c>
      <c r="AC42" s="129">
        <v>0</v>
      </c>
      <c r="AD42" s="125">
        <f t="shared" si="5"/>
        <v>1.1000000000000001</v>
      </c>
      <c r="AE42" s="144">
        <v>0</v>
      </c>
      <c r="AF42" s="127">
        <v>0</v>
      </c>
      <c r="AG42" s="131">
        <v>0</v>
      </c>
      <c r="AH42" s="127">
        <v>0</v>
      </c>
      <c r="AI42" s="128">
        <v>0</v>
      </c>
      <c r="AJ42" s="127">
        <v>0</v>
      </c>
      <c r="AK42" s="127">
        <v>0</v>
      </c>
      <c r="AL42" s="127">
        <v>0</v>
      </c>
      <c r="AM42" s="132">
        <f t="shared" si="6"/>
        <v>2453</v>
      </c>
      <c r="AN42" s="133">
        <v>46125</v>
      </c>
      <c r="AO42" s="134" t="s">
        <v>3246</v>
      </c>
      <c r="AP42" s="135" t="s">
        <v>234</v>
      </c>
      <c r="AQ42" s="136" t="s">
        <v>235</v>
      </c>
      <c r="AR42" s="136" t="s">
        <v>236</v>
      </c>
      <c r="AS42" s="123" t="s">
        <v>237</v>
      </c>
      <c r="AT42" s="137" t="s">
        <v>238</v>
      </c>
      <c r="AU42" s="137" t="s">
        <v>197</v>
      </c>
      <c r="AV42" s="138" t="s">
        <v>329</v>
      </c>
      <c r="AW42" s="136">
        <v>2230</v>
      </c>
      <c r="AX42" s="138">
        <v>2.1</v>
      </c>
      <c r="AY42" s="136">
        <f t="shared" si="7"/>
        <v>4683</v>
      </c>
      <c r="AZ42" s="139" t="b">
        <f t="shared" si="8"/>
        <v>1</v>
      </c>
      <c r="BA42" s="125">
        <v>0</v>
      </c>
      <c r="BB42" s="140">
        <f t="shared" si="9"/>
        <v>2230</v>
      </c>
      <c r="BC42" s="141">
        <v>0</v>
      </c>
      <c r="BD42" s="140" t="s">
        <v>107</v>
      </c>
      <c r="BE42" s="141">
        <v>0</v>
      </c>
      <c r="BF42" s="140">
        <v>0</v>
      </c>
      <c r="BG42" s="141">
        <v>0</v>
      </c>
      <c r="BH42" s="127">
        <v>0</v>
      </c>
      <c r="BI42" s="130">
        <v>0</v>
      </c>
      <c r="BJ42" s="128">
        <v>0</v>
      </c>
      <c r="BK42" s="125">
        <v>0</v>
      </c>
      <c r="BL42" s="136">
        <v>0</v>
      </c>
      <c r="BM42" s="127">
        <v>0</v>
      </c>
      <c r="BN42" s="142">
        <f t="shared" si="10"/>
        <v>0</v>
      </c>
      <c r="BO42" s="126">
        <f t="shared" si="11"/>
        <v>4683</v>
      </c>
      <c r="BP42" s="132">
        <f t="shared" si="12"/>
        <v>2230</v>
      </c>
      <c r="BQ42" s="141" t="str">
        <f t="shared" si="13"/>
        <v>Positive Margin</v>
      </c>
      <c r="BR42" s="143" t="s">
        <v>119</v>
      </c>
      <c r="BS42" s="125">
        <f t="shared" si="14"/>
        <v>2230</v>
      </c>
      <c r="BT42" s="144" t="str">
        <f t="shared" si="15"/>
        <v>Positive Margin at Inception</v>
      </c>
      <c r="BU42" s="145">
        <f t="shared" si="16"/>
        <v>0.47619047619047616</v>
      </c>
      <c r="BV42" s="144" t="str">
        <f t="shared" si="17"/>
        <v>More than 2%</v>
      </c>
      <c r="BW42" s="125">
        <f t="shared" si="18"/>
        <v>0</v>
      </c>
      <c r="BX42" s="126">
        <f t="shared" si="19"/>
        <v>0</v>
      </c>
      <c r="BY42" s="125">
        <f t="shared" si="20"/>
        <v>0</v>
      </c>
      <c r="BZ42" s="146">
        <f t="shared" si="21"/>
        <v>0</v>
      </c>
      <c r="CA42" s="146">
        <f t="shared" si="22"/>
        <v>0</v>
      </c>
      <c r="CB42" s="127">
        <f t="shared" si="23"/>
        <v>0</v>
      </c>
      <c r="CC42" s="146" t="s">
        <v>397</v>
      </c>
      <c r="CD42" s="127">
        <v>0</v>
      </c>
      <c r="CE42" s="127" t="str">
        <f t="shared" si="24"/>
        <v>Apr-26</v>
      </c>
      <c r="CF42" s="127">
        <f t="shared" si="25"/>
        <v>2453</v>
      </c>
      <c r="CG42" s="127">
        <f t="shared" si="26"/>
        <v>4683</v>
      </c>
      <c r="CH42" s="127">
        <f t="shared" si="27"/>
        <v>2</v>
      </c>
      <c r="CI42" s="147" t="str">
        <f t="shared" si="28"/>
        <v>BG AHD</v>
      </c>
      <c r="CJ42" s="127">
        <v>0</v>
      </c>
      <c r="CK42" s="127">
        <v>0</v>
      </c>
      <c r="CL42" s="127">
        <f t="shared" si="29"/>
        <v>2230</v>
      </c>
      <c r="CM42" s="127">
        <f t="shared" si="30"/>
        <v>2230</v>
      </c>
      <c r="CN42" s="127">
        <f t="shared" si="31"/>
        <v>2230</v>
      </c>
      <c r="CO42" s="127">
        <f t="shared" si="32"/>
        <v>5525.94</v>
      </c>
      <c r="CP42" s="127">
        <f t="shared" si="33"/>
        <v>-2894.54</v>
      </c>
      <c r="CQ42" s="127">
        <f t="shared" si="34"/>
        <v>0</v>
      </c>
      <c r="CR42" s="127">
        <f t="shared" si="35"/>
        <v>0</v>
      </c>
      <c r="CS42" s="127">
        <f t="shared" si="36"/>
        <v>2631.3999999999996</v>
      </c>
      <c r="CT42" s="127" t="s">
        <v>361</v>
      </c>
      <c r="CU42" s="127" t="s">
        <v>361</v>
      </c>
      <c r="CV42" s="142" t="str">
        <f t="shared" si="37"/>
        <v>AAMCB5608A</v>
      </c>
      <c r="CW42" s="142" t="str">
        <f t="shared" si="38"/>
        <v>BJHPB3107J</v>
      </c>
    </row>
    <row r="43" spans="2:101" s="149" customFormat="1" ht="11.85" customHeight="1" x14ac:dyDescent="0.25">
      <c r="B43" s="120" t="str">
        <f t="shared" si="0"/>
        <v>Q1</v>
      </c>
      <c r="C43" s="121" t="str">
        <f t="shared" si="1"/>
        <v>Apr-26</v>
      </c>
      <c r="D43" s="122">
        <v>46125</v>
      </c>
      <c r="E43" s="123" t="s">
        <v>3174</v>
      </c>
      <c r="F43" s="123" t="s">
        <v>196</v>
      </c>
      <c r="G43" s="123" t="s">
        <v>198</v>
      </c>
      <c r="H43" s="124" t="s">
        <v>3175</v>
      </c>
      <c r="I43" s="122">
        <v>46125</v>
      </c>
      <c r="J43" s="123" t="s">
        <v>3176</v>
      </c>
      <c r="K43" s="122">
        <v>46125</v>
      </c>
      <c r="L43" s="123" t="s">
        <v>199</v>
      </c>
      <c r="M43" s="123" t="s">
        <v>202</v>
      </c>
      <c r="N43" s="550" t="s">
        <v>203</v>
      </c>
      <c r="O43" s="123">
        <v>4760</v>
      </c>
      <c r="P43" s="551">
        <v>16.100000000000001</v>
      </c>
      <c r="Q43" s="125">
        <f t="shared" si="2"/>
        <v>76636</v>
      </c>
      <c r="R43" s="126">
        <v>0</v>
      </c>
      <c r="S43" s="125">
        <f t="shared" si="3"/>
        <v>4760</v>
      </c>
      <c r="T43" s="126">
        <v>0</v>
      </c>
      <c r="U43" s="127">
        <v>0</v>
      </c>
      <c r="V43" s="128">
        <v>0</v>
      </c>
      <c r="W43" s="127">
        <v>0</v>
      </c>
      <c r="X43" s="129">
        <v>0</v>
      </c>
      <c r="Y43" s="127">
        <v>0</v>
      </c>
      <c r="Z43" s="127">
        <v>0</v>
      </c>
      <c r="AA43" s="126">
        <v>0</v>
      </c>
      <c r="AB43" s="130">
        <f t="shared" si="4"/>
        <v>0</v>
      </c>
      <c r="AC43" s="129">
        <v>0</v>
      </c>
      <c r="AD43" s="125">
        <f t="shared" si="5"/>
        <v>16.100000000000001</v>
      </c>
      <c r="AE43" s="144">
        <v>0</v>
      </c>
      <c r="AF43" s="127">
        <v>0</v>
      </c>
      <c r="AG43" s="131">
        <v>0</v>
      </c>
      <c r="AH43" s="127">
        <v>0</v>
      </c>
      <c r="AI43" s="128">
        <v>0</v>
      </c>
      <c r="AJ43" s="127">
        <v>0</v>
      </c>
      <c r="AK43" s="127">
        <v>0</v>
      </c>
      <c r="AL43" s="127">
        <v>0</v>
      </c>
      <c r="AM43" s="132">
        <f t="shared" si="6"/>
        <v>76636</v>
      </c>
      <c r="AN43" s="133">
        <v>46125</v>
      </c>
      <c r="AO43" s="134" t="s">
        <v>3247</v>
      </c>
      <c r="AP43" s="135" t="s">
        <v>234</v>
      </c>
      <c r="AQ43" s="136" t="s">
        <v>235</v>
      </c>
      <c r="AR43" s="136" t="s">
        <v>236</v>
      </c>
      <c r="AS43" s="123" t="s">
        <v>2006</v>
      </c>
      <c r="AT43" s="137" t="s">
        <v>238</v>
      </c>
      <c r="AU43" s="137" t="s">
        <v>197</v>
      </c>
      <c r="AV43" s="138" t="s">
        <v>329</v>
      </c>
      <c r="AW43" s="136">
        <v>4760</v>
      </c>
      <c r="AX43" s="138">
        <v>20</v>
      </c>
      <c r="AY43" s="136">
        <f t="shared" si="7"/>
        <v>95200</v>
      </c>
      <c r="AZ43" s="139" t="b">
        <f t="shared" si="8"/>
        <v>1</v>
      </c>
      <c r="BA43" s="125">
        <v>0</v>
      </c>
      <c r="BB43" s="140">
        <f t="shared" si="9"/>
        <v>4760</v>
      </c>
      <c r="BC43" s="141">
        <v>0</v>
      </c>
      <c r="BD43" s="140" t="s">
        <v>107</v>
      </c>
      <c r="BE43" s="141">
        <v>0</v>
      </c>
      <c r="BF43" s="140">
        <v>0</v>
      </c>
      <c r="BG43" s="141">
        <v>0</v>
      </c>
      <c r="BH43" s="127">
        <v>0</v>
      </c>
      <c r="BI43" s="130">
        <v>0</v>
      </c>
      <c r="BJ43" s="128">
        <v>0</v>
      </c>
      <c r="BK43" s="125">
        <v>0</v>
      </c>
      <c r="BL43" s="136">
        <v>0</v>
      </c>
      <c r="BM43" s="127">
        <v>0</v>
      </c>
      <c r="BN43" s="142">
        <f t="shared" si="10"/>
        <v>0</v>
      </c>
      <c r="BO43" s="126">
        <f t="shared" si="11"/>
        <v>95200</v>
      </c>
      <c r="BP43" s="132">
        <f t="shared" si="12"/>
        <v>18564</v>
      </c>
      <c r="BQ43" s="141" t="str">
        <f t="shared" si="13"/>
        <v>Positive Margin</v>
      </c>
      <c r="BR43" s="143" t="s">
        <v>119</v>
      </c>
      <c r="BS43" s="125">
        <f t="shared" si="14"/>
        <v>18564</v>
      </c>
      <c r="BT43" s="144" t="str">
        <f t="shared" si="15"/>
        <v>Positive Margin at Inception</v>
      </c>
      <c r="BU43" s="145">
        <f t="shared" si="16"/>
        <v>0.19500000000000001</v>
      </c>
      <c r="BV43" s="144" t="str">
        <f t="shared" si="17"/>
        <v>More than 2%</v>
      </c>
      <c r="BW43" s="125">
        <f t="shared" si="18"/>
        <v>0</v>
      </c>
      <c r="BX43" s="126">
        <f t="shared" si="19"/>
        <v>0</v>
      </c>
      <c r="BY43" s="125">
        <f t="shared" si="20"/>
        <v>0</v>
      </c>
      <c r="BZ43" s="146">
        <f t="shared" si="21"/>
        <v>0</v>
      </c>
      <c r="CA43" s="146">
        <f t="shared" si="22"/>
        <v>0</v>
      </c>
      <c r="CB43" s="127">
        <f t="shared" si="23"/>
        <v>0</v>
      </c>
      <c r="CC43" s="146" t="s">
        <v>397</v>
      </c>
      <c r="CD43" s="127">
        <v>0</v>
      </c>
      <c r="CE43" s="127" t="str">
        <f t="shared" si="24"/>
        <v>Apr-26</v>
      </c>
      <c r="CF43" s="127">
        <f t="shared" si="25"/>
        <v>76636</v>
      </c>
      <c r="CG43" s="127">
        <f t="shared" si="26"/>
        <v>95200</v>
      </c>
      <c r="CH43" s="127">
        <f t="shared" si="27"/>
        <v>2</v>
      </c>
      <c r="CI43" s="147" t="str">
        <f t="shared" si="28"/>
        <v>BG AHD</v>
      </c>
      <c r="CJ43" s="127">
        <v>0</v>
      </c>
      <c r="CK43" s="127">
        <v>0</v>
      </c>
      <c r="CL43" s="127">
        <f t="shared" si="29"/>
        <v>18564</v>
      </c>
      <c r="CM43" s="127">
        <f t="shared" si="30"/>
        <v>18564</v>
      </c>
      <c r="CN43" s="127">
        <f t="shared" si="31"/>
        <v>18564</v>
      </c>
      <c r="CO43" s="127">
        <f t="shared" si="32"/>
        <v>112336</v>
      </c>
      <c r="CP43" s="127">
        <f t="shared" si="33"/>
        <v>-90430.48</v>
      </c>
      <c r="CQ43" s="127">
        <f t="shared" si="34"/>
        <v>0</v>
      </c>
      <c r="CR43" s="127">
        <f t="shared" si="35"/>
        <v>0</v>
      </c>
      <c r="CS43" s="127">
        <f t="shared" si="36"/>
        <v>21905.520000000004</v>
      </c>
      <c r="CT43" s="127" t="s">
        <v>361</v>
      </c>
      <c r="CU43" s="127" t="s">
        <v>361</v>
      </c>
      <c r="CV43" s="142" t="str">
        <f t="shared" si="37"/>
        <v>AAMCB5608A</v>
      </c>
      <c r="CW43" s="142" t="str">
        <f t="shared" si="38"/>
        <v>BJHPB3107J</v>
      </c>
    </row>
    <row r="44" spans="2:101" s="149" customFormat="1" ht="11.85" customHeight="1" x14ac:dyDescent="0.25">
      <c r="B44" s="120" t="str">
        <f t="shared" si="0"/>
        <v>Q1</v>
      </c>
      <c r="C44" s="121" t="str">
        <f t="shared" si="1"/>
        <v>Apr-26</v>
      </c>
      <c r="D44" s="122">
        <v>46125</v>
      </c>
      <c r="E44" s="123" t="s">
        <v>3177</v>
      </c>
      <c r="F44" s="123" t="s">
        <v>196</v>
      </c>
      <c r="G44" s="123" t="s">
        <v>198</v>
      </c>
      <c r="H44" s="124" t="s">
        <v>3178</v>
      </c>
      <c r="I44" s="122">
        <v>46125</v>
      </c>
      <c r="J44" s="123" t="s">
        <v>3179</v>
      </c>
      <c r="K44" s="122">
        <v>46125</v>
      </c>
      <c r="L44" s="123" t="s">
        <v>199</v>
      </c>
      <c r="M44" s="123" t="s">
        <v>399</v>
      </c>
      <c r="N44" s="550" t="s">
        <v>2834</v>
      </c>
      <c r="O44" s="123">
        <v>8440</v>
      </c>
      <c r="P44" s="551">
        <v>0.5</v>
      </c>
      <c r="Q44" s="125">
        <f t="shared" si="2"/>
        <v>4220</v>
      </c>
      <c r="R44" s="126">
        <v>0</v>
      </c>
      <c r="S44" s="125">
        <f t="shared" si="3"/>
        <v>8440</v>
      </c>
      <c r="T44" s="126">
        <v>0</v>
      </c>
      <c r="U44" s="127">
        <v>0</v>
      </c>
      <c r="V44" s="128">
        <v>0</v>
      </c>
      <c r="W44" s="127">
        <v>0</v>
      </c>
      <c r="X44" s="129">
        <v>0</v>
      </c>
      <c r="Y44" s="127">
        <v>0</v>
      </c>
      <c r="Z44" s="127">
        <v>0</v>
      </c>
      <c r="AA44" s="126">
        <v>0</v>
      </c>
      <c r="AB44" s="130">
        <f t="shared" si="4"/>
        <v>0</v>
      </c>
      <c r="AC44" s="129">
        <v>0</v>
      </c>
      <c r="AD44" s="125">
        <f t="shared" si="5"/>
        <v>0.5</v>
      </c>
      <c r="AE44" s="144">
        <v>0</v>
      </c>
      <c r="AF44" s="127">
        <v>0</v>
      </c>
      <c r="AG44" s="131">
        <v>0</v>
      </c>
      <c r="AH44" s="127">
        <v>0</v>
      </c>
      <c r="AI44" s="128">
        <v>0</v>
      </c>
      <c r="AJ44" s="127">
        <v>0</v>
      </c>
      <c r="AK44" s="127">
        <v>0</v>
      </c>
      <c r="AL44" s="127">
        <v>0</v>
      </c>
      <c r="AM44" s="132">
        <f t="shared" si="6"/>
        <v>4220</v>
      </c>
      <c r="AN44" s="133">
        <v>46125</v>
      </c>
      <c r="AO44" s="134" t="s">
        <v>3245</v>
      </c>
      <c r="AP44" s="135" t="s">
        <v>234</v>
      </c>
      <c r="AQ44" s="136" t="s">
        <v>235</v>
      </c>
      <c r="AR44" s="136" t="s">
        <v>236</v>
      </c>
      <c r="AS44" s="123" t="s">
        <v>237</v>
      </c>
      <c r="AT44" s="137" t="s">
        <v>238</v>
      </c>
      <c r="AU44" s="137" t="s">
        <v>197</v>
      </c>
      <c r="AV44" s="138" t="s">
        <v>329</v>
      </c>
      <c r="AW44" s="136">
        <v>8440</v>
      </c>
      <c r="AX44" s="138">
        <v>1</v>
      </c>
      <c r="AY44" s="136">
        <f t="shared" si="7"/>
        <v>8440</v>
      </c>
      <c r="AZ44" s="139" t="b">
        <f t="shared" si="8"/>
        <v>1</v>
      </c>
      <c r="BA44" s="125">
        <v>0</v>
      </c>
      <c r="BB44" s="140">
        <f t="shared" si="9"/>
        <v>8440</v>
      </c>
      <c r="BC44" s="141">
        <v>0</v>
      </c>
      <c r="BD44" s="140" t="s">
        <v>107</v>
      </c>
      <c r="BE44" s="141">
        <v>0</v>
      </c>
      <c r="BF44" s="140">
        <v>0</v>
      </c>
      <c r="BG44" s="141">
        <v>0</v>
      </c>
      <c r="BH44" s="127">
        <v>0</v>
      </c>
      <c r="BI44" s="130">
        <v>0</v>
      </c>
      <c r="BJ44" s="128">
        <v>0</v>
      </c>
      <c r="BK44" s="125">
        <v>0</v>
      </c>
      <c r="BL44" s="136">
        <v>0</v>
      </c>
      <c r="BM44" s="127">
        <v>0</v>
      </c>
      <c r="BN44" s="142">
        <f t="shared" si="10"/>
        <v>0</v>
      </c>
      <c r="BO44" s="126">
        <f t="shared" si="11"/>
        <v>8440</v>
      </c>
      <c r="BP44" s="132">
        <f t="shared" si="12"/>
        <v>4220</v>
      </c>
      <c r="BQ44" s="141" t="str">
        <f t="shared" si="13"/>
        <v>Positive Margin</v>
      </c>
      <c r="BR44" s="143" t="s">
        <v>119</v>
      </c>
      <c r="BS44" s="125">
        <f t="shared" si="14"/>
        <v>4220</v>
      </c>
      <c r="BT44" s="144" t="str">
        <f t="shared" si="15"/>
        <v>Positive Margin at Inception</v>
      </c>
      <c r="BU44" s="145">
        <f t="shared" si="16"/>
        <v>0.5</v>
      </c>
      <c r="BV44" s="144" t="str">
        <f t="shared" si="17"/>
        <v>More than 2%</v>
      </c>
      <c r="BW44" s="125">
        <f t="shared" si="18"/>
        <v>0</v>
      </c>
      <c r="BX44" s="126">
        <f t="shared" si="19"/>
        <v>0</v>
      </c>
      <c r="BY44" s="125">
        <f t="shared" si="20"/>
        <v>0</v>
      </c>
      <c r="BZ44" s="146">
        <f t="shared" si="21"/>
        <v>0</v>
      </c>
      <c r="CA44" s="146">
        <f t="shared" si="22"/>
        <v>0</v>
      </c>
      <c r="CB44" s="127">
        <f t="shared" si="23"/>
        <v>0</v>
      </c>
      <c r="CC44" s="146" t="s">
        <v>397</v>
      </c>
      <c r="CD44" s="127">
        <v>0</v>
      </c>
      <c r="CE44" s="127" t="str">
        <f t="shared" si="24"/>
        <v>Apr-26</v>
      </c>
      <c r="CF44" s="127">
        <f t="shared" si="25"/>
        <v>4220</v>
      </c>
      <c r="CG44" s="127">
        <f t="shared" si="26"/>
        <v>8440</v>
      </c>
      <c r="CH44" s="127">
        <f t="shared" si="27"/>
        <v>2</v>
      </c>
      <c r="CI44" s="147" t="str">
        <f t="shared" si="28"/>
        <v>BG AHD</v>
      </c>
      <c r="CJ44" s="127">
        <v>0</v>
      </c>
      <c r="CK44" s="127">
        <v>0</v>
      </c>
      <c r="CL44" s="127">
        <f t="shared" si="29"/>
        <v>4220</v>
      </c>
      <c r="CM44" s="127">
        <f t="shared" si="30"/>
        <v>4220</v>
      </c>
      <c r="CN44" s="127">
        <f t="shared" si="31"/>
        <v>4220</v>
      </c>
      <c r="CO44" s="127">
        <f t="shared" si="32"/>
        <v>9959.1999999999989</v>
      </c>
      <c r="CP44" s="127">
        <f t="shared" si="33"/>
        <v>-4979.5999999999995</v>
      </c>
      <c r="CQ44" s="127">
        <f t="shared" si="34"/>
        <v>0</v>
      </c>
      <c r="CR44" s="127">
        <f t="shared" si="35"/>
        <v>0</v>
      </c>
      <c r="CS44" s="127">
        <f t="shared" si="36"/>
        <v>4979.5999999999995</v>
      </c>
      <c r="CT44" s="127" t="s">
        <v>361</v>
      </c>
      <c r="CU44" s="127" t="s">
        <v>361</v>
      </c>
      <c r="CV44" s="142" t="str">
        <f t="shared" si="37"/>
        <v>AAMCB5608A</v>
      </c>
      <c r="CW44" s="142" t="str">
        <f t="shared" si="38"/>
        <v>BJHPB3107J</v>
      </c>
    </row>
    <row r="45" spans="2:101" s="149" customFormat="1" ht="11.85" customHeight="1" x14ac:dyDescent="0.25">
      <c r="B45" s="120" t="str">
        <f t="shared" si="0"/>
        <v>Q1</v>
      </c>
      <c r="C45" s="121" t="str">
        <f t="shared" si="1"/>
        <v>Apr-26</v>
      </c>
      <c r="D45" s="122">
        <v>46125</v>
      </c>
      <c r="E45" s="123" t="s">
        <v>3177</v>
      </c>
      <c r="F45" s="123" t="s">
        <v>196</v>
      </c>
      <c r="G45" s="123" t="s">
        <v>198</v>
      </c>
      <c r="H45" s="124" t="s">
        <v>3178</v>
      </c>
      <c r="I45" s="122">
        <v>46125</v>
      </c>
      <c r="J45" s="123" t="s">
        <v>3179</v>
      </c>
      <c r="K45" s="122">
        <v>46125</v>
      </c>
      <c r="L45" s="123" t="s">
        <v>199</v>
      </c>
      <c r="M45" s="123" t="s">
        <v>399</v>
      </c>
      <c r="N45" s="550" t="s">
        <v>258</v>
      </c>
      <c r="O45" s="123">
        <v>1100</v>
      </c>
      <c r="P45" s="551">
        <v>1.1000000000000001</v>
      </c>
      <c r="Q45" s="125">
        <f t="shared" si="2"/>
        <v>1210</v>
      </c>
      <c r="R45" s="126">
        <v>0</v>
      </c>
      <c r="S45" s="125">
        <f t="shared" si="3"/>
        <v>1100</v>
      </c>
      <c r="T45" s="126">
        <v>0</v>
      </c>
      <c r="U45" s="127">
        <v>0</v>
      </c>
      <c r="V45" s="128">
        <v>0</v>
      </c>
      <c r="W45" s="127">
        <v>0</v>
      </c>
      <c r="X45" s="129">
        <v>0</v>
      </c>
      <c r="Y45" s="127">
        <v>0</v>
      </c>
      <c r="Z45" s="127">
        <v>0</v>
      </c>
      <c r="AA45" s="126">
        <v>0</v>
      </c>
      <c r="AB45" s="130">
        <f t="shared" si="4"/>
        <v>0</v>
      </c>
      <c r="AC45" s="129">
        <v>0</v>
      </c>
      <c r="AD45" s="125">
        <f t="shared" si="5"/>
        <v>1.1000000000000001</v>
      </c>
      <c r="AE45" s="144">
        <v>0</v>
      </c>
      <c r="AF45" s="127">
        <v>0</v>
      </c>
      <c r="AG45" s="131">
        <v>0</v>
      </c>
      <c r="AH45" s="127">
        <v>0</v>
      </c>
      <c r="AI45" s="128">
        <v>0</v>
      </c>
      <c r="AJ45" s="127">
        <v>0</v>
      </c>
      <c r="AK45" s="127">
        <v>0</v>
      </c>
      <c r="AL45" s="127">
        <v>0</v>
      </c>
      <c r="AM45" s="132">
        <f t="shared" si="6"/>
        <v>1210</v>
      </c>
      <c r="AN45" s="133">
        <v>46125</v>
      </c>
      <c r="AO45" s="134" t="s">
        <v>3245</v>
      </c>
      <c r="AP45" s="135" t="s">
        <v>234</v>
      </c>
      <c r="AQ45" s="136" t="s">
        <v>235</v>
      </c>
      <c r="AR45" s="136" t="s">
        <v>236</v>
      </c>
      <c r="AS45" s="123" t="s">
        <v>237</v>
      </c>
      <c r="AT45" s="137" t="s">
        <v>238</v>
      </c>
      <c r="AU45" s="137" t="s">
        <v>197</v>
      </c>
      <c r="AV45" s="138" t="s">
        <v>329</v>
      </c>
      <c r="AW45" s="136">
        <v>1100</v>
      </c>
      <c r="AX45" s="138">
        <v>2.1</v>
      </c>
      <c r="AY45" s="136">
        <f t="shared" si="7"/>
        <v>2310</v>
      </c>
      <c r="AZ45" s="139" t="b">
        <f t="shared" si="8"/>
        <v>1</v>
      </c>
      <c r="BA45" s="125">
        <v>0</v>
      </c>
      <c r="BB45" s="140">
        <f t="shared" si="9"/>
        <v>1100</v>
      </c>
      <c r="BC45" s="141">
        <v>0</v>
      </c>
      <c r="BD45" s="140" t="s">
        <v>107</v>
      </c>
      <c r="BE45" s="141">
        <v>0</v>
      </c>
      <c r="BF45" s="140">
        <v>0</v>
      </c>
      <c r="BG45" s="141">
        <v>0</v>
      </c>
      <c r="BH45" s="127">
        <v>0</v>
      </c>
      <c r="BI45" s="130">
        <v>0</v>
      </c>
      <c r="BJ45" s="128">
        <v>0</v>
      </c>
      <c r="BK45" s="125">
        <v>0</v>
      </c>
      <c r="BL45" s="136">
        <v>0</v>
      </c>
      <c r="BM45" s="127">
        <v>0</v>
      </c>
      <c r="BN45" s="142">
        <f t="shared" si="10"/>
        <v>0</v>
      </c>
      <c r="BO45" s="126">
        <f t="shared" si="11"/>
        <v>2310</v>
      </c>
      <c r="BP45" s="132">
        <f t="shared" si="12"/>
        <v>1100</v>
      </c>
      <c r="BQ45" s="141" t="str">
        <f t="shared" si="13"/>
        <v>Positive Margin</v>
      </c>
      <c r="BR45" s="143" t="s">
        <v>119</v>
      </c>
      <c r="BS45" s="125">
        <f t="shared" si="14"/>
        <v>1100</v>
      </c>
      <c r="BT45" s="144" t="str">
        <f t="shared" si="15"/>
        <v>Positive Margin at Inception</v>
      </c>
      <c r="BU45" s="145">
        <f t="shared" si="16"/>
        <v>0.47619047619047616</v>
      </c>
      <c r="BV45" s="144" t="str">
        <f t="shared" si="17"/>
        <v>More than 2%</v>
      </c>
      <c r="BW45" s="125">
        <f t="shared" si="18"/>
        <v>0</v>
      </c>
      <c r="BX45" s="126">
        <f t="shared" si="19"/>
        <v>0</v>
      </c>
      <c r="BY45" s="125">
        <f t="shared" si="20"/>
        <v>0</v>
      </c>
      <c r="BZ45" s="146">
        <f t="shared" si="21"/>
        <v>0</v>
      </c>
      <c r="CA45" s="146">
        <f t="shared" si="22"/>
        <v>0</v>
      </c>
      <c r="CB45" s="127">
        <f t="shared" si="23"/>
        <v>0</v>
      </c>
      <c r="CC45" s="146" t="s">
        <v>397</v>
      </c>
      <c r="CD45" s="127">
        <v>0</v>
      </c>
      <c r="CE45" s="127" t="str">
        <f t="shared" si="24"/>
        <v>Apr-26</v>
      </c>
      <c r="CF45" s="127">
        <f t="shared" si="25"/>
        <v>1210</v>
      </c>
      <c r="CG45" s="127">
        <f t="shared" si="26"/>
        <v>2310</v>
      </c>
      <c r="CH45" s="127">
        <f t="shared" si="27"/>
        <v>2</v>
      </c>
      <c r="CI45" s="147" t="str">
        <f t="shared" si="28"/>
        <v>BG AHD</v>
      </c>
      <c r="CJ45" s="127">
        <v>0</v>
      </c>
      <c r="CK45" s="127">
        <v>0</v>
      </c>
      <c r="CL45" s="127">
        <f t="shared" si="29"/>
        <v>1100</v>
      </c>
      <c r="CM45" s="127">
        <f t="shared" si="30"/>
        <v>1100</v>
      </c>
      <c r="CN45" s="127">
        <f t="shared" si="31"/>
        <v>1100</v>
      </c>
      <c r="CO45" s="127">
        <f t="shared" si="32"/>
        <v>2725.7999999999997</v>
      </c>
      <c r="CP45" s="127">
        <f t="shared" si="33"/>
        <v>-1427.8</v>
      </c>
      <c r="CQ45" s="127">
        <f t="shared" si="34"/>
        <v>0</v>
      </c>
      <c r="CR45" s="127">
        <f t="shared" si="35"/>
        <v>0</v>
      </c>
      <c r="CS45" s="127">
        <f t="shared" si="36"/>
        <v>1297.9999999999998</v>
      </c>
      <c r="CT45" s="127" t="s">
        <v>361</v>
      </c>
      <c r="CU45" s="127" t="s">
        <v>361</v>
      </c>
      <c r="CV45" s="142" t="str">
        <f t="shared" si="37"/>
        <v>AAMCB5608A</v>
      </c>
      <c r="CW45" s="142" t="str">
        <f t="shared" si="38"/>
        <v>BJHPB3107J</v>
      </c>
    </row>
    <row r="46" spans="2:101" s="149" customFormat="1" ht="11.85" customHeight="1" x14ac:dyDescent="0.25">
      <c r="B46" s="120" t="str">
        <f t="shared" si="0"/>
        <v>Q1</v>
      </c>
      <c r="C46" s="121" t="str">
        <f t="shared" si="1"/>
        <v>Apr-26</v>
      </c>
      <c r="D46" s="122">
        <v>46125</v>
      </c>
      <c r="E46" s="123" t="s">
        <v>3180</v>
      </c>
      <c r="F46" s="123" t="s">
        <v>196</v>
      </c>
      <c r="G46" s="123" t="s">
        <v>198</v>
      </c>
      <c r="H46" s="124" t="s">
        <v>3181</v>
      </c>
      <c r="I46" s="122">
        <v>46125</v>
      </c>
      <c r="J46" s="123" t="s">
        <v>3182</v>
      </c>
      <c r="K46" s="122">
        <v>46125</v>
      </c>
      <c r="L46" s="123" t="s">
        <v>199</v>
      </c>
      <c r="M46" s="123" t="s">
        <v>244</v>
      </c>
      <c r="N46" s="550" t="s">
        <v>268</v>
      </c>
      <c r="O46" s="123">
        <v>915</v>
      </c>
      <c r="P46" s="551">
        <v>125</v>
      </c>
      <c r="Q46" s="125">
        <f t="shared" si="2"/>
        <v>114375</v>
      </c>
      <c r="R46" s="126">
        <v>0</v>
      </c>
      <c r="S46" s="125">
        <f t="shared" si="3"/>
        <v>915</v>
      </c>
      <c r="T46" s="126">
        <v>0</v>
      </c>
      <c r="U46" s="127">
        <v>0</v>
      </c>
      <c r="V46" s="128">
        <v>0</v>
      </c>
      <c r="W46" s="127">
        <v>0</v>
      </c>
      <c r="X46" s="129">
        <v>0</v>
      </c>
      <c r="Y46" s="127">
        <v>0</v>
      </c>
      <c r="Z46" s="127">
        <v>0</v>
      </c>
      <c r="AA46" s="126">
        <v>0</v>
      </c>
      <c r="AB46" s="130">
        <f t="shared" si="4"/>
        <v>0</v>
      </c>
      <c r="AC46" s="129">
        <v>0</v>
      </c>
      <c r="AD46" s="125">
        <f t="shared" si="5"/>
        <v>125</v>
      </c>
      <c r="AE46" s="144">
        <v>0</v>
      </c>
      <c r="AF46" s="127">
        <v>0</v>
      </c>
      <c r="AG46" s="131">
        <v>0</v>
      </c>
      <c r="AH46" s="127">
        <v>0</v>
      </c>
      <c r="AI46" s="128">
        <v>0</v>
      </c>
      <c r="AJ46" s="127">
        <v>0</v>
      </c>
      <c r="AK46" s="127">
        <v>0</v>
      </c>
      <c r="AL46" s="127">
        <v>0</v>
      </c>
      <c r="AM46" s="132">
        <f t="shared" si="6"/>
        <v>114375</v>
      </c>
      <c r="AN46" s="133">
        <v>46125</v>
      </c>
      <c r="AO46" s="134" t="s">
        <v>3259</v>
      </c>
      <c r="AP46" s="135" t="s">
        <v>234</v>
      </c>
      <c r="AQ46" s="136" t="s">
        <v>235</v>
      </c>
      <c r="AR46" s="136" t="s">
        <v>236</v>
      </c>
      <c r="AS46" s="123" t="s">
        <v>239</v>
      </c>
      <c r="AT46" s="137" t="s">
        <v>238</v>
      </c>
      <c r="AU46" s="137" t="s">
        <v>197</v>
      </c>
      <c r="AV46" s="138" t="s">
        <v>329</v>
      </c>
      <c r="AW46" s="136">
        <v>915</v>
      </c>
      <c r="AX46" s="138">
        <v>140</v>
      </c>
      <c r="AY46" s="136">
        <f t="shared" si="7"/>
        <v>128100</v>
      </c>
      <c r="AZ46" s="139" t="b">
        <f t="shared" si="8"/>
        <v>1</v>
      </c>
      <c r="BA46" s="125">
        <v>0</v>
      </c>
      <c r="BB46" s="140">
        <f t="shared" si="9"/>
        <v>915</v>
      </c>
      <c r="BC46" s="141">
        <v>0</v>
      </c>
      <c r="BD46" s="140" t="s">
        <v>107</v>
      </c>
      <c r="BE46" s="141">
        <v>0</v>
      </c>
      <c r="BF46" s="140">
        <v>0</v>
      </c>
      <c r="BG46" s="141">
        <v>0</v>
      </c>
      <c r="BH46" s="127">
        <v>0</v>
      </c>
      <c r="BI46" s="130">
        <v>0</v>
      </c>
      <c r="BJ46" s="128">
        <v>0</v>
      </c>
      <c r="BK46" s="125">
        <v>0</v>
      </c>
      <c r="BL46" s="136">
        <v>0</v>
      </c>
      <c r="BM46" s="127">
        <v>0</v>
      </c>
      <c r="BN46" s="142">
        <f t="shared" si="10"/>
        <v>0</v>
      </c>
      <c r="BO46" s="126">
        <f t="shared" si="11"/>
        <v>128100</v>
      </c>
      <c r="BP46" s="132">
        <f t="shared" si="12"/>
        <v>13725</v>
      </c>
      <c r="BQ46" s="141" t="str">
        <f t="shared" si="13"/>
        <v>Positive Margin</v>
      </c>
      <c r="BR46" s="143" t="s">
        <v>119</v>
      </c>
      <c r="BS46" s="125">
        <f t="shared" si="14"/>
        <v>13725</v>
      </c>
      <c r="BT46" s="144" t="str">
        <f t="shared" si="15"/>
        <v>Positive Margin at Inception</v>
      </c>
      <c r="BU46" s="145">
        <f t="shared" si="16"/>
        <v>0.10714285714285714</v>
      </c>
      <c r="BV46" s="144" t="str">
        <f t="shared" si="17"/>
        <v>More than 2%</v>
      </c>
      <c r="BW46" s="125">
        <f t="shared" si="18"/>
        <v>0</v>
      </c>
      <c r="BX46" s="126">
        <f t="shared" si="19"/>
        <v>0</v>
      </c>
      <c r="BY46" s="125">
        <f t="shared" si="20"/>
        <v>0</v>
      </c>
      <c r="BZ46" s="146">
        <f t="shared" si="21"/>
        <v>0</v>
      </c>
      <c r="CA46" s="146">
        <f t="shared" si="22"/>
        <v>0</v>
      </c>
      <c r="CB46" s="127">
        <f t="shared" si="23"/>
        <v>0</v>
      </c>
      <c r="CC46" s="146" t="s">
        <v>397</v>
      </c>
      <c r="CD46" s="127">
        <v>0</v>
      </c>
      <c r="CE46" s="127" t="str">
        <f t="shared" si="24"/>
        <v>Apr-26</v>
      </c>
      <c r="CF46" s="127">
        <f t="shared" si="25"/>
        <v>114375</v>
      </c>
      <c r="CG46" s="127">
        <f t="shared" si="26"/>
        <v>128100</v>
      </c>
      <c r="CH46" s="127">
        <f t="shared" si="27"/>
        <v>2</v>
      </c>
      <c r="CI46" s="147" t="str">
        <f t="shared" si="28"/>
        <v>BG AHD</v>
      </c>
      <c r="CJ46" s="127">
        <v>0</v>
      </c>
      <c r="CK46" s="127">
        <v>0</v>
      </c>
      <c r="CL46" s="127">
        <f t="shared" si="29"/>
        <v>13725</v>
      </c>
      <c r="CM46" s="127">
        <f t="shared" si="30"/>
        <v>13725</v>
      </c>
      <c r="CN46" s="127">
        <f t="shared" si="31"/>
        <v>13725</v>
      </c>
      <c r="CO46" s="127">
        <f t="shared" si="32"/>
        <v>151158</v>
      </c>
      <c r="CP46" s="127">
        <f t="shared" si="33"/>
        <v>-134962.5</v>
      </c>
      <c r="CQ46" s="127">
        <f t="shared" si="34"/>
        <v>0</v>
      </c>
      <c r="CR46" s="127">
        <f t="shared" si="35"/>
        <v>0</v>
      </c>
      <c r="CS46" s="127">
        <f t="shared" si="36"/>
        <v>16195.5</v>
      </c>
      <c r="CT46" s="127" t="s">
        <v>361</v>
      </c>
      <c r="CU46" s="127" t="s">
        <v>361</v>
      </c>
      <c r="CV46" s="142" t="str">
        <f t="shared" si="37"/>
        <v>AAMCB5608A</v>
      </c>
      <c r="CW46" s="142" t="str">
        <f t="shared" si="38"/>
        <v>BJHPB3107J</v>
      </c>
    </row>
    <row r="47" spans="2:101" s="149" customFormat="1" ht="11.85" customHeight="1" x14ac:dyDescent="0.25">
      <c r="B47" s="120" t="str">
        <f t="shared" si="0"/>
        <v>Q1</v>
      </c>
      <c r="C47" s="121" t="str">
        <f t="shared" si="1"/>
        <v>Apr-26</v>
      </c>
      <c r="D47" s="122">
        <v>46126</v>
      </c>
      <c r="E47" s="123" t="s">
        <v>3183</v>
      </c>
      <c r="F47" s="123" t="s">
        <v>196</v>
      </c>
      <c r="G47" s="123" t="s">
        <v>198</v>
      </c>
      <c r="H47" s="124" t="s">
        <v>3184</v>
      </c>
      <c r="I47" s="122">
        <v>46126</v>
      </c>
      <c r="J47" s="123" t="s">
        <v>3185</v>
      </c>
      <c r="K47" s="122">
        <v>46126</v>
      </c>
      <c r="L47" s="123" t="s">
        <v>199</v>
      </c>
      <c r="M47" s="123" t="s">
        <v>244</v>
      </c>
      <c r="N47" s="550" t="s">
        <v>252</v>
      </c>
      <c r="O47" s="123">
        <v>3050</v>
      </c>
      <c r="P47" s="551">
        <v>2</v>
      </c>
      <c r="Q47" s="125">
        <f t="shared" si="2"/>
        <v>6100</v>
      </c>
      <c r="R47" s="126">
        <v>0</v>
      </c>
      <c r="S47" s="125">
        <f t="shared" si="3"/>
        <v>3050</v>
      </c>
      <c r="T47" s="126">
        <v>0</v>
      </c>
      <c r="U47" s="127">
        <v>0</v>
      </c>
      <c r="V47" s="128">
        <v>0</v>
      </c>
      <c r="W47" s="127">
        <v>0</v>
      </c>
      <c r="X47" s="129">
        <v>0</v>
      </c>
      <c r="Y47" s="127">
        <v>0</v>
      </c>
      <c r="Z47" s="127">
        <v>0</v>
      </c>
      <c r="AA47" s="126">
        <v>0</v>
      </c>
      <c r="AB47" s="130">
        <f t="shared" si="4"/>
        <v>0</v>
      </c>
      <c r="AC47" s="129">
        <v>0</v>
      </c>
      <c r="AD47" s="125">
        <f t="shared" si="5"/>
        <v>2</v>
      </c>
      <c r="AE47" s="144">
        <v>0</v>
      </c>
      <c r="AF47" s="127">
        <v>0</v>
      </c>
      <c r="AG47" s="131">
        <v>0</v>
      </c>
      <c r="AH47" s="127">
        <v>0</v>
      </c>
      <c r="AI47" s="128">
        <v>0</v>
      </c>
      <c r="AJ47" s="127">
        <v>0</v>
      </c>
      <c r="AK47" s="127">
        <v>0</v>
      </c>
      <c r="AL47" s="127">
        <v>0</v>
      </c>
      <c r="AM47" s="132">
        <f t="shared" si="6"/>
        <v>6100</v>
      </c>
      <c r="AN47" s="133">
        <v>46126</v>
      </c>
      <c r="AO47" s="134" t="s">
        <v>3265</v>
      </c>
      <c r="AP47" s="135" t="s">
        <v>234</v>
      </c>
      <c r="AQ47" s="136" t="s">
        <v>235</v>
      </c>
      <c r="AR47" s="136" t="s">
        <v>236</v>
      </c>
      <c r="AS47" s="123" t="s">
        <v>237</v>
      </c>
      <c r="AT47" s="137" t="s">
        <v>238</v>
      </c>
      <c r="AU47" s="137" t="s">
        <v>197</v>
      </c>
      <c r="AV47" s="138" t="s">
        <v>329</v>
      </c>
      <c r="AW47" s="136">
        <v>3050</v>
      </c>
      <c r="AX47" s="138">
        <v>2.1</v>
      </c>
      <c r="AY47" s="136">
        <f t="shared" si="7"/>
        <v>6405</v>
      </c>
      <c r="AZ47" s="139" t="b">
        <f t="shared" si="8"/>
        <v>1</v>
      </c>
      <c r="BA47" s="125">
        <v>0</v>
      </c>
      <c r="BB47" s="140">
        <f t="shared" si="9"/>
        <v>3050</v>
      </c>
      <c r="BC47" s="141">
        <v>0</v>
      </c>
      <c r="BD47" s="140" t="s">
        <v>107</v>
      </c>
      <c r="BE47" s="141">
        <v>0</v>
      </c>
      <c r="BF47" s="140">
        <v>0</v>
      </c>
      <c r="BG47" s="141">
        <v>0</v>
      </c>
      <c r="BH47" s="127">
        <v>0</v>
      </c>
      <c r="BI47" s="130">
        <v>0</v>
      </c>
      <c r="BJ47" s="128">
        <v>0</v>
      </c>
      <c r="BK47" s="125">
        <v>0</v>
      </c>
      <c r="BL47" s="136">
        <v>0</v>
      </c>
      <c r="BM47" s="127">
        <v>0</v>
      </c>
      <c r="BN47" s="142">
        <f t="shared" si="10"/>
        <v>0</v>
      </c>
      <c r="BO47" s="126">
        <f t="shared" si="11"/>
        <v>6405</v>
      </c>
      <c r="BP47" s="132">
        <f t="shared" si="12"/>
        <v>305</v>
      </c>
      <c r="BQ47" s="141" t="str">
        <f t="shared" si="13"/>
        <v>Positive Margin</v>
      </c>
      <c r="BR47" s="143" t="s">
        <v>119</v>
      </c>
      <c r="BS47" s="125">
        <f t="shared" si="14"/>
        <v>305</v>
      </c>
      <c r="BT47" s="144" t="str">
        <f t="shared" si="15"/>
        <v>Positive Margin at Inception</v>
      </c>
      <c r="BU47" s="145">
        <f t="shared" si="16"/>
        <v>4.7619047619047616E-2</v>
      </c>
      <c r="BV47" s="144" t="str">
        <f t="shared" si="17"/>
        <v>More than 2%</v>
      </c>
      <c r="BW47" s="125">
        <f t="shared" si="18"/>
        <v>0</v>
      </c>
      <c r="BX47" s="126">
        <f t="shared" si="19"/>
        <v>0</v>
      </c>
      <c r="BY47" s="125">
        <f t="shared" si="20"/>
        <v>0</v>
      </c>
      <c r="BZ47" s="146">
        <f t="shared" si="21"/>
        <v>0</v>
      </c>
      <c r="CA47" s="146">
        <f t="shared" si="22"/>
        <v>0</v>
      </c>
      <c r="CB47" s="127">
        <f t="shared" si="23"/>
        <v>0</v>
      </c>
      <c r="CC47" s="146" t="s">
        <v>397</v>
      </c>
      <c r="CD47" s="127">
        <v>0</v>
      </c>
      <c r="CE47" s="127" t="str">
        <f t="shared" si="24"/>
        <v>Apr-26</v>
      </c>
      <c r="CF47" s="127">
        <f t="shared" si="25"/>
        <v>6100</v>
      </c>
      <c r="CG47" s="127">
        <f t="shared" si="26"/>
        <v>6405</v>
      </c>
      <c r="CH47" s="127">
        <f t="shared" si="27"/>
        <v>2</v>
      </c>
      <c r="CI47" s="147" t="str">
        <f t="shared" si="28"/>
        <v>BG AHD</v>
      </c>
      <c r="CJ47" s="127">
        <v>0</v>
      </c>
      <c r="CK47" s="127">
        <v>0</v>
      </c>
      <c r="CL47" s="127">
        <f t="shared" si="29"/>
        <v>305</v>
      </c>
      <c r="CM47" s="127">
        <f t="shared" si="30"/>
        <v>305</v>
      </c>
      <c r="CN47" s="127">
        <f t="shared" si="31"/>
        <v>305</v>
      </c>
      <c r="CO47" s="127">
        <f t="shared" si="32"/>
        <v>7557.9</v>
      </c>
      <c r="CP47" s="127">
        <f t="shared" si="33"/>
        <v>-7198</v>
      </c>
      <c r="CQ47" s="127">
        <f t="shared" si="34"/>
        <v>0</v>
      </c>
      <c r="CR47" s="127">
        <f t="shared" si="35"/>
        <v>0</v>
      </c>
      <c r="CS47" s="127">
        <f t="shared" si="36"/>
        <v>359.89999999999964</v>
      </c>
      <c r="CT47" s="127" t="s">
        <v>361</v>
      </c>
      <c r="CU47" s="127" t="s">
        <v>361</v>
      </c>
      <c r="CV47" s="142" t="str">
        <f t="shared" si="37"/>
        <v>AAMCB5608A</v>
      </c>
      <c r="CW47" s="142" t="str">
        <f t="shared" si="38"/>
        <v>BJHPB3107J</v>
      </c>
    </row>
    <row r="48" spans="2:101" s="149" customFormat="1" ht="11.85" customHeight="1" x14ac:dyDescent="0.25">
      <c r="B48" s="120" t="str">
        <f t="shared" si="0"/>
        <v>Q1</v>
      </c>
      <c r="C48" s="121" t="str">
        <f t="shared" si="1"/>
        <v>Apr-26</v>
      </c>
      <c r="D48" s="122">
        <v>46127</v>
      </c>
      <c r="E48" s="123" t="s">
        <v>3186</v>
      </c>
      <c r="F48" s="123" t="s">
        <v>196</v>
      </c>
      <c r="G48" s="123" t="s">
        <v>198</v>
      </c>
      <c r="H48" s="124" t="s">
        <v>3187</v>
      </c>
      <c r="I48" s="122">
        <v>46127</v>
      </c>
      <c r="J48" s="123" t="s">
        <v>3188</v>
      </c>
      <c r="K48" s="122">
        <v>46127</v>
      </c>
      <c r="L48" s="123" t="s">
        <v>199</v>
      </c>
      <c r="M48" s="123" t="s">
        <v>2331</v>
      </c>
      <c r="N48" s="550" t="s">
        <v>1422</v>
      </c>
      <c r="O48" s="123">
        <v>1020</v>
      </c>
      <c r="P48" s="551">
        <v>13.5</v>
      </c>
      <c r="Q48" s="125">
        <f t="shared" si="2"/>
        <v>13770</v>
      </c>
      <c r="R48" s="126">
        <v>0</v>
      </c>
      <c r="S48" s="125">
        <f t="shared" si="3"/>
        <v>1020</v>
      </c>
      <c r="T48" s="126">
        <v>0</v>
      </c>
      <c r="U48" s="127">
        <v>0</v>
      </c>
      <c r="V48" s="128">
        <v>0</v>
      </c>
      <c r="W48" s="127">
        <v>0</v>
      </c>
      <c r="X48" s="129">
        <v>0</v>
      </c>
      <c r="Y48" s="127">
        <v>0</v>
      </c>
      <c r="Z48" s="127">
        <v>0</v>
      </c>
      <c r="AA48" s="126">
        <v>0</v>
      </c>
      <c r="AB48" s="130">
        <f t="shared" si="4"/>
        <v>0</v>
      </c>
      <c r="AC48" s="129">
        <v>0</v>
      </c>
      <c r="AD48" s="125">
        <f t="shared" si="5"/>
        <v>13.5</v>
      </c>
      <c r="AE48" s="144">
        <v>0</v>
      </c>
      <c r="AF48" s="127">
        <v>0</v>
      </c>
      <c r="AG48" s="131">
        <v>0</v>
      </c>
      <c r="AH48" s="127">
        <v>0</v>
      </c>
      <c r="AI48" s="128">
        <v>0</v>
      </c>
      <c r="AJ48" s="127">
        <v>0</v>
      </c>
      <c r="AK48" s="127">
        <v>0</v>
      </c>
      <c r="AL48" s="127">
        <v>0</v>
      </c>
      <c r="AM48" s="132">
        <f t="shared" si="6"/>
        <v>13770</v>
      </c>
      <c r="AN48" s="133">
        <v>46127</v>
      </c>
      <c r="AO48" s="134" t="s">
        <v>3260</v>
      </c>
      <c r="AP48" s="135" t="s">
        <v>234</v>
      </c>
      <c r="AQ48" s="136" t="s">
        <v>235</v>
      </c>
      <c r="AR48" s="136" t="s">
        <v>236</v>
      </c>
      <c r="AS48" s="123" t="s">
        <v>2005</v>
      </c>
      <c r="AT48" s="137" t="s">
        <v>238</v>
      </c>
      <c r="AU48" s="137" t="s">
        <v>197</v>
      </c>
      <c r="AV48" s="138" t="s">
        <v>329</v>
      </c>
      <c r="AW48" s="136">
        <v>1020</v>
      </c>
      <c r="AX48" s="138">
        <v>17</v>
      </c>
      <c r="AY48" s="136">
        <f t="shared" si="7"/>
        <v>17340</v>
      </c>
      <c r="AZ48" s="139" t="b">
        <f t="shared" si="8"/>
        <v>1</v>
      </c>
      <c r="BA48" s="125">
        <v>0</v>
      </c>
      <c r="BB48" s="140">
        <f t="shared" si="9"/>
        <v>1020</v>
      </c>
      <c r="BC48" s="141">
        <v>0</v>
      </c>
      <c r="BD48" s="140" t="s">
        <v>107</v>
      </c>
      <c r="BE48" s="141">
        <v>0</v>
      </c>
      <c r="BF48" s="140">
        <v>0</v>
      </c>
      <c r="BG48" s="141">
        <v>0</v>
      </c>
      <c r="BH48" s="127">
        <v>0</v>
      </c>
      <c r="BI48" s="130">
        <v>0</v>
      </c>
      <c r="BJ48" s="128">
        <v>0</v>
      </c>
      <c r="BK48" s="125">
        <v>0</v>
      </c>
      <c r="BL48" s="136">
        <v>0</v>
      </c>
      <c r="BM48" s="127">
        <v>0</v>
      </c>
      <c r="BN48" s="142">
        <f t="shared" si="10"/>
        <v>0</v>
      </c>
      <c r="BO48" s="126">
        <f t="shared" si="11"/>
        <v>17340</v>
      </c>
      <c r="BP48" s="132">
        <f t="shared" si="12"/>
        <v>3570</v>
      </c>
      <c r="BQ48" s="141" t="str">
        <f t="shared" si="13"/>
        <v>Positive Margin</v>
      </c>
      <c r="BR48" s="143" t="s">
        <v>119</v>
      </c>
      <c r="BS48" s="125">
        <f t="shared" si="14"/>
        <v>3570</v>
      </c>
      <c r="BT48" s="144" t="str">
        <f t="shared" si="15"/>
        <v>Positive Margin at Inception</v>
      </c>
      <c r="BU48" s="145">
        <f t="shared" si="16"/>
        <v>0.20588235294117646</v>
      </c>
      <c r="BV48" s="144" t="str">
        <f t="shared" si="17"/>
        <v>More than 2%</v>
      </c>
      <c r="BW48" s="125">
        <f t="shared" si="18"/>
        <v>0</v>
      </c>
      <c r="BX48" s="126">
        <f t="shared" si="19"/>
        <v>0</v>
      </c>
      <c r="BY48" s="125">
        <f t="shared" si="20"/>
        <v>0</v>
      </c>
      <c r="BZ48" s="146">
        <f t="shared" si="21"/>
        <v>0</v>
      </c>
      <c r="CA48" s="146">
        <f t="shared" si="22"/>
        <v>0</v>
      </c>
      <c r="CB48" s="127">
        <f t="shared" si="23"/>
        <v>0</v>
      </c>
      <c r="CC48" s="146" t="s">
        <v>397</v>
      </c>
      <c r="CD48" s="127">
        <v>0</v>
      </c>
      <c r="CE48" s="127" t="str">
        <f t="shared" si="24"/>
        <v>Apr-26</v>
      </c>
      <c r="CF48" s="127">
        <f t="shared" si="25"/>
        <v>13770</v>
      </c>
      <c r="CG48" s="127">
        <f t="shared" si="26"/>
        <v>17340</v>
      </c>
      <c r="CH48" s="127">
        <f t="shared" si="27"/>
        <v>3</v>
      </c>
      <c r="CI48" s="147" t="str">
        <f t="shared" si="28"/>
        <v>BG AHD</v>
      </c>
      <c r="CJ48" s="127">
        <v>0</v>
      </c>
      <c r="CK48" s="127">
        <v>0</v>
      </c>
      <c r="CL48" s="127">
        <f t="shared" si="29"/>
        <v>3570</v>
      </c>
      <c r="CM48" s="127">
        <f t="shared" si="30"/>
        <v>3570</v>
      </c>
      <c r="CN48" s="127">
        <f t="shared" si="31"/>
        <v>3570</v>
      </c>
      <c r="CO48" s="127">
        <f t="shared" si="32"/>
        <v>20461.2</v>
      </c>
      <c r="CP48" s="127">
        <f t="shared" si="33"/>
        <v>-16248.599999999999</v>
      </c>
      <c r="CQ48" s="127">
        <f t="shared" si="34"/>
        <v>0</v>
      </c>
      <c r="CR48" s="127">
        <f t="shared" si="35"/>
        <v>0</v>
      </c>
      <c r="CS48" s="127">
        <f t="shared" si="36"/>
        <v>4212.6000000000022</v>
      </c>
      <c r="CT48" s="127" t="s">
        <v>361</v>
      </c>
      <c r="CU48" s="127" t="s">
        <v>361</v>
      </c>
      <c r="CV48" s="142" t="str">
        <f t="shared" si="37"/>
        <v>AAMCB5608A</v>
      </c>
      <c r="CW48" s="142" t="str">
        <f t="shared" si="38"/>
        <v>BJHPB3107J</v>
      </c>
    </row>
    <row r="49" spans="2:101" s="149" customFormat="1" ht="11.85" customHeight="1" x14ac:dyDescent="0.25">
      <c r="B49" s="120" t="str">
        <f t="shared" si="0"/>
        <v>Q1</v>
      </c>
      <c r="C49" s="121" t="str">
        <f t="shared" si="1"/>
        <v>Apr-26</v>
      </c>
      <c r="D49" s="122">
        <v>46127</v>
      </c>
      <c r="E49" s="123" t="s">
        <v>3186</v>
      </c>
      <c r="F49" s="123" t="s">
        <v>196</v>
      </c>
      <c r="G49" s="123" t="s">
        <v>198</v>
      </c>
      <c r="H49" s="124" t="s">
        <v>3187</v>
      </c>
      <c r="I49" s="122">
        <v>46127</v>
      </c>
      <c r="J49" s="123" t="s">
        <v>3188</v>
      </c>
      <c r="K49" s="122">
        <v>46127</v>
      </c>
      <c r="L49" s="123" t="s">
        <v>199</v>
      </c>
      <c r="M49" s="123" t="s">
        <v>2331</v>
      </c>
      <c r="N49" s="550" t="s">
        <v>294</v>
      </c>
      <c r="O49" s="123">
        <v>232</v>
      </c>
      <c r="P49" s="551">
        <v>20</v>
      </c>
      <c r="Q49" s="125">
        <f t="shared" si="2"/>
        <v>4640</v>
      </c>
      <c r="R49" s="126">
        <v>0</v>
      </c>
      <c r="S49" s="125">
        <f t="shared" si="3"/>
        <v>232</v>
      </c>
      <c r="T49" s="126">
        <v>0</v>
      </c>
      <c r="U49" s="127">
        <v>0</v>
      </c>
      <c r="V49" s="128">
        <v>0</v>
      </c>
      <c r="W49" s="127">
        <v>0</v>
      </c>
      <c r="X49" s="129">
        <v>0</v>
      </c>
      <c r="Y49" s="127">
        <v>0</v>
      </c>
      <c r="Z49" s="127">
        <v>0</v>
      </c>
      <c r="AA49" s="126">
        <v>0</v>
      </c>
      <c r="AB49" s="130">
        <f t="shared" si="4"/>
        <v>0</v>
      </c>
      <c r="AC49" s="129">
        <v>0</v>
      </c>
      <c r="AD49" s="125">
        <f t="shared" si="5"/>
        <v>20</v>
      </c>
      <c r="AE49" s="144">
        <v>0</v>
      </c>
      <c r="AF49" s="127">
        <v>0</v>
      </c>
      <c r="AG49" s="131">
        <v>0</v>
      </c>
      <c r="AH49" s="127">
        <v>0</v>
      </c>
      <c r="AI49" s="128">
        <v>0</v>
      </c>
      <c r="AJ49" s="127">
        <v>0</v>
      </c>
      <c r="AK49" s="127">
        <v>0</v>
      </c>
      <c r="AL49" s="127">
        <v>0</v>
      </c>
      <c r="AM49" s="132">
        <f t="shared" si="6"/>
        <v>4640</v>
      </c>
      <c r="AN49" s="133">
        <v>46127</v>
      </c>
      <c r="AO49" s="134" t="s">
        <v>3260</v>
      </c>
      <c r="AP49" s="135" t="s">
        <v>234</v>
      </c>
      <c r="AQ49" s="136" t="s">
        <v>235</v>
      </c>
      <c r="AR49" s="136" t="s">
        <v>236</v>
      </c>
      <c r="AS49" s="123" t="s">
        <v>2005</v>
      </c>
      <c r="AT49" s="137" t="s">
        <v>238</v>
      </c>
      <c r="AU49" s="137" t="s">
        <v>197</v>
      </c>
      <c r="AV49" s="138" t="s">
        <v>329</v>
      </c>
      <c r="AW49" s="136">
        <v>232</v>
      </c>
      <c r="AX49" s="138">
        <v>35</v>
      </c>
      <c r="AY49" s="136">
        <f t="shared" si="7"/>
        <v>8120</v>
      </c>
      <c r="AZ49" s="139" t="b">
        <f t="shared" si="8"/>
        <v>1</v>
      </c>
      <c r="BA49" s="125">
        <v>0</v>
      </c>
      <c r="BB49" s="140">
        <f t="shared" si="9"/>
        <v>232</v>
      </c>
      <c r="BC49" s="141">
        <v>0</v>
      </c>
      <c r="BD49" s="140" t="s">
        <v>107</v>
      </c>
      <c r="BE49" s="141">
        <v>0</v>
      </c>
      <c r="BF49" s="140">
        <v>0</v>
      </c>
      <c r="BG49" s="141">
        <v>0</v>
      </c>
      <c r="BH49" s="127">
        <v>0</v>
      </c>
      <c r="BI49" s="130">
        <v>0</v>
      </c>
      <c r="BJ49" s="128">
        <v>0</v>
      </c>
      <c r="BK49" s="125">
        <v>0</v>
      </c>
      <c r="BL49" s="136">
        <v>0</v>
      </c>
      <c r="BM49" s="127">
        <v>0</v>
      </c>
      <c r="BN49" s="142">
        <f t="shared" si="10"/>
        <v>0</v>
      </c>
      <c r="BO49" s="126">
        <f t="shared" si="11"/>
        <v>8120</v>
      </c>
      <c r="BP49" s="132">
        <f t="shared" si="12"/>
        <v>3480</v>
      </c>
      <c r="BQ49" s="141" t="str">
        <f t="shared" si="13"/>
        <v>Positive Margin</v>
      </c>
      <c r="BR49" s="143" t="s">
        <v>119</v>
      </c>
      <c r="BS49" s="125">
        <f t="shared" si="14"/>
        <v>3480</v>
      </c>
      <c r="BT49" s="144" t="str">
        <f t="shared" si="15"/>
        <v>Positive Margin at Inception</v>
      </c>
      <c r="BU49" s="145">
        <f t="shared" si="16"/>
        <v>0.42857142857142855</v>
      </c>
      <c r="BV49" s="144" t="str">
        <f t="shared" si="17"/>
        <v>More than 2%</v>
      </c>
      <c r="BW49" s="125">
        <f t="shared" si="18"/>
        <v>0</v>
      </c>
      <c r="BX49" s="126">
        <f t="shared" si="19"/>
        <v>0</v>
      </c>
      <c r="BY49" s="125">
        <f t="shared" si="20"/>
        <v>0</v>
      </c>
      <c r="BZ49" s="146">
        <f t="shared" si="21"/>
        <v>0</v>
      </c>
      <c r="CA49" s="146">
        <f t="shared" si="22"/>
        <v>0</v>
      </c>
      <c r="CB49" s="127">
        <f t="shared" si="23"/>
        <v>0</v>
      </c>
      <c r="CC49" s="146" t="s">
        <v>397</v>
      </c>
      <c r="CD49" s="127">
        <v>0</v>
      </c>
      <c r="CE49" s="127" t="str">
        <f t="shared" si="24"/>
        <v>Apr-26</v>
      </c>
      <c r="CF49" s="127">
        <f t="shared" si="25"/>
        <v>4640</v>
      </c>
      <c r="CG49" s="127">
        <f t="shared" si="26"/>
        <v>8120</v>
      </c>
      <c r="CH49" s="127">
        <f t="shared" si="27"/>
        <v>3</v>
      </c>
      <c r="CI49" s="147" t="str">
        <f t="shared" si="28"/>
        <v>BG AHD</v>
      </c>
      <c r="CJ49" s="127">
        <v>0</v>
      </c>
      <c r="CK49" s="127">
        <v>0</v>
      </c>
      <c r="CL49" s="127">
        <f t="shared" si="29"/>
        <v>3480</v>
      </c>
      <c r="CM49" s="127">
        <f t="shared" si="30"/>
        <v>3480</v>
      </c>
      <c r="CN49" s="127">
        <f t="shared" si="31"/>
        <v>3480</v>
      </c>
      <c r="CO49" s="127">
        <f t="shared" si="32"/>
        <v>9581.6</v>
      </c>
      <c r="CP49" s="127">
        <f t="shared" si="33"/>
        <v>-5475.2</v>
      </c>
      <c r="CQ49" s="127">
        <f t="shared" si="34"/>
        <v>0</v>
      </c>
      <c r="CR49" s="127">
        <f t="shared" si="35"/>
        <v>0</v>
      </c>
      <c r="CS49" s="127">
        <f t="shared" si="36"/>
        <v>4106.4000000000005</v>
      </c>
      <c r="CT49" s="127" t="s">
        <v>361</v>
      </c>
      <c r="CU49" s="127" t="s">
        <v>361</v>
      </c>
      <c r="CV49" s="142" t="str">
        <f t="shared" si="37"/>
        <v>AAMCB5608A</v>
      </c>
      <c r="CW49" s="142" t="str">
        <f t="shared" si="38"/>
        <v>BJHPB3107J</v>
      </c>
    </row>
    <row r="50" spans="2:101" s="149" customFormat="1" ht="11.85" customHeight="1" x14ac:dyDescent="0.25">
      <c r="B50" s="120" t="str">
        <f t="shared" si="0"/>
        <v>Q1</v>
      </c>
      <c r="C50" s="121" t="str">
        <f t="shared" si="1"/>
        <v>Apr-26</v>
      </c>
      <c r="D50" s="122">
        <v>46127</v>
      </c>
      <c r="E50" s="123" t="s">
        <v>3189</v>
      </c>
      <c r="F50" s="123" t="s">
        <v>196</v>
      </c>
      <c r="G50" s="123" t="s">
        <v>198</v>
      </c>
      <c r="H50" s="124" t="s">
        <v>3190</v>
      </c>
      <c r="I50" s="122">
        <v>46127</v>
      </c>
      <c r="J50" s="123" t="s">
        <v>3191</v>
      </c>
      <c r="K50" s="122">
        <v>46127</v>
      </c>
      <c r="L50" s="123" t="s">
        <v>199</v>
      </c>
      <c r="M50" s="123" t="s">
        <v>399</v>
      </c>
      <c r="N50" s="550" t="s">
        <v>208</v>
      </c>
      <c r="O50" s="123">
        <v>2180</v>
      </c>
      <c r="P50" s="551">
        <v>14</v>
      </c>
      <c r="Q50" s="125">
        <f t="shared" si="2"/>
        <v>30520</v>
      </c>
      <c r="R50" s="126">
        <v>0</v>
      </c>
      <c r="S50" s="125">
        <f t="shared" si="3"/>
        <v>2180</v>
      </c>
      <c r="T50" s="126">
        <v>0</v>
      </c>
      <c r="U50" s="127">
        <v>0</v>
      </c>
      <c r="V50" s="128">
        <v>0</v>
      </c>
      <c r="W50" s="127">
        <v>0</v>
      </c>
      <c r="X50" s="129">
        <v>0</v>
      </c>
      <c r="Y50" s="127">
        <v>0</v>
      </c>
      <c r="Z50" s="127">
        <v>0</v>
      </c>
      <c r="AA50" s="126">
        <v>0</v>
      </c>
      <c r="AB50" s="130">
        <f t="shared" si="4"/>
        <v>0</v>
      </c>
      <c r="AC50" s="129">
        <v>0</v>
      </c>
      <c r="AD50" s="125">
        <f t="shared" si="5"/>
        <v>14</v>
      </c>
      <c r="AE50" s="144">
        <v>0</v>
      </c>
      <c r="AF50" s="127">
        <v>0</v>
      </c>
      <c r="AG50" s="131">
        <v>0</v>
      </c>
      <c r="AH50" s="127">
        <v>0</v>
      </c>
      <c r="AI50" s="128">
        <v>0</v>
      </c>
      <c r="AJ50" s="127">
        <v>0</v>
      </c>
      <c r="AK50" s="127">
        <v>0</v>
      </c>
      <c r="AL50" s="127">
        <v>0</v>
      </c>
      <c r="AM50" s="132">
        <f t="shared" si="6"/>
        <v>30520</v>
      </c>
      <c r="AN50" s="133">
        <v>46127</v>
      </c>
      <c r="AO50" s="134" t="s">
        <v>3266</v>
      </c>
      <c r="AP50" s="135" t="s">
        <v>234</v>
      </c>
      <c r="AQ50" s="136" t="s">
        <v>235</v>
      </c>
      <c r="AR50" s="136" t="s">
        <v>236</v>
      </c>
      <c r="AS50" s="123" t="s">
        <v>237</v>
      </c>
      <c r="AT50" s="137" t="s">
        <v>238</v>
      </c>
      <c r="AU50" s="137" t="s">
        <v>197</v>
      </c>
      <c r="AV50" s="138" t="s">
        <v>329</v>
      </c>
      <c r="AW50" s="136">
        <v>2180</v>
      </c>
      <c r="AX50" s="138">
        <v>16</v>
      </c>
      <c r="AY50" s="136">
        <f t="shared" si="7"/>
        <v>34880</v>
      </c>
      <c r="AZ50" s="139" t="b">
        <f t="shared" si="8"/>
        <v>1</v>
      </c>
      <c r="BA50" s="125">
        <v>0</v>
      </c>
      <c r="BB50" s="140">
        <f t="shared" si="9"/>
        <v>2180</v>
      </c>
      <c r="BC50" s="141">
        <v>0</v>
      </c>
      <c r="BD50" s="140" t="s">
        <v>107</v>
      </c>
      <c r="BE50" s="141">
        <v>0</v>
      </c>
      <c r="BF50" s="140">
        <v>0</v>
      </c>
      <c r="BG50" s="141">
        <v>0</v>
      </c>
      <c r="BH50" s="127">
        <v>0</v>
      </c>
      <c r="BI50" s="130">
        <v>0</v>
      </c>
      <c r="BJ50" s="128">
        <v>0</v>
      </c>
      <c r="BK50" s="125">
        <v>0</v>
      </c>
      <c r="BL50" s="136">
        <v>0</v>
      </c>
      <c r="BM50" s="127">
        <v>0</v>
      </c>
      <c r="BN50" s="142">
        <f t="shared" si="10"/>
        <v>0</v>
      </c>
      <c r="BO50" s="126">
        <f t="shared" si="11"/>
        <v>34880</v>
      </c>
      <c r="BP50" s="132">
        <f t="shared" si="12"/>
        <v>4360</v>
      </c>
      <c r="BQ50" s="141" t="str">
        <f t="shared" si="13"/>
        <v>Positive Margin</v>
      </c>
      <c r="BR50" s="143" t="s">
        <v>119</v>
      </c>
      <c r="BS50" s="125">
        <f t="shared" si="14"/>
        <v>4360</v>
      </c>
      <c r="BT50" s="144" t="str">
        <f t="shared" si="15"/>
        <v>Positive Margin at Inception</v>
      </c>
      <c r="BU50" s="145">
        <f t="shared" si="16"/>
        <v>0.125</v>
      </c>
      <c r="BV50" s="144" t="str">
        <f t="shared" si="17"/>
        <v>More than 2%</v>
      </c>
      <c r="BW50" s="125">
        <f t="shared" si="18"/>
        <v>0</v>
      </c>
      <c r="BX50" s="126">
        <f t="shared" si="19"/>
        <v>0</v>
      </c>
      <c r="BY50" s="125">
        <f t="shared" si="20"/>
        <v>0</v>
      </c>
      <c r="BZ50" s="146">
        <f t="shared" si="21"/>
        <v>0</v>
      </c>
      <c r="CA50" s="146">
        <f t="shared" si="22"/>
        <v>0</v>
      </c>
      <c r="CB50" s="127">
        <f t="shared" si="23"/>
        <v>0</v>
      </c>
      <c r="CC50" s="146" t="s">
        <v>397</v>
      </c>
      <c r="CD50" s="127">
        <v>0</v>
      </c>
      <c r="CE50" s="127" t="str">
        <f t="shared" si="24"/>
        <v>Apr-26</v>
      </c>
      <c r="CF50" s="127">
        <f t="shared" si="25"/>
        <v>30520</v>
      </c>
      <c r="CG50" s="127">
        <f t="shared" si="26"/>
        <v>34880</v>
      </c>
      <c r="CH50" s="127">
        <f t="shared" si="27"/>
        <v>3</v>
      </c>
      <c r="CI50" s="147" t="str">
        <f t="shared" si="28"/>
        <v>BG AHD</v>
      </c>
      <c r="CJ50" s="127">
        <v>0</v>
      </c>
      <c r="CK50" s="127">
        <v>0</v>
      </c>
      <c r="CL50" s="127">
        <f t="shared" si="29"/>
        <v>4360</v>
      </c>
      <c r="CM50" s="127">
        <f t="shared" si="30"/>
        <v>4360</v>
      </c>
      <c r="CN50" s="127">
        <f t="shared" si="31"/>
        <v>4360</v>
      </c>
      <c r="CO50" s="127">
        <f t="shared" si="32"/>
        <v>41158.400000000001</v>
      </c>
      <c r="CP50" s="127">
        <f t="shared" si="33"/>
        <v>-36013.599999999999</v>
      </c>
      <c r="CQ50" s="127">
        <f t="shared" si="34"/>
        <v>0</v>
      </c>
      <c r="CR50" s="127">
        <f t="shared" si="35"/>
        <v>0</v>
      </c>
      <c r="CS50" s="127">
        <f t="shared" si="36"/>
        <v>5144.8000000000029</v>
      </c>
      <c r="CT50" s="127" t="s">
        <v>361</v>
      </c>
      <c r="CU50" s="127" t="s">
        <v>361</v>
      </c>
      <c r="CV50" s="142" t="str">
        <f t="shared" si="37"/>
        <v>AAMCB5608A</v>
      </c>
      <c r="CW50" s="142" t="str">
        <f t="shared" si="38"/>
        <v>BJHPB3107J</v>
      </c>
    </row>
    <row r="51" spans="2:101" s="149" customFormat="1" ht="11.85" customHeight="1" x14ac:dyDescent="0.25">
      <c r="B51" s="120" t="str">
        <f t="shared" si="0"/>
        <v>Q1</v>
      </c>
      <c r="C51" s="121" t="str">
        <f t="shared" si="1"/>
        <v>Apr-26</v>
      </c>
      <c r="D51" s="122">
        <v>46127</v>
      </c>
      <c r="E51" s="123" t="s">
        <v>3189</v>
      </c>
      <c r="F51" s="123" t="s">
        <v>196</v>
      </c>
      <c r="G51" s="123" t="s">
        <v>198</v>
      </c>
      <c r="H51" s="124" t="s">
        <v>3190</v>
      </c>
      <c r="I51" s="122">
        <v>46127</v>
      </c>
      <c r="J51" s="123" t="s">
        <v>3191</v>
      </c>
      <c r="K51" s="122">
        <v>46127</v>
      </c>
      <c r="L51" s="123" t="s">
        <v>199</v>
      </c>
      <c r="M51" s="123" t="s">
        <v>399</v>
      </c>
      <c r="N51" s="550" t="s">
        <v>205</v>
      </c>
      <c r="O51" s="123">
        <v>630</v>
      </c>
      <c r="P51" s="551">
        <v>12</v>
      </c>
      <c r="Q51" s="125">
        <f t="shared" si="2"/>
        <v>7560</v>
      </c>
      <c r="R51" s="126">
        <v>0</v>
      </c>
      <c r="S51" s="125">
        <f t="shared" si="3"/>
        <v>630</v>
      </c>
      <c r="T51" s="126">
        <v>0</v>
      </c>
      <c r="U51" s="127">
        <v>0</v>
      </c>
      <c r="V51" s="128">
        <v>0</v>
      </c>
      <c r="W51" s="127">
        <v>0</v>
      </c>
      <c r="X51" s="129">
        <v>0</v>
      </c>
      <c r="Y51" s="127">
        <v>0</v>
      </c>
      <c r="Z51" s="127">
        <v>0</v>
      </c>
      <c r="AA51" s="126">
        <v>0</v>
      </c>
      <c r="AB51" s="130">
        <f t="shared" si="4"/>
        <v>0</v>
      </c>
      <c r="AC51" s="129">
        <v>0</v>
      </c>
      <c r="AD51" s="125">
        <f t="shared" si="5"/>
        <v>12</v>
      </c>
      <c r="AE51" s="144">
        <v>0</v>
      </c>
      <c r="AF51" s="127">
        <v>0</v>
      </c>
      <c r="AG51" s="131">
        <v>0</v>
      </c>
      <c r="AH51" s="127">
        <v>0</v>
      </c>
      <c r="AI51" s="128">
        <v>0</v>
      </c>
      <c r="AJ51" s="127">
        <v>0</v>
      </c>
      <c r="AK51" s="127">
        <v>0</v>
      </c>
      <c r="AL51" s="127">
        <v>0</v>
      </c>
      <c r="AM51" s="132">
        <f t="shared" si="6"/>
        <v>7560</v>
      </c>
      <c r="AN51" s="133">
        <v>46127</v>
      </c>
      <c r="AO51" s="134" t="s">
        <v>3266</v>
      </c>
      <c r="AP51" s="135" t="s">
        <v>234</v>
      </c>
      <c r="AQ51" s="136" t="s">
        <v>235</v>
      </c>
      <c r="AR51" s="136" t="s">
        <v>236</v>
      </c>
      <c r="AS51" s="123" t="s">
        <v>237</v>
      </c>
      <c r="AT51" s="137" t="s">
        <v>238</v>
      </c>
      <c r="AU51" s="137" t="s">
        <v>197</v>
      </c>
      <c r="AV51" s="138" t="s">
        <v>329</v>
      </c>
      <c r="AW51" s="136">
        <v>630</v>
      </c>
      <c r="AX51" s="138">
        <v>14</v>
      </c>
      <c r="AY51" s="136">
        <f t="shared" si="7"/>
        <v>8820</v>
      </c>
      <c r="AZ51" s="139" t="b">
        <f t="shared" si="8"/>
        <v>1</v>
      </c>
      <c r="BA51" s="125">
        <v>0</v>
      </c>
      <c r="BB51" s="140">
        <f t="shared" si="9"/>
        <v>630</v>
      </c>
      <c r="BC51" s="141">
        <v>0</v>
      </c>
      <c r="BD51" s="140" t="s">
        <v>107</v>
      </c>
      <c r="BE51" s="141">
        <v>0</v>
      </c>
      <c r="BF51" s="140">
        <v>0</v>
      </c>
      <c r="BG51" s="141">
        <v>0</v>
      </c>
      <c r="BH51" s="127">
        <v>0</v>
      </c>
      <c r="BI51" s="130">
        <v>0</v>
      </c>
      <c r="BJ51" s="128">
        <v>0</v>
      </c>
      <c r="BK51" s="125">
        <v>0</v>
      </c>
      <c r="BL51" s="136">
        <v>0</v>
      </c>
      <c r="BM51" s="127">
        <v>0</v>
      </c>
      <c r="BN51" s="142">
        <f t="shared" si="10"/>
        <v>0</v>
      </c>
      <c r="BO51" s="126">
        <f t="shared" si="11"/>
        <v>8820</v>
      </c>
      <c r="BP51" s="132">
        <f t="shared" si="12"/>
        <v>1260</v>
      </c>
      <c r="BQ51" s="141" t="str">
        <f t="shared" si="13"/>
        <v>Positive Margin</v>
      </c>
      <c r="BR51" s="143" t="s">
        <v>119</v>
      </c>
      <c r="BS51" s="125">
        <f t="shared" si="14"/>
        <v>1260</v>
      </c>
      <c r="BT51" s="144" t="str">
        <f t="shared" si="15"/>
        <v>Positive Margin at Inception</v>
      </c>
      <c r="BU51" s="145">
        <f t="shared" si="16"/>
        <v>0.14285714285714285</v>
      </c>
      <c r="BV51" s="144" t="str">
        <f t="shared" si="17"/>
        <v>More than 2%</v>
      </c>
      <c r="BW51" s="125">
        <f t="shared" si="18"/>
        <v>0</v>
      </c>
      <c r="BX51" s="126">
        <f t="shared" si="19"/>
        <v>0</v>
      </c>
      <c r="BY51" s="125">
        <f t="shared" si="20"/>
        <v>0</v>
      </c>
      <c r="BZ51" s="146">
        <f t="shared" si="21"/>
        <v>0</v>
      </c>
      <c r="CA51" s="146">
        <f t="shared" si="22"/>
        <v>0</v>
      </c>
      <c r="CB51" s="127">
        <f t="shared" si="23"/>
        <v>0</v>
      </c>
      <c r="CC51" s="146" t="s">
        <v>397</v>
      </c>
      <c r="CD51" s="127">
        <v>0</v>
      </c>
      <c r="CE51" s="127" t="str">
        <f t="shared" si="24"/>
        <v>Apr-26</v>
      </c>
      <c r="CF51" s="127">
        <f t="shared" si="25"/>
        <v>7560</v>
      </c>
      <c r="CG51" s="127">
        <f t="shared" si="26"/>
        <v>8820</v>
      </c>
      <c r="CH51" s="127">
        <f t="shared" si="27"/>
        <v>3</v>
      </c>
      <c r="CI51" s="147" t="str">
        <f t="shared" si="28"/>
        <v>BG AHD</v>
      </c>
      <c r="CJ51" s="127">
        <v>0</v>
      </c>
      <c r="CK51" s="127">
        <v>0</v>
      </c>
      <c r="CL51" s="127">
        <f t="shared" si="29"/>
        <v>1260</v>
      </c>
      <c r="CM51" s="127">
        <f t="shared" si="30"/>
        <v>1260</v>
      </c>
      <c r="CN51" s="127">
        <f t="shared" si="31"/>
        <v>1260</v>
      </c>
      <c r="CO51" s="127">
        <f t="shared" si="32"/>
        <v>10407.599999999999</v>
      </c>
      <c r="CP51" s="127">
        <f t="shared" si="33"/>
        <v>-8920.7999999999993</v>
      </c>
      <c r="CQ51" s="127">
        <f t="shared" si="34"/>
        <v>0</v>
      </c>
      <c r="CR51" s="127">
        <f t="shared" si="35"/>
        <v>0</v>
      </c>
      <c r="CS51" s="127">
        <f t="shared" si="36"/>
        <v>1486.7999999999993</v>
      </c>
      <c r="CT51" s="127" t="s">
        <v>361</v>
      </c>
      <c r="CU51" s="127" t="s">
        <v>361</v>
      </c>
      <c r="CV51" s="142" t="str">
        <f t="shared" si="37"/>
        <v>AAMCB5608A</v>
      </c>
      <c r="CW51" s="142" t="str">
        <f t="shared" si="38"/>
        <v>BJHPB3107J</v>
      </c>
    </row>
    <row r="52" spans="2:101" s="149" customFormat="1" ht="11.85" customHeight="1" x14ac:dyDescent="0.25">
      <c r="B52" s="120" t="str">
        <f t="shared" si="0"/>
        <v>Q1</v>
      </c>
      <c r="C52" s="121" t="str">
        <f t="shared" si="1"/>
        <v>Apr-26</v>
      </c>
      <c r="D52" s="122">
        <v>46127</v>
      </c>
      <c r="E52" s="123" t="s">
        <v>3192</v>
      </c>
      <c r="F52" s="123" t="s">
        <v>196</v>
      </c>
      <c r="G52" s="123" t="s">
        <v>198</v>
      </c>
      <c r="H52" s="124" t="s">
        <v>3193</v>
      </c>
      <c r="I52" s="122">
        <v>46127</v>
      </c>
      <c r="J52" s="123" t="s">
        <v>3194</v>
      </c>
      <c r="K52" s="122">
        <v>46127</v>
      </c>
      <c r="L52" s="123" t="s">
        <v>199</v>
      </c>
      <c r="M52" s="123" t="s">
        <v>244</v>
      </c>
      <c r="N52" s="550" t="s">
        <v>206</v>
      </c>
      <c r="O52" s="123">
        <v>328</v>
      </c>
      <c r="P52" s="551">
        <v>50</v>
      </c>
      <c r="Q52" s="125">
        <f t="shared" si="2"/>
        <v>16400</v>
      </c>
      <c r="R52" s="126">
        <v>0</v>
      </c>
      <c r="S52" s="125">
        <f t="shared" si="3"/>
        <v>328</v>
      </c>
      <c r="T52" s="126">
        <v>0</v>
      </c>
      <c r="U52" s="127">
        <v>0</v>
      </c>
      <c r="V52" s="128">
        <v>0</v>
      </c>
      <c r="W52" s="127">
        <v>0</v>
      </c>
      <c r="X52" s="129">
        <v>0</v>
      </c>
      <c r="Y52" s="127">
        <v>0</v>
      </c>
      <c r="Z52" s="127">
        <v>0</v>
      </c>
      <c r="AA52" s="126">
        <v>0</v>
      </c>
      <c r="AB52" s="130">
        <f t="shared" si="4"/>
        <v>0</v>
      </c>
      <c r="AC52" s="129">
        <v>0</v>
      </c>
      <c r="AD52" s="125">
        <f t="shared" si="5"/>
        <v>50</v>
      </c>
      <c r="AE52" s="144">
        <v>0</v>
      </c>
      <c r="AF52" s="127">
        <v>0</v>
      </c>
      <c r="AG52" s="131">
        <v>0</v>
      </c>
      <c r="AH52" s="127">
        <v>0</v>
      </c>
      <c r="AI52" s="128">
        <v>0</v>
      </c>
      <c r="AJ52" s="127">
        <v>0</v>
      </c>
      <c r="AK52" s="127">
        <v>0</v>
      </c>
      <c r="AL52" s="127">
        <v>0</v>
      </c>
      <c r="AM52" s="132">
        <f t="shared" si="6"/>
        <v>16400</v>
      </c>
      <c r="AN52" s="133">
        <v>46127</v>
      </c>
      <c r="AO52" s="134" t="s">
        <v>3262</v>
      </c>
      <c r="AP52" s="135" t="s">
        <v>234</v>
      </c>
      <c r="AQ52" s="136" t="s">
        <v>235</v>
      </c>
      <c r="AR52" s="136" t="s">
        <v>236</v>
      </c>
      <c r="AS52" s="123" t="s">
        <v>237</v>
      </c>
      <c r="AT52" s="137" t="s">
        <v>238</v>
      </c>
      <c r="AU52" s="137" t="s">
        <v>197</v>
      </c>
      <c r="AV52" s="138" t="s">
        <v>329</v>
      </c>
      <c r="AW52" s="136">
        <v>328</v>
      </c>
      <c r="AX52" s="138">
        <v>70</v>
      </c>
      <c r="AY52" s="136">
        <f t="shared" si="7"/>
        <v>22960</v>
      </c>
      <c r="AZ52" s="139" t="b">
        <f t="shared" si="8"/>
        <v>1</v>
      </c>
      <c r="BA52" s="125">
        <v>0</v>
      </c>
      <c r="BB52" s="140">
        <f t="shared" si="9"/>
        <v>328</v>
      </c>
      <c r="BC52" s="141">
        <v>0</v>
      </c>
      <c r="BD52" s="140" t="s">
        <v>107</v>
      </c>
      <c r="BE52" s="141">
        <v>0</v>
      </c>
      <c r="BF52" s="140">
        <v>0</v>
      </c>
      <c r="BG52" s="141">
        <v>0</v>
      </c>
      <c r="BH52" s="127">
        <v>0</v>
      </c>
      <c r="BI52" s="130">
        <v>0</v>
      </c>
      <c r="BJ52" s="128">
        <v>0</v>
      </c>
      <c r="BK52" s="125">
        <v>0</v>
      </c>
      <c r="BL52" s="136">
        <v>0</v>
      </c>
      <c r="BM52" s="127">
        <v>0</v>
      </c>
      <c r="BN52" s="142">
        <f t="shared" si="10"/>
        <v>0</v>
      </c>
      <c r="BO52" s="126">
        <f t="shared" si="11"/>
        <v>22960</v>
      </c>
      <c r="BP52" s="132">
        <f t="shared" si="12"/>
        <v>6560</v>
      </c>
      <c r="BQ52" s="141" t="str">
        <f t="shared" si="13"/>
        <v>Positive Margin</v>
      </c>
      <c r="BR52" s="143" t="s">
        <v>119</v>
      </c>
      <c r="BS52" s="125">
        <f t="shared" si="14"/>
        <v>6560</v>
      </c>
      <c r="BT52" s="144" t="str">
        <f t="shared" si="15"/>
        <v>Positive Margin at Inception</v>
      </c>
      <c r="BU52" s="145">
        <f t="shared" si="16"/>
        <v>0.2857142857142857</v>
      </c>
      <c r="BV52" s="144" t="str">
        <f t="shared" si="17"/>
        <v>More than 2%</v>
      </c>
      <c r="BW52" s="125">
        <f t="shared" si="18"/>
        <v>0</v>
      </c>
      <c r="BX52" s="126">
        <f t="shared" si="19"/>
        <v>0</v>
      </c>
      <c r="BY52" s="125">
        <f t="shared" si="20"/>
        <v>0</v>
      </c>
      <c r="BZ52" s="146">
        <f t="shared" si="21"/>
        <v>0</v>
      </c>
      <c r="CA52" s="146">
        <f t="shared" si="22"/>
        <v>0</v>
      </c>
      <c r="CB52" s="127">
        <f t="shared" si="23"/>
        <v>0</v>
      </c>
      <c r="CC52" s="146" t="s">
        <v>397</v>
      </c>
      <c r="CD52" s="127">
        <v>0</v>
      </c>
      <c r="CE52" s="127" t="str">
        <f t="shared" si="24"/>
        <v>Apr-26</v>
      </c>
      <c r="CF52" s="127">
        <f t="shared" si="25"/>
        <v>16400</v>
      </c>
      <c r="CG52" s="127">
        <f t="shared" si="26"/>
        <v>22960</v>
      </c>
      <c r="CH52" s="127">
        <f t="shared" si="27"/>
        <v>3</v>
      </c>
      <c r="CI52" s="147" t="str">
        <f t="shared" si="28"/>
        <v>BG AHD</v>
      </c>
      <c r="CJ52" s="127">
        <v>0</v>
      </c>
      <c r="CK52" s="127">
        <v>0</v>
      </c>
      <c r="CL52" s="127">
        <f t="shared" si="29"/>
        <v>6560</v>
      </c>
      <c r="CM52" s="127">
        <f t="shared" si="30"/>
        <v>6560</v>
      </c>
      <c r="CN52" s="127">
        <f t="shared" si="31"/>
        <v>6560</v>
      </c>
      <c r="CO52" s="127">
        <f t="shared" si="32"/>
        <v>27092.799999999999</v>
      </c>
      <c r="CP52" s="127">
        <f t="shared" si="33"/>
        <v>-19352</v>
      </c>
      <c r="CQ52" s="127">
        <f t="shared" si="34"/>
        <v>0</v>
      </c>
      <c r="CR52" s="127">
        <f t="shared" si="35"/>
        <v>0</v>
      </c>
      <c r="CS52" s="127">
        <f t="shared" si="36"/>
        <v>7740.7999999999993</v>
      </c>
      <c r="CT52" s="127" t="s">
        <v>361</v>
      </c>
      <c r="CU52" s="127" t="s">
        <v>361</v>
      </c>
      <c r="CV52" s="142" t="str">
        <f t="shared" si="37"/>
        <v>AAMCB5608A</v>
      </c>
      <c r="CW52" s="142" t="str">
        <f t="shared" si="38"/>
        <v>BJHPB3107J</v>
      </c>
    </row>
    <row r="53" spans="2:101" s="149" customFormat="1" ht="11.85" customHeight="1" x14ac:dyDescent="0.25">
      <c r="B53" s="120" t="str">
        <f t="shared" si="0"/>
        <v>Q1</v>
      </c>
      <c r="C53" s="121" t="str">
        <f t="shared" si="1"/>
        <v>Apr-26</v>
      </c>
      <c r="D53" s="122">
        <v>46127</v>
      </c>
      <c r="E53" s="123" t="s">
        <v>3192</v>
      </c>
      <c r="F53" s="123" t="s">
        <v>196</v>
      </c>
      <c r="G53" s="123" t="s">
        <v>198</v>
      </c>
      <c r="H53" s="124" t="s">
        <v>3193</v>
      </c>
      <c r="I53" s="122">
        <v>46127</v>
      </c>
      <c r="J53" s="123" t="s">
        <v>3194</v>
      </c>
      <c r="K53" s="122">
        <v>46127</v>
      </c>
      <c r="L53" s="123" t="s">
        <v>199</v>
      </c>
      <c r="M53" s="123" t="s">
        <v>244</v>
      </c>
      <c r="N53" s="550" t="s">
        <v>243</v>
      </c>
      <c r="O53" s="123">
        <v>325</v>
      </c>
      <c r="P53" s="551">
        <v>60</v>
      </c>
      <c r="Q53" s="125">
        <f t="shared" si="2"/>
        <v>19500</v>
      </c>
      <c r="R53" s="126">
        <v>0</v>
      </c>
      <c r="S53" s="125">
        <f t="shared" si="3"/>
        <v>325</v>
      </c>
      <c r="T53" s="126">
        <v>0</v>
      </c>
      <c r="U53" s="127">
        <v>0</v>
      </c>
      <c r="V53" s="128">
        <v>0</v>
      </c>
      <c r="W53" s="127">
        <v>0</v>
      </c>
      <c r="X53" s="129">
        <v>0</v>
      </c>
      <c r="Y53" s="127">
        <v>0</v>
      </c>
      <c r="Z53" s="127">
        <v>0</v>
      </c>
      <c r="AA53" s="126">
        <v>0</v>
      </c>
      <c r="AB53" s="130">
        <f t="shared" si="4"/>
        <v>0</v>
      </c>
      <c r="AC53" s="129">
        <v>0</v>
      </c>
      <c r="AD53" s="125">
        <f t="shared" si="5"/>
        <v>60</v>
      </c>
      <c r="AE53" s="144">
        <v>0</v>
      </c>
      <c r="AF53" s="127">
        <v>0</v>
      </c>
      <c r="AG53" s="131">
        <v>0</v>
      </c>
      <c r="AH53" s="127">
        <v>0</v>
      </c>
      <c r="AI53" s="128">
        <v>0</v>
      </c>
      <c r="AJ53" s="127">
        <v>0</v>
      </c>
      <c r="AK53" s="127">
        <v>0</v>
      </c>
      <c r="AL53" s="127">
        <v>0</v>
      </c>
      <c r="AM53" s="132">
        <f t="shared" si="6"/>
        <v>19500</v>
      </c>
      <c r="AN53" s="133">
        <v>46127</v>
      </c>
      <c r="AO53" s="134" t="s">
        <v>3262</v>
      </c>
      <c r="AP53" s="135" t="s">
        <v>234</v>
      </c>
      <c r="AQ53" s="136" t="s">
        <v>235</v>
      </c>
      <c r="AR53" s="136" t="s">
        <v>236</v>
      </c>
      <c r="AS53" s="123" t="s">
        <v>237</v>
      </c>
      <c r="AT53" s="137" t="s">
        <v>238</v>
      </c>
      <c r="AU53" s="137" t="s">
        <v>197</v>
      </c>
      <c r="AV53" s="138" t="s">
        <v>329</v>
      </c>
      <c r="AW53" s="136">
        <v>325</v>
      </c>
      <c r="AX53" s="138">
        <v>80</v>
      </c>
      <c r="AY53" s="136">
        <f t="shared" si="7"/>
        <v>26000</v>
      </c>
      <c r="AZ53" s="139" t="b">
        <f t="shared" si="8"/>
        <v>1</v>
      </c>
      <c r="BA53" s="125">
        <v>0</v>
      </c>
      <c r="BB53" s="140">
        <f t="shared" si="9"/>
        <v>325</v>
      </c>
      <c r="BC53" s="141">
        <v>0</v>
      </c>
      <c r="BD53" s="140" t="s">
        <v>107</v>
      </c>
      <c r="BE53" s="141">
        <v>0</v>
      </c>
      <c r="BF53" s="140">
        <v>0</v>
      </c>
      <c r="BG53" s="141">
        <v>0</v>
      </c>
      <c r="BH53" s="127">
        <v>0</v>
      </c>
      <c r="BI53" s="130">
        <v>0</v>
      </c>
      <c r="BJ53" s="128">
        <v>0</v>
      </c>
      <c r="BK53" s="125">
        <v>0</v>
      </c>
      <c r="BL53" s="136">
        <v>0</v>
      </c>
      <c r="BM53" s="127">
        <v>0</v>
      </c>
      <c r="BN53" s="142">
        <f t="shared" si="10"/>
        <v>0</v>
      </c>
      <c r="BO53" s="126">
        <f t="shared" si="11"/>
        <v>26000</v>
      </c>
      <c r="BP53" s="132">
        <f t="shared" si="12"/>
        <v>6500</v>
      </c>
      <c r="BQ53" s="141" t="str">
        <f t="shared" si="13"/>
        <v>Positive Margin</v>
      </c>
      <c r="BR53" s="143" t="s">
        <v>119</v>
      </c>
      <c r="BS53" s="125">
        <f t="shared" si="14"/>
        <v>6500</v>
      </c>
      <c r="BT53" s="144" t="str">
        <f t="shared" si="15"/>
        <v>Positive Margin at Inception</v>
      </c>
      <c r="BU53" s="145">
        <f t="shared" si="16"/>
        <v>0.25</v>
      </c>
      <c r="BV53" s="144" t="str">
        <f t="shared" si="17"/>
        <v>More than 2%</v>
      </c>
      <c r="BW53" s="125">
        <f t="shared" si="18"/>
        <v>0</v>
      </c>
      <c r="BX53" s="126">
        <f t="shared" si="19"/>
        <v>0</v>
      </c>
      <c r="BY53" s="125">
        <f t="shared" si="20"/>
        <v>0</v>
      </c>
      <c r="BZ53" s="146">
        <f t="shared" si="21"/>
        <v>0</v>
      </c>
      <c r="CA53" s="146">
        <f t="shared" si="22"/>
        <v>0</v>
      </c>
      <c r="CB53" s="127">
        <f t="shared" si="23"/>
        <v>0</v>
      </c>
      <c r="CC53" s="146" t="s">
        <v>397</v>
      </c>
      <c r="CD53" s="127">
        <v>0</v>
      </c>
      <c r="CE53" s="127" t="str">
        <f t="shared" si="24"/>
        <v>Apr-26</v>
      </c>
      <c r="CF53" s="127">
        <f t="shared" si="25"/>
        <v>19500</v>
      </c>
      <c r="CG53" s="127">
        <f t="shared" si="26"/>
        <v>26000</v>
      </c>
      <c r="CH53" s="127">
        <f t="shared" si="27"/>
        <v>3</v>
      </c>
      <c r="CI53" s="147" t="str">
        <f t="shared" si="28"/>
        <v>BG AHD</v>
      </c>
      <c r="CJ53" s="127">
        <v>0</v>
      </c>
      <c r="CK53" s="127">
        <v>0</v>
      </c>
      <c r="CL53" s="127">
        <f t="shared" si="29"/>
        <v>6500</v>
      </c>
      <c r="CM53" s="127">
        <f t="shared" si="30"/>
        <v>6500</v>
      </c>
      <c r="CN53" s="127">
        <f t="shared" si="31"/>
        <v>6500</v>
      </c>
      <c r="CO53" s="127">
        <f t="shared" si="32"/>
        <v>30680</v>
      </c>
      <c r="CP53" s="127">
        <f t="shared" si="33"/>
        <v>-23010</v>
      </c>
      <c r="CQ53" s="127">
        <f t="shared" si="34"/>
        <v>0</v>
      </c>
      <c r="CR53" s="127">
        <f t="shared" si="35"/>
        <v>0</v>
      </c>
      <c r="CS53" s="127">
        <f t="shared" si="36"/>
        <v>7670</v>
      </c>
      <c r="CT53" s="127" t="s">
        <v>361</v>
      </c>
      <c r="CU53" s="127" t="s">
        <v>361</v>
      </c>
      <c r="CV53" s="142" t="str">
        <f t="shared" si="37"/>
        <v>AAMCB5608A</v>
      </c>
      <c r="CW53" s="142" t="str">
        <f t="shared" si="38"/>
        <v>BJHPB3107J</v>
      </c>
    </row>
    <row r="54" spans="2:101" s="149" customFormat="1" ht="11.85" customHeight="1" x14ac:dyDescent="0.25">
      <c r="B54" s="120" t="str">
        <f t="shared" si="0"/>
        <v>Q1</v>
      </c>
      <c r="C54" s="121" t="str">
        <f t="shared" si="1"/>
        <v>Apr-26</v>
      </c>
      <c r="D54" s="122">
        <v>46127</v>
      </c>
      <c r="E54" s="123" t="s">
        <v>3195</v>
      </c>
      <c r="F54" s="123" t="s">
        <v>196</v>
      </c>
      <c r="G54" s="123" t="s">
        <v>198</v>
      </c>
      <c r="H54" s="124" t="s">
        <v>3196</v>
      </c>
      <c r="I54" s="122">
        <v>46127</v>
      </c>
      <c r="J54" s="123" t="s">
        <v>3197</v>
      </c>
      <c r="K54" s="122">
        <v>46127</v>
      </c>
      <c r="L54" s="123" t="s">
        <v>199</v>
      </c>
      <c r="M54" s="123" t="s">
        <v>2432</v>
      </c>
      <c r="N54" s="550" t="s">
        <v>242</v>
      </c>
      <c r="O54" s="123">
        <v>3440</v>
      </c>
      <c r="P54" s="551">
        <v>0.1</v>
      </c>
      <c r="Q54" s="125">
        <f t="shared" si="2"/>
        <v>344</v>
      </c>
      <c r="R54" s="126">
        <v>0</v>
      </c>
      <c r="S54" s="125">
        <f t="shared" si="3"/>
        <v>3440</v>
      </c>
      <c r="T54" s="126">
        <v>0</v>
      </c>
      <c r="U54" s="127">
        <v>0</v>
      </c>
      <c r="V54" s="128">
        <v>0</v>
      </c>
      <c r="W54" s="127">
        <v>0</v>
      </c>
      <c r="X54" s="129">
        <v>0</v>
      </c>
      <c r="Y54" s="127">
        <v>0</v>
      </c>
      <c r="Z54" s="127">
        <v>0</v>
      </c>
      <c r="AA54" s="126">
        <v>0</v>
      </c>
      <c r="AB54" s="130">
        <f t="shared" si="4"/>
        <v>0</v>
      </c>
      <c r="AC54" s="129">
        <v>0</v>
      </c>
      <c r="AD54" s="125">
        <f t="shared" si="5"/>
        <v>0.1</v>
      </c>
      <c r="AE54" s="144">
        <v>0</v>
      </c>
      <c r="AF54" s="127">
        <v>0</v>
      </c>
      <c r="AG54" s="131">
        <v>0</v>
      </c>
      <c r="AH54" s="127">
        <v>0</v>
      </c>
      <c r="AI54" s="128">
        <v>0</v>
      </c>
      <c r="AJ54" s="127">
        <v>0</v>
      </c>
      <c r="AK54" s="127">
        <v>0</v>
      </c>
      <c r="AL54" s="127">
        <v>0</v>
      </c>
      <c r="AM54" s="132">
        <f t="shared" si="6"/>
        <v>344</v>
      </c>
      <c r="AN54" s="133">
        <v>46127</v>
      </c>
      <c r="AO54" s="134" t="s">
        <v>3264</v>
      </c>
      <c r="AP54" s="135" t="s">
        <v>234</v>
      </c>
      <c r="AQ54" s="136" t="s">
        <v>235</v>
      </c>
      <c r="AR54" s="136" t="s">
        <v>236</v>
      </c>
      <c r="AS54" s="123" t="s">
        <v>239</v>
      </c>
      <c r="AT54" s="137" t="s">
        <v>238</v>
      </c>
      <c r="AU54" s="137" t="s">
        <v>197</v>
      </c>
      <c r="AV54" s="138" t="s">
        <v>329</v>
      </c>
      <c r="AW54" s="136">
        <v>3440</v>
      </c>
      <c r="AX54" s="138">
        <v>1.1000000000000001</v>
      </c>
      <c r="AY54" s="136">
        <f t="shared" si="7"/>
        <v>3784.0000000000005</v>
      </c>
      <c r="AZ54" s="139" t="b">
        <f t="shared" si="8"/>
        <v>1</v>
      </c>
      <c r="BA54" s="125">
        <v>0</v>
      </c>
      <c r="BB54" s="140">
        <f t="shared" si="9"/>
        <v>3440</v>
      </c>
      <c r="BC54" s="141">
        <v>0</v>
      </c>
      <c r="BD54" s="140" t="s">
        <v>107</v>
      </c>
      <c r="BE54" s="141">
        <v>0</v>
      </c>
      <c r="BF54" s="140">
        <v>0</v>
      </c>
      <c r="BG54" s="141">
        <v>0</v>
      </c>
      <c r="BH54" s="127">
        <v>0</v>
      </c>
      <c r="BI54" s="130">
        <v>0</v>
      </c>
      <c r="BJ54" s="128">
        <v>0</v>
      </c>
      <c r="BK54" s="125">
        <v>0</v>
      </c>
      <c r="BL54" s="136">
        <v>0</v>
      </c>
      <c r="BM54" s="127">
        <v>0</v>
      </c>
      <c r="BN54" s="142">
        <f t="shared" si="10"/>
        <v>0</v>
      </c>
      <c r="BO54" s="126">
        <f t="shared" si="11"/>
        <v>3784.0000000000005</v>
      </c>
      <c r="BP54" s="132">
        <f t="shared" si="12"/>
        <v>3440.0000000000005</v>
      </c>
      <c r="BQ54" s="141" t="str">
        <f t="shared" si="13"/>
        <v>Positive Margin</v>
      </c>
      <c r="BR54" s="143" t="s">
        <v>119</v>
      </c>
      <c r="BS54" s="125">
        <f t="shared" si="14"/>
        <v>3440.0000000000005</v>
      </c>
      <c r="BT54" s="144" t="str">
        <f t="shared" si="15"/>
        <v>Positive Margin at Inception</v>
      </c>
      <c r="BU54" s="145">
        <f t="shared" si="16"/>
        <v>0.90909090909090906</v>
      </c>
      <c r="BV54" s="144" t="str">
        <f t="shared" si="17"/>
        <v>More than 2%</v>
      </c>
      <c r="BW54" s="125">
        <f t="shared" si="18"/>
        <v>0</v>
      </c>
      <c r="BX54" s="126">
        <f t="shared" si="19"/>
        <v>0</v>
      </c>
      <c r="BY54" s="125">
        <f t="shared" si="20"/>
        <v>0</v>
      </c>
      <c r="BZ54" s="146">
        <f t="shared" si="21"/>
        <v>0</v>
      </c>
      <c r="CA54" s="146">
        <f t="shared" si="22"/>
        <v>0</v>
      </c>
      <c r="CB54" s="127">
        <f t="shared" si="23"/>
        <v>0</v>
      </c>
      <c r="CC54" s="146" t="s">
        <v>397</v>
      </c>
      <c r="CD54" s="127">
        <v>0</v>
      </c>
      <c r="CE54" s="127" t="str">
        <f t="shared" si="24"/>
        <v>Apr-26</v>
      </c>
      <c r="CF54" s="127">
        <f t="shared" si="25"/>
        <v>344</v>
      </c>
      <c r="CG54" s="127">
        <f t="shared" si="26"/>
        <v>3784.0000000000005</v>
      </c>
      <c r="CH54" s="127">
        <f t="shared" si="27"/>
        <v>3</v>
      </c>
      <c r="CI54" s="147" t="str">
        <f t="shared" si="28"/>
        <v>BG AHD</v>
      </c>
      <c r="CJ54" s="127">
        <v>0</v>
      </c>
      <c r="CK54" s="127">
        <v>0</v>
      </c>
      <c r="CL54" s="127">
        <f t="shared" si="29"/>
        <v>3440.0000000000005</v>
      </c>
      <c r="CM54" s="127">
        <f t="shared" si="30"/>
        <v>3440.0000000000005</v>
      </c>
      <c r="CN54" s="127">
        <f t="shared" si="31"/>
        <v>3440.0000000000005</v>
      </c>
      <c r="CO54" s="127">
        <f t="shared" si="32"/>
        <v>4465.12</v>
      </c>
      <c r="CP54" s="127">
        <f t="shared" si="33"/>
        <v>-405.91999999999996</v>
      </c>
      <c r="CQ54" s="127">
        <f t="shared" si="34"/>
        <v>0</v>
      </c>
      <c r="CR54" s="127">
        <f t="shared" si="35"/>
        <v>0</v>
      </c>
      <c r="CS54" s="127">
        <f t="shared" si="36"/>
        <v>4059.2</v>
      </c>
      <c r="CT54" s="127" t="s">
        <v>361</v>
      </c>
      <c r="CU54" s="127" t="s">
        <v>361</v>
      </c>
      <c r="CV54" s="142" t="str">
        <f t="shared" si="37"/>
        <v>AAMCB5608A</v>
      </c>
      <c r="CW54" s="142" t="str">
        <f t="shared" si="38"/>
        <v>BJHPB3107J</v>
      </c>
    </row>
    <row r="55" spans="2:101" s="149" customFormat="1" ht="11.85" customHeight="1" x14ac:dyDescent="0.25">
      <c r="B55" s="120" t="str">
        <f t="shared" si="0"/>
        <v>Q1</v>
      </c>
      <c r="C55" s="121" t="str">
        <f t="shared" si="1"/>
        <v>Apr-26</v>
      </c>
      <c r="D55" s="122">
        <v>46127</v>
      </c>
      <c r="E55" s="123" t="s">
        <v>3195</v>
      </c>
      <c r="F55" s="123" t="s">
        <v>196</v>
      </c>
      <c r="G55" s="123" t="s">
        <v>198</v>
      </c>
      <c r="H55" s="124" t="s">
        <v>3196</v>
      </c>
      <c r="I55" s="122">
        <v>46127</v>
      </c>
      <c r="J55" s="123" t="s">
        <v>3197</v>
      </c>
      <c r="K55" s="122">
        <v>46127</v>
      </c>
      <c r="L55" s="123" t="s">
        <v>199</v>
      </c>
      <c r="M55" s="123" t="s">
        <v>2432</v>
      </c>
      <c r="N55" s="550" t="s">
        <v>243</v>
      </c>
      <c r="O55" s="123">
        <v>45</v>
      </c>
      <c r="P55" s="551">
        <v>60</v>
      </c>
      <c r="Q55" s="125">
        <f t="shared" si="2"/>
        <v>2700</v>
      </c>
      <c r="R55" s="126">
        <v>0</v>
      </c>
      <c r="S55" s="125">
        <f t="shared" si="3"/>
        <v>45</v>
      </c>
      <c r="T55" s="126">
        <v>0</v>
      </c>
      <c r="U55" s="127">
        <v>0</v>
      </c>
      <c r="V55" s="128">
        <v>0</v>
      </c>
      <c r="W55" s="127">
        <v>0</v>
      </c>
      <c r="X55" s="129">
        <v>0</v>
      </c>
      <c r="Y55" s="127">
        <v>0</v>
      </c>
      <c r="Z55" s="127">
        <v>0</v>
      </c>
      <c r="AA55" s="126">
        <v>0</v>
      </c>
      <c r="AB55" s="130">
        <f t="shared" si="4"/>
        <v>0</v>
      </c>
      <c r="AC55" s="129">
        <v>0</v>
      </c>
      <c r="AD55" s="125">
        <f t="shared" si="5"/>
        <v>60</v>
      </c>
      <c r="AE55" s="144">
        <v>0</v>
      </c>
      <c r="AF55" s="127">
        <v>0</v>
      </c>
      <c r="AG55" s="131">
        <v>0</v>
      </c>
      <c r="AH55" s="127">
        <v>0</v>
      </c>
      <c r="AI55" s="128">
        <v>0</v>
      </c>
      <c r="AJ55" s="127">
        <v>0</v>
      </c>
      <c r="AK55" s="127">
        <v>0</v>
      </c>
      <c r="AL55" s="127">
        <v>0</v>
      </c>
      <c r="AM55" s="132">
        <f t="shared" si="6"/>
        <v>2700</v>
      </c>
      <c r="AN55" s="133">
        <v>46127</v>
      </c>
      <c r="AO55" s="134" t="s">
        <v>3264</v>
      </c>
      <c r="AP55" s="135" t="s">
        <v>234</v>
      </c>
      <c r="AQ55" s="136" t="s">
        <v>235</v>
      </c>
      <c r="AR55" s="136" t="s">
        <v>236</v>
      </c>
      <c r="AS55" s="123" t="s">
        <v>239</v>
      </c>
      <c r="AT55" s="137" t="s">
        <v>238</v>
      </c>
      <c r="AU55" s="137" t="s">
        <v>197</v>
      </c>
      <c r="AV55" s="138" t="s">
        <v>329</v>
      </c>
      <c r="AW55" s="136">
        <v>45</v>
      </c>
      <c r="AX55" s="138">
        <v>80</v>
      </c>
      <c r="AY55" s="136">
        <f t="shared" si="7"/>
        <v>3600</v>
      </c>
      <c r="AZ55" s="139" t="b">
        <f t="shared" si="8"/>
        <v>1</v>
      </c>
      <c r="BA55" s="125">
        <v>0</v>
      </c>
      <c r="BB55" s="140">
        <f t="shared" si="9"/>
        <v>45</v>
      </c>
      <c r="BC55" s="141">
        <v>0</v>
      </c>
      <c r="BD55" s="140" t="s">
        <v>107</v>
      </c>
      <c r="BE55" s="141">
        <v>0</v>
      </c>
      <c r="BF55" s="140">
        <v>0</v>
      </c>
      <c r="BG55" s="141">
        <v>0</v>
      </c>
      <c r="BH55" s="127">
        <v>0</v>
      </c>
      <c r="BI55" s="130">
        <v>0</v>
      </c>
      <c r="BJ55" s="128">
        <v>0</v>
      </c>
      <c r="BK55" s="125">
        <v>0</v>
      </c>
      <c r="BL55" s="136">
        <v>0</v>
      </c>
      <c r="BM55" s="127">
        <v>0</v>
      </c>
      <c r="BN55" s="142">
        <f t="shared" si="10"/>
        <v>0</v>
      </c>
      <c r="BO55" s="126">
        <f t="shared" si="11"/>
        <v>3600</v>
      </c>
      <c r="BP55" s="132">
        <f t="shared" si="12"/>
        <v>900</v>
      </c>
      <c r="BQ55" s="141" t="str">
        <f t="shared" si="13"/>
        <v>Positive Margin</v>
      </c>
      <c r="BR55" s="143" t="s">
        <v>119</v>
      </c>
      <c r="BS55" s="125">
        <f t="shared" si="14"/>
        <v>900</v>
      </c>
      <c r="BT55" s="144" t="str">
        <f t="shared" si="15"/>
        <v>Positive Margin at Inception</v>
      </c>
      <c r="BU55" s="145">
        <f t="shared" si="16"/>
        <v>0.25</v>
      </c>
      <c r="BV55" s="144" t="str">
        <f t="shared" si="17"/>
        <v>More than 2%</v>
      </c>
      <c r="BW55" s="125">
        <f t="shared" si="18"/>
        <v>0</v>
      </c>
      <c r="BX55" s="126">
        <f t="shared" si="19"/>
        <v>0</v>
      </c>
      <c r="BY55" s="125">
        <f t="shared" si="20"/>
        <v>0</v>
      </c>
      <c r="BZ55" s="146">
        <f t="shared" si="21"/>
        <v>0</v>
      </c>
      <c r="CA55" s="146">
        <f t="shared" si="22"/>
        <v>0</v>
      </c>
      <c r="CB55" s="127">
        <f t="shared" si="23"/>
        <v>0</v>
      </c>
      <c r="CC55" s="146" t="s">
        <v>397</v>
      </c>
      <c r="CD55" s="127">
        <v>0</v>
      </c>
      <c r="CE55" s="127" t="str">
        <f t="shared" si="24"/>
        <v>Apr-26</v>
      </c>
      <c r="CF55" s="127">
        <f t="shared" si="25"/>
        <v>2700</v>
      </c>
      <c r="CG55" s="127">
        <f t="shared" si="26"/>
        <v>3600</v>
      </c>
      <c r="CH55" s="127">
        <f t="shared" si="27"/>
        <v>3</v>
      </c>
      <c r="CI55" s="147" t="str">
        <f t="shared" si="28"/>
        <v>BG AHD</v>
      </c>
      <c r="CJ55" s="127">
        <v>0</v>
      </c>
      <c r="CK55" s="127">
        <v>0</v>
      </c>
      <c r="CL55" s="127">
        <f t="shared" si="29"/>
        <v>900</v>
      </c>
      <c r="CM55" s="127">
        <f t="shared" si="30"/>
        <v>900</v>
      </c>
      <c r="CN55" s="127">
        <f t="shared" si="31"/>
        <v>900</v>
      </c>
      <c r="CO55" s="127">
        <f t="shared" si="32"/>
        <v>4248</v>
      </c>
      <c r="CP55" s="127">
        <f t="shared" si="33"/>
        <v>-3186</v>
      </c>
      <c r="CQ55" s="127">
        <f t="shared" si="34"/>
        <v>0</v>
      </c>
      <c r="CR55" s="127">
        <f t="shared" si="35"/>
        <v>0</v>
      </c>
      <c r="CS55" s="127">
        <f t="shared" si="36"/>
        <v>1062</v>
      </c>
      <c r="CT55" s="127" t="s">
        <v>361</v>
      </c>
      <c r="CU55" s="127" t="s">
        <v>361</v>
      </c>
      <c r="CV55" s="142" t="str">
        <f t="shared" si="37"/>
        <v>AAMCB5608A</v>
      </c>
      <c r="CW55" s="142" t="str">
        <f t="shared" si="38"/>
        <v>BJHPB3107J</v>
      </c>
    </row>
    <row r="56" spans="2:101" s="149" customFormat="1" ht="11.85" customHeight="1" x14ac:dyDescent="0.25">
      <c r="B56" s="120" t="str">
        <f t="shared" si="0"/>
        <v>Q1</v>
      </c>
      <c r="C56" s="121" t="str">
        <f t="shared" si="1"/>
        <v>Apr-26</v>
      </c>
      <c r="D56" s="122">
        <v>46128</v>
      </c>
      <c r="E56" s="123" t="s">
        <v>3198</v>
      </c>
      <c r="F56" s="123" t="s">
        <v>196</v>
      </c>
      <c r="G56" s="123" t="s">
        <v>198</v>
      </c>
      <c r="H56" s="124" t="s">
        <v>3199</v>
      </c>
      <c r="I56" s="122">
        <v>46128</v>
      </c>
      <c r="J56" s="123" t="s">
        <v>3200</v>
      </c>
      <c r="K56" s="122">
        <v>46128</v>
      </c>
      <c r="L56" s="123" t="s">
        <v>199</v>
      </c>
      <c r="M56" s="123" t="s">
        <v>3201</v>
      </c>
      <c r="N56" s="550" t="s">
        <v>3202</v>
      </c>
      <c r="O56" s="123">
        <v>230</v>
      </c>
      <c r="P56" s="551">
        <v>13</v>
      </c>
      <c r="Q56" s="125">
        <f t="shared" si="2"/>
        <v>2990</v>
      </c>
      <c r="R56" s="126">
        <v>0</v>
      </c>
      <c r="S56" s="125">
        <f t="shared" si="3"/>
        <v>230</v>
      </c>
      <c r="T56" s="126">
        <v>0</v>
      </c>
      <c r="U56" s="127">
        <v>0</v>
      </c>
      <c r="V56" s="128">
        <v>0</v>
      </c>
      <c r="W56" s="127">
        <v>0</v>
      </c>
      <c r="X56" s="129">
        <v>0</v>
      </c>
      <c r="Y56" s="127">
        <v>0</v>
      </c>
      <c r="Z56" s="127">
        <v>0</v>
      </c>
      <c r="AA56" s="126">
        <v>0</v>
      </c>
      <c r="AB56" s="130">
        <f t="shared" si="4"/>
        <v>0</v>
      </c>
      <c r="AC56" s="129">
        <v>0</v>
      </c>
      <c r="AD56" s="125">
        <f t="shared" si="5"/>
        <v>13</v>
      </c>
      <c r="AE56" s="144">
        <v>0</v>
      </c>
      <c r="AF56" s="127">
        <v>0</v>
      </c>
      <c r="AG56" s="131">
        <v>0</v>
      </c>
      <c r="AH56" s="127">
        <v>0</v>
      </c>
      <c r="AI56" s="128">
        <v>0</v>
      </c>
      <c r="AJ56" s="127">
        <v>0</v>
      </c>
      <c r="AK56" s="127">
        <v>0</v>
      </c>
      <c r="AL56" s="127">
        <v>0</v>
      </c>
      <c r="AM56" s="132">
        <f t="shared" si="6"/>
        <v>2990</v>
      </c>
      <c r="AN56" s="133">
        <v>46128</v>
      </c>
      <c r="AO56" s="134" t="s">
        <v>3253</v>
      </c>
      <c r="AP56" s="135" t="s">
        <v>3254</v>
      </c>
      <c r="AQ56" s="136" t="s">
        <v>3255</v>
      </c>
      <c r="AR56" s="136" t="s">
        <v>3256</v>
      </c>
      <c r="AS56" s="123" t="s">
        <v>3257</v>
      </c>
      <c r="AT56" s="137" t="s">
        <v>3258</v>
      </c>
      <c r="AU56" s="137" t="s">
        <v>197</v>
      </c>
      <c r="AV56" s="138" t="s">
        <v>329</v>
      </c>
      <c r="AW56" s="136">
        <v>230</v>
      </c>
      <c r="AX56" s="138">
        <v>14</v>
      </c>
      <c r="AY56" s="136">
        <f t="shared" si="7"/>
        <v>3220</v>
      </c>
      <c r="AZ56" s="139" t="b">
        <f t="shared" si="8"/>
        <v>1</v>
      </c>
      <c r="BA56" s="125">
        <v>0</v>
      </c>
      <c r="BB56" s="140">
        <f t="shared" si="9"/>
        <v>230</v>
      </c>
      <c r="BC56" s="141">
        <v>0</v>
      </c>
      <c r="BD56" s="140" t="s">
        <v>107</v>
      </c>
      <c r="BE56" s="141">
        <v>0</v>
      </c>
      <c r="BF56" s="140">
        <v>0</v>
      </c>
      <c r="BG56" s="141">
        <v>0</v>
      </c>
      <c r="BH56" s="127">
        <v>0</v>
      </c>
      <c r="BI56" s="130">
        <v>0</v>
      </c>
      <c r="BJ56" s="128">
        <v>0</v>
      </c>
      <c r="BK56" s="125">
        <v>0</v>
      </c>
      <c r="BL56" s="136">
        <v>0</v>
      </c>
      <c r="BM56" s="127">
        <v>0</v>
      </c>
      <c r="BN56" s="142">
        <f t="shared" si="10"/>
        <v>0</v>
      </c>
      <c r="BO56" s="126">
        <f t="shared" si="11"/>
        <v>3220</v>
      </c>
      <c r="BP56" s="132">
        <f t="shared" si="12"/>
        <v>230</v>
      </c>
      <c r="BQ56" s="141" t="str">
        <f t="shared" si="13"/>
        <v>Positive Margin</v>
      </c>
      <c r="BR56" s="143" t="s">
        <v>119</v>
      </c>
      <c r="BS56" s="125">
        <f t="shared" si="14"/>
        <v>230</v>
      </c>
      <c r="BT56" s="144" t="str">
        <f t="shared" si="15"/>
        <v>Positive Margin at Inception</v>
      </c>
      <c r="BU56" s="145">
        <f t="shared" si="16"/>
        <v>7.1428571428571425E-2</v>
      </c>
      <c r="BV56" s="144" t="str">
        <f t="shared" si="17"/>
        <v>More than 2%</v>
      </c>
      <c r="BW56" s="125">
        <f t="shared" si="18"/>
        <v>0</v>
      </c>
      <c r="BX56" s="126">
        <f t="shared" si="19"/>
        <v>0</v>
      </c>
      <c r="BY56" s="125">
        <f t="shared" si="20"/>
        <v>0</v>
      </c>
      <c r="BZ56" s="146">
        <f t="shared" si="21"/>
        <v>0</v>
      </c>
      <c r="CA56" s="146">
        <f t="shared" si="22"/>
        <v>0</v>
      </c>
      <c r="CB56" s="127">
        <f t="shared" si="23"/>
        <v>0</v>
      </c>
      <c r="CC56" s="146" t="s">
        <v>397</v>
      </c>
      <c r="CD56" s="127">
        <v>0</v>
      </c>
      <c r="CE56" s="127" t="str">
        <f t="shared" si="24"/>
        <v>Apr-26</v>
      </c>
      <c r="CF56" s="127">
        <f t="shared" si="25"/>
        <v>2990</v>
      </c>
      <c r="CG56" s="127">
        <f t="shared" si="26"/>
        <v>3220</v>
      </c>
      <c r="CH56" s="127">
        <f t="shared" si="27"/>
        <v>3</v>
      </c>
      <c r="CI56" s="147" t="str">
        <f t="shared" si="28"/>
        <v>BG AHD</v>
      </c>
      <c r="CJ56" s="127">
        <v>0</v>
      </c>
      <c r="CK56" s="127">
        <v>0</v>
      </c>
      <c r="CL56" s="127">
        <f t="shared" si="29"/>
        <v>230</v>
      </c>
      <c r="CM56" s="127">
        <f t="shared" si="30"/>
        <v>230</v>
      </c>
      <c r="CN56" s="127">
        <f t="shared" si="31"/>
        <v>230</v>
      </c>
      <c r="CO56" s="127">
        <f t="shared" si="32"/>
        <v>3799.6</v>
      </c>
      <c r="CP56" s="127">
        <f t="shared" si="33"/>
        <v>-3528.2</v>
      </c>
      <c r="CQ56" s="127">
        <f t="shared" si="34"/>
        <v>0</v>
      </c>
      <c r="CR56" s="127">
        <f t="shared" si="35"/>
        <v>0</v>
      </c>
      <c r="CS56" s="127">
        <f t="shared" si="36"/>
        <v>271.40000000000009</v>
      </c>
      <c r="CT56" s="127" t="s">
        <v>361</v>
      </c>
      <c r="CU56" s="127" t="s">
        <v>361</v>
      </c>
      <c r="CV56" s="142" t="str">
        <f t="shared" si="37"/>
        <v>AAMCB5608A</v>
      </c>
      <c r="CW56" s="142" t="str">
        <f t="shared" si="38"/>
        <v>DIZPK8580H</v>
      </c>
    </row>
    <row r="57" spans="2:101" s="149" customFormat="1" ht="11.85" customHeight="1" x14ac:dyDescent="0.25">
      <c r="B57" s="120" t="str">
        <f t="shared" si="0"/>
        <v>Q1</v>
      </c>
      <c r="C57" s="121" t="str">
        <f t="shared" si="1"/>
        <v>Apr-26</v>
      </c>
      <c r="D57" s="122">
        <v>46128</v>
      </c>
      <c r="E57" s="123" t="s">
        <v>3198</v>
      </c>
      <c r="F57" s="123" t="s">
        <v>196</v>
      </c>
      <c r="G57" s="123" t="s">
        <v>198</v>
      </c>
      <c r="H57" s="124" t="s">
        <v>3199</v>
      </c>
      <c r="I57" s="122">
        <v>46128</v>
      </c>
      <c r="J57" s="123" t="s">
        <v>3200</v>
      </c>
      <c r="K57" s="122">
        <v>46128</v>
      </c>
      <c r="L57" s="123" t="s">
        <v>199</v>
      </c>
      <c r="M57" s="123" t="s">
        <v>3201</v>
      </c>
      <c r="N57" s="550" t="s">
        <v>3203</v>
      </c>
      <c r="O57" s="123">
        <v>170</v>
      </c>
      <c r="P57" s="551">
        <v>5</v>
      </c>
      <c r="Q57" s="125">
        <f t="shared" si="2"/>
        <v>850</v>
      </c>
      <c r="R57" s="126">
        <v>0</v>
      </c>
      <c r="S57" s="125">
        <f t="shared" si="3"/>
        <v>170</v>
      </c>
      <c r="T57" s="126">
        <v>0</v>
      </c>
      <c r="U57" s="127">
        <v>0</v>
      </c>
      <c r="V57" s="128">
        <v>0</v>
      </c>
      <c r="W57" s="127">
        <v>0</v>
      </c>
      <c r="X57" s="129">
        <v>0</v>
      </c>
      <c r="Y57" s="127">
        <v>0</v>
      </c>
      <c r="Z57" s="127">
        <v>0</v>
      </c>
      <c r="AA57" s="126">
        <v>0</v>
      </c>
      <c r="AB57" s="130">
        <f t="shared" si="4"/>
        <v>0</v>
      </c>
      <c r="AC57" s="129">
        <v>0</v>
      </c>
      <c r="AD57" s="125">
        <f t="shared" si="5"/>
        <v>5</v>
      </c>
      <c r="AE57" s="144">
        <v>0</v>
      </c>
      <c r="AF57" s="127">
        <v>0</v>
      </c>
      <c r="AG57" s="131">
        <v>0</v>
      </c>
      <c r="AH57" s="127">
        <v>0</v>
      </c>
      <c r="AI57" s="128">
        <v>0</v>
      </c>
      <c r="AJ57" s="127">
        <v>0</v>
      </c>
      <c r="AK57" s="127">
        <v>0</v>
      </c>
      <c r="AL57" s="127">
        <v>0</v>
      </c>
      <c r="AM57" s="132">
        <f t="shared" si="6"/>
        <v>850</v>
      </c>
      <c r="AN57" s="133">
        <v>46128</v>
      </c>
      <c r="AO57" s="134" t="s">
        <v>3253</v>
      </c>
      <c r="AP57" s="135" t="s">
        <v>3254</v>
      </c>
      <c r="AQ57" s="136" t="s">
        <v>3255</v>
      </c>
      <c r="AR57" s="136" t="s">
        <v>3256</v>
      </c>
      <c r="AS57" s="123" t="s">
        <v>3257</v>
      </c>
      <c r="AT57" s="137" t="s">
        <v>3258</v>
      </c>
      <c r="AU57" s="137" t="s">
        <v>197</v>
      </c>
      <c r="AV57" s="138" t="s">
        <v>329</v>
      </c>
      <c r="AW57" s="136">
        <v>170</v>
      </c>
      <c r="AX57" s="138">
        <v>6</v>
      </c>
      <c r="AY57" s="136">
        <f t="shared" si="7"/>
        <v>1020</v>
      </c>
      <c r="AZ57" s="139" t="b">
        <f t="shared" si="8"/>
        <v>1</v>
      </c>
      <c r="BA57" s="125">
        <v>0</v>
      </c>
      <c r="BB57" s="140">
        <f t="shared" si="9"/>
        <v>170</v>
      </c>
      <c r="BC57" s="141">
        <v>0</v>
      </c>
      <c r="BD57" s="140" t="s">
        <v>107</v>
      </c>
      <c r="BE57" s="141">
        <v>0</v>
      </c>
      <c r="BF57" s="140">
        <v>0</v>
      </c>
      <c r="BG57" s="141">
        <v>0</v>
      </c>
      <c r="BH57" s="127">
        <v>0</v>
      </c>
      <c r="BI57" s="130">
        <v>0</v>
      </c>
      <c r="BJ57" s="128">
        <v>0</v>
      </c>
      <c r="BK57" s="125">
        <v>0</v>
      </c>
      <c r="BL57" s="136">
        <v>0</v>
      </c>
      <c r="BM57" s="127">
        <v>0</v>
      </c>
      <c r="BN57" s="142">
        <f t="shared" si="10"/>
        <v>0</v>
      </c>
      <c r="BO57" s="126">
        <f t="shared" si="11"/>
        <v>1020</v>
      </c>
      <c r="BP57" s="132">
        <f t="shared" si="12"/>
        <v>170</v>
      </c>
      <c r="BQ57" s="141" t="str">
        <f t="shared" si="13"/>
        <v>Positive Margin</v>
      </c>
      <c r="BR57" s="143" t="s">
        <v>119</v>
      </c>
      <c r="BS57" s="125">
        <f t="shared" si="14"/>
        <v>170</v>
      </c>
      <c r="BT57" s="144" t="str">
        <f t="shared" si="15"/>
        <v>Positive Margin at Inception</v>
      </c>
      <c r="BU57" s="145">
        <f t="shared" si="16"/>
        <v>0.16666666666666666</v>
      </c>
      <c r="BV57" s="144" t="str">
        <f t="shared" si="17"/>
        <v>More than 2%</v>
      </c>
      <c r="BW57" s="125">
        <f t="shared" si="18"/>
        <v>0</v>
      </c>
      <c r="BX57" s="126">
        <f t="shared" si="19"/>
        <v>0</v>
      </c>
      <c r="BY57" s="125">
        <f t="shared" si="20"/>
        <v>0</v>
      </c>
      <c r="BZ57" s="146">
        <f t="shared" si="21"/>
        <v>0</v>
      </c>
      <c r="CA57" s="146">
        <f t="shared" si="22"/>
        <v>0</v>
      </c>
      <c r="CB57" s="127">
        <f t="shared" si="23"/>
        <v>0</v>
      </c>
      <c r="CC57" s="146" t="s">
        <v>397</v>
      </c>
      <c r="CD57" s="127">
        <v>0</v>
      </c>
      <c r="CE57" s="127" t="str">
        <f t="shared" si="24"/>
        <v>Apr-26</v>
      </c>
      <c r="CF57" s="127">
        <f t="shared" si="25"/>
        <v>850</v>
      </c>
      <c r="CG57" s="127">
        <f t="shared" si="26"/>
        <v>1020</v>
      </c>
      <c r="CH57" s="127">
        <f t="shared" si="27"/>
        <v>3</v>
      </c>
      <c r="CI57" s="147" t="str">
        <f t="shared" si="28"/>
        <v>BG AHD</v>
      </c>
      <c r="CJ57" s="127">
        <v>0</v>
      </c>
      <c r="CK57" s="127">
        <v>0</v>
      </c>
      <c r="CL57" s="127">
        <f t="shared" si="29"/>
        <v>170</v>
      </c>
      <c r="CM57" s="127">
        <f t="shared" si="30"/>
        <v>170</v>
      </c>
      <c r="CN57" s="127">
        <f t="shared" si="31"/>
        <v>170</v>
      </c>
      <c r="CO57" s="127">
        <f t="shared" si="32"/>
        <v>1203.5999999999999</v>
      </c>
      <c r="CP57" s="127">
        <f t="shared" si="33"/>
        <v>-1003</v>
      </c>
      <c r="CQ57" s="127">
        <f t="shared" si="34"/>
        <v>0</v>
      </c>
      <c r="CR57" s="127">
        <f t="shared" si="35"/>
        <v>0</v>
      </c>
      <c r="CS57" s="127">
        <f t="shared" si="36"/>
        <v>200.59999999999991</v>
      </c>
      <c r="CT57" s="127" t="s">
        <v>361</v>
      </c>
      <c r="CU57" s="127" t="s">
        <v>361</v>
      </c>
      <c r="CV57" s="142" t="str">
        <f t="shared" si="37"/>
        <v>AAMCB5608A</v>
      </c>
      <c r="CW57" s="142" t="str">
        <f t="shared" si="38"/>
        <v>DIZPK8580H</v>
      </c>
    </row>
    <row r="58" spans="2:101" s="149" customFormat="1" ht="11.85" customHeight="1" x14ac:dyDescent="0.25">
      <c r="B58" s="120" t="str">
        <f t="shared" si="0"/>
        <v>Q1</v>
      </c>
      <c r="C58" s="121" t="str">
        <f t="shared" si="1"/>
        <v>Apr-26</v>
      </c>
      <c r="D58" s="122">
        <v>46128</v>
      </c>
      <c r="E58" s="123" t="s">
        <v>3204</v>
      </c>
      <c r="F58" s="123" t="s">
        <v>196</v>
      </c>
      <c r="G58" s="123" t="s">
        <v>198</v>
      </c>
      <c r="H58" s="124" t="s">
        <v>3205</v>
      </c>
      <c r="I58" s="122">
        <v>46128</v>
      </c>
      <c r="J58" s="123" t="s">
        <v>3206</v>
      </c>
      <c r="K58" s="122">
        <v>46129</v>
      </c>
      <c r="L58" s="123" t="s">
        <v>199</v>
      </c>
      <c r="M58" s="123" t="s">
        <v>2331</v>
      </c>
      <c r="N58" s="550" t="s">
        <v>353</v>
      </c>
      <c r="O58" s="123">
        <v>3260</v>
      </c>
      <c r="P58" s="551">
        <v>7</v>
      </c>
      <c r="Q58" s="125">
        <f t="shared" si="2"/>
        <v>22820</v>
      </c>
      <c r="R58" s="126">
        <v>0</v>
      </c>
      <c r="S58" s="125">
        <f t="shared" si="3"/>
        <v>3260</v>
      </c>
      <c r="T58" s="126">
        <v>0</v>
      </c>
      <c r="U58" s="127">
        <v>0</v>
      </c>
      <c r="V58" s="128">
        <v>0</v>
      </c>
      <c r="W58" s="127">
        <v>0</v>
      </c>
      <c r="X58" s="129">
        <v>0</v>
      </c>
      <c r="Y58" s="127">
        <v>0</v>
      </c>
      <c r="Z58" s="127">
        <v>0</v>
      </c>
      <c r="AA58" s="126">
        <v>0</v>
      </c>
      <c r="AB58" s="130">
        <f t="shared" si="4"/>
        <v>0</v>
      </c>
      <c r="AC58" s="129">
        <v>0</v>
      </c>
      <c r="AD58" s="125">
        <f t="shared" si="5"/>
        <v>7</v>
      </c>
      <c r="AE58" s="144">
        <v>0</v>
      </c>
      <c r="AF58" s="127">
        <v>0</v>
      </c>
      <c r="AG58" s="131">
        <v>0</v>
      </c>
      <c r="AH58" s="127">
        <v>0</v>
      </c>
      <c r="AI58" s="128">
        <v>0</v>
      </c>
      <c r="AJ58" s="127">
        <v>0</v>
      </c>
      <c r="AK58" s="127">
        <v>0</v>
      </c>
      <c r="AL58" s="127">
        <v>0</v>
      </c>
      <c r="AM58" s="132">
        <f t="shared" si="6"/>
        <v>22820</v>
      </c>
      <c r="AN58" s="133">
        <v>46129</v>
      </c>
      <c r="AO58" s="134" t="s">
        <v>3252</v>
      </c>
      <c r="AP58" s="135" t="s">
        <v>234</v>
      </c>
      <c r="AQ58" s="136" t="s">
        <v>235</v>
      </c>
      <c r="AR58" s="136" t="s">
        <v>236</v>
      </c>
      <c r="AS58" s="123" t="s">
        <v>2006</v>
      </c>
      <c r="AT58" s="137" t="s">
        <v>238</v>
      </c>
      <c r="AU58" s="137" t="s">
        <v>197</v>
      </c>
      <c r="AV58" s="138" t="s">
        <v>329</v>
      </c>
      <c r="AW58" s="136">
        <v>3260</v>
      </c>
      <c r="AX58" s="138">
        <v>13</v>
      </c>
      <c r="AY58" s="136">
        <f t="shared" si="7"/>
        <v>42380</v>
      </c>
      <c r="AZ58" s="139" t="b">
        <f t="shared" si="8"/>
        <v>1</v>
      </c>
      <c r="BA58" s="125">
        <v>0</v>
      </c>
      <c r="BB58" s="140">
        <f t="shared" si="9"/>
        <v>3260</v>
      </c>
      <c r="BC58" s="141">
        <v>0</v>
      </c>
      <c r="BD58" s="140" t="s">
        <v>107</v>
      </c>
      <c r="BE58" s="141">
        <v>0</v>
      </c>
      <c r="BF58" s="140">
        <v>0</v>
      </c>
      <c r="BG58" s="141">
        <v>0</v>
      </c>
      <c r="BH58" s="127">
        <v>0</v>
      </c>
      <c r="BI58" s="130">
        <v>0</v>
      </c>
      <c r="BJ58" s="128">
        <v>0</v>
      </c>
      <c r="BK58" s="125">
        <v>0</v>
      </c>
      <c r="BL58" s="136">
        <v>0</v>
      </c>
      <c r="BM58" s="127">
        <v>0</v>
      </c>
      <c r="BN58" s="142">
        <f t="shared" si="10"/>
        <v>0</v>
      </c>
      <c r="BO58" s="126">
        <f t="shared" si="11"/>
        <v>42380</v>
      </c>
      <c r="BP58" s="132">
        <f t="shared" si="12"/>
        <v>19560</v>
      </c>
      <c r="BQ58" s="141" t="str">
        <f t="shared" si="13"/>
        <v>Positive Margin</v>
      </c>
      <c r="BR58" s="143" t="s">
        <v>119</v>
      </c>
      <c r="BS58" s="125">
        <f t="shared" si="14"/>
        <v>19560</v>
      </c>
      <c r="BT58" s="144" t="str">
        <f t="shared" si="15"/>
        <v>Positive Margin at Inception</v>
      </c>
      <c r="BU58" s="145">
        <f t="shared" si="16"/>
        <v>0.46153846153846156</v>
      </c>
      <c r="BV58" s="144" t="str">
        <f t="shared" si="17"/>
        <v>More than 2%</v>
      </c>
      <c r="BW58" s="125">
        <f t="shared" si="18"/>
        <v>0</v>
      </c>
      <c r="BX58" s="126">
        <f t="shared" si="19"/>
        <v>0</v>
      </c>
      <c r="BY58" s="125">
        <f t="shared" si="20"/>
        <v>0</v>
      </c>
      <c r="BZ58" s="146">
        <f t="shared" si="21"/>
        <v>0</v>
      </c>
      <c r="CA58" s="146">
        <f t="shared" si="22"/>
        <v>0</v>
      </c>
      <c r="CB58" s="127">
        <f t="shared" si="23"/>
        <v>0</v>
      </c>
      <c r="CC58" s="146" t="s">
        <v>397</v>
      </c>
      <c r="CD58" s="127">
        <v>0</v>
      </c>
      <c r="CE58" s="127" t="str">
        <f t="shared" si="24"/>
        <v>Apr-26</v>
      </c>
      <c r="CF58" s="127">
        <f t="shared" si="25"/>
        <v>22820</v>
      </c>
      <c r="CG58" s="127">
        <f t="shared" si="26"/>
        <v>42380</v>
      </c>
      <c r="CH58" s="127">
        <f t="shared" si="27"/>
        <v>3</v>
      </c>
      <c r="CI58" s="147" t="str">
        <f t="shared" si="28"/>
        <v>BG AHD</v>
      </c>
      <c r="CJ58" s="127">
        <v>0</v>
      </c>
      <c r="CK58" s="127">
        <v>0</v>
      </c>
      <c r="CL58" s="127">
        <f t="shared" si="29"/>
        <v>19560</v>
      </c>
      <c r="CM58" s="127">
        <f t="shared" si="30"/>
        <v>19560</v>
      </c>
      <c r="CN58" s="127">
        <f t="shared" si="31"/>
        <v>19560</v>
      </c>
      <c r="CO58" s="127">
        <f t="shared" si="32"/>
        <v>50008.399999999994</v>
      </c>
      <c r="CP58" s="127">
        <f t="shared" si="33"/>
        <v>-26927.599999999999</v>
      </c>
      <c r="CQ58" s="127">
        <f t="shared" si="34"/>
        <v>0</v>
      </c>
      <c r="CR58" s="127">
        <f t="shared" si="35"/>
        <v>0</v>
      </c>
      <c r="CS58" s="127">
        <f t="shared" si="36"/>
        <v>23080.799999999996</v>
      </c>
      <c r="CT58" s="127" t="s">
        <v>361</v>
      </c>
      <c r="CU58" s="127" t="s">
        <v>361</v>
      </c>
      <c r="CV58" s="142" t="str">
        <f t="shared" si="37"/>
        <v>AAMCB5608A</v>
      </c>
      <c r="CW58" s="142" t="str">
        <f t="shared" si="38"/>
        <v>BJHPB3107J</v>
      </c>
    </row>
    <row r="59" spans="2:101" s="149" customFormat="1" ht="11.85" customHeight="1" x14ac:dyDescent="0.25">
      <c r="B59" s="120" t="str">
        <f t="shared" si="0"/>
        <v>Q1</v>
      </c>
      <c r="C59" s="121" t="str">
        <f t="shared" si="1"/>
        <v>Apr-26</v>
      </c>
      <c r="D59" s="122">
        <v>46129</v>
      </c>
      <c r="E59" s="123" t="s">
        <v>3207</v>
      </c>
      <c r="F59" s="123" t="s">
        <v>196</v>
      </c>
      <c r="G59" s="123" t="s">
        <v>198</v>
      </c>
      <c r="H59" s="124" t="s">
        <v>3208</v>
      </c>
      <c r="I59" s="122">
        <v>46129</v>
      </c>
      <c r="J59" s="123" t="s">
        <v>3209</v>
      </c>
      <c r="K59" s="122">
        <v>46129</v>
      </c>
      <c r="L59" s="123" t="s">
        <v>199</v>
      </c>
      <c r="M59" s="123" t="s">
        <v>3210</v>
      </c>
      <c r="N59" s="550" t="s">
        <v>204</v>
      </c>
      <c r="O59" s="123">
        <v>7030</v>
      </c>
      <c r="P59" s="551">
        <v>10</v>
      </c>
      <c r="Q59" s="125">
        <f t="shared" si="2"/>
        <v>70300</v>
      </c>
      <c r="R59" s="126">
        <v>0</v>
      </c>
      <c r="S59" s="125">
        <f t="shared" si="3"/>
        <v>7030</v>
      </c>
      <c r="T59" s="126">
        <v>0</v>
      </c>
      <c r="U59" s="127">
        <v>0</v>
      </c>
      <c r="V59" s="128">
        <v>0</v>
      </c>
      <c r="W59" s="127">
        <v>0</v>
      </c>
      <c r="X59" s="129">
        <v>0</v>
      </c>
      <c r="Y59" s="127">
        <v>0</v>
      </c>
      <c r="Z59" s="127">
        <v>0</v>
      </c>
      <c r="AA59" s="126">
        <v>0</v>
      </c>
      <c r="AB59" s="130">
        <f t="shared" si="4"/>
        <v>0</v>
      </c>
      <c r="AC59" s="129">
        <v>0</v>
      </c>
      <c r="AD59" s="125">
        <f t="shared" si="5"/>
        <v>10</v>
      </c>
      <c r="AE59" s="144">
        <v>0</v>
      </c>
      <c r="AF59" s="127">
        <v>0</v>
      </c>
      <c r="AG59" s="131">
        <v>0</v>
      </c>
      <c r="AH59" s="127">
        <v>0</v>
      </c>
      <c r="AI59" s="128">
        <v>0</v>
      </c>
      <c r="AJ59" s="127">
        <v>0</v>
      </c>
      <c r="AK59" s="127">
        <v>0</v>
      </c>
      <c r="AL59" s="127">
        <v>0</v>
      </c>
      <c r="AM59" s="132">
        <f t="shared" si="6"/>
        <v>70300</v>
      </c>
      <c r="AN59" s="133">
        <v>46129</v>
      </c>
      <c r="AO59" s="134" t="s">
        <v>3261</v>
      </c>
      <c r="AP59" s="135" t="s">
        <v>234</v>
      </c>
      <c r="AQ59" s="136" t="s">
        <v>235</v>
      </c>
      <c r="AR59" s="136" t="s">
        <v>236</v>
      </c>
      <c r="AS59" s="123" t="s">
        <v>239</v>
      </c>
      <c r="AT59" s="137" t="s">
        <v>238</v>
      </c>
      <c r="AU59" s="137" t="s">
        <v>197</v>
      </c>
      <c r="AV59" s="138" t="s">
        <v>329</v>
      </c>
      <c r="AW59" s="136">
        <v>7030</v>
      </c>
      <c r="AX59" s="138">
        <v>12</v>
      </c>
      <c r="AY59" s="136">
        <f t="shared" si="7"/>
        <v>84360</v>
      </c>
      <c r="AZ59" s="139" t="b">
        <f t="shared" si="8"/>
        <v>1</v>
      </c>
      <c r="BA59" s="125">
        <v>0</v>
      </c>
      <c r="BB59" s="140">
        <f t="shared" si="9"/>
        <v>7030</v>
      </c>
      <c r="BC59" s="141">
        <v>0</v>
      </c>
      <c r="BD59" s="140" t="s">
        <v>107</v>
      </c>
      <c r="BE59" s="141">
        <v>0</v>
      </c>
      <c r="BF59" s="140">
        <v>0</v>
      </c>
      <c r="BG59" s="141">
        <v>0</v>
      </c>
      <c r="BH59" s="127">
        <v>0</v>
      </c>
      <c r="BI59" s="130">
        <v>0</v>
      </c>
      <c r="BJ59" s="128">
        <v>0</v>
      </c>
      <c r="BK59" s="125">
        <v>0</v>
      </c>
      <c r="BL59" s="136">
        <v>0</v>
      </c>
      <c r="BM59" s="127">
        <v>0</v>
      </c>
      <c r="BN59" s="142">
        <f t="shared" si="10"/>
        <v>0</v>
      </c>
      <c r="BO59" s="126">
        <f t="shared" si="11"/>
        <v>84360</v>
      </c>
      <c r="BP59" s="132">
        <f t="shared" si="12"/>
        <v>14060</v>
      </c>
      <c r="BQ59" s="141" t="str">
        <f t="shared" si="13"/>
        <v>Positive Margin</v>
      </c>
      <c r="BR59" s="143" t="s">
        <v>119</v>
      </c>
      <c r="BS59" s="125">
        <f t="shared" si="14"/>
        <v>14060</v>
      </c>
      <c r="BT59" s="144" t="str">
        <f t="shared" si="15"/>
        <v>Positive Margin at Inception</v>
      </c>
      <c r="BU59" s="145">
        <f t="shared" si="16"/>
        <v>0.16666666666666666</v>
      </c>
      <c r="BV59" s="144" t="str">
        <f t="shared" si="17"/>
        <v>More than 2%</v>
      </c>
      <c r="BW59" s="125">
        <f t="shared" si="18"/>
        <v>0</v>
      </c>
      <c r="BX59" s="126">
        <f t="shared" si="19"/>
        <v>0</v>
      </c>
      <c r="BY59" s="125">
        <f t="shared" si="20"/>
        <v>0</v>
      </c>
      <c r="BZ59" s="146">
        <f t="shared" si="21"/>
        <v>0</v>
      </c>
      <c r="CA59" s="146">
        <f t="shared" si="22"/>
        <v>0</v>
      </c>
      <c r="CB59" s="127">
        <f t="shared" si="23"/>
        <v>0</v>
      </c>
      <c r="CC59" s="146" t="s">
        <v>397</v>
      </c>
      <c r="CD59" s="127">
        <v>0</v>
      </c>
      <c r="CE59" s="127" t="str">
        <f t="shared" si="24"/>
        <v>Apr-26</v>
      </c>
      <c r="CF59" s="127">
        <f t="shared" si="25"/>
        <v>70300</v>
      </c>
      <c r="CG59" s="127">
        <f t="shared" si="26"/>
        <v>84360</v>
      </c>
      <c r="CH59" s="127">
        <f t="shared" si="27"/>
        <v>3</v>
      </c>
      <c r="CI59" s="147" t="str">
        <f t="shared" si="28"/>
        <v>BG AHD</v>
      </c>
      <c r="CJ59" s="127">
        <v>0</v>
      </c>
      <c r="CK59" s="127">
        <v>0</v>
      </c>
      <c r="CL59" s="127">
        <f t="shared" si="29"/>
        <v>14060</v>
      </c>
      <c r="CM59" s="127">
        <f t="shared" si="30"/>
        <v>14060</v>
      </c>
      <c r="CN59" s="127">
        <f t="shared" si="31"/>
        <v>14060</v>
      </c>
      <c r="CO59" s="127">
        <f t="shared" si="32"/>
        <v>99544.799999999988</v>
      </c>
      <c r="CP59" s="127">
        <f t="shared" si="33"/>
        <v>-82954</v>
      </c>
      <c r="CQ59" s="127">
        <f t="shared" si="34"/>
        <v>0</v>
      </c>
      <c r="CR59" s="127">
        <f t="shared" si="35"/>
        <v>0</v>
      </c>
      <c r="CS59" s="127">
        <f t="shared" si="36"/>
        <v>16590.799999999988</v>
      </c>
      <c r="CT59" s="127" t="s">
        <v>361</v>
      </c>
      <c r="CU59" s="127" t="s">
        <v>361</v>
      </c>
      <c r="CV59" s="142" t="str">
        <f t="shared" si="37"/>
        <v>AAMCB5608A</v>
      </c>
      <c r="CW59" s="142" t="str">
        <f t="shared" si="38"/>
        <v>BJHPB3107J</v>
      </c>
    </row>
    <row r="60" spans="2:101" s="149" customFormat="1" ht="11.85" customHeight="1" x14ac:dyDescent="0.25">
      <c r="B60" s="120" t="str">
        <f t="shared" si="0"/>
        <v>Q1</v>
      </c>
      <c r="C60" s="121" t="str">
        <f t="shared" si="1"/>
        <v>Apr-26</v>
      </c>
      <c r="D60" s="122">
        <v>46129</v>
      </c>
      <c r="E60" s="123" t="s">
        <v>3211</v>
      </c>
      <c r="F60" s="123" t="s">
        <v>196</v>
      </c>
      <c r="G60" s="123" t="s">
        <v>198</v>
      </c>
      <c r="H60" s="124" t="s">
        <v>3212</v>
      </c>
      <c r="I60" s="122">
        <v>46129</v>
      </c>
      <c r="J60" s="123" t="s">
        <v>3213</v>
      </c>
      <c r="K60" s="122">
        <v>46129</v>
      </c>
      <c r="L60" s="123" t="s">
        <v>199</v>
      </c>
      <c r="M60" s="123" t="s">
        <v>244</v>
      </c>
      <c r="N60" s="550" t="s">
        <v>268</v>
      </c>
      <c r="O60" s="123">
        <v>935</v>
      </c>
      <c r="P60" s="551">
        <v>125</v>
      </c>
      <c r="Q60" s="125">
        <f t="shared" si="2"/>
        <v>116875</v>
      </c>
      <c r="R60" s="126">
        <v>0</v>
      </c>
      <c r="S60" s="125">
        <f t="shared" si="3"/>
        <v>935</v>
      </c>
      <c r="T60" s="126">
        <v>0</v>
      </c>
      <c r="U60" s="127">
        <v>0</v>
      </c>
      <c r="V60" s="128">
        <v>0</v>
      </c>
      <c r="W60" s="127">
        <v>0</v>
      </c>
      <c r="X60" s="129">
        <v>0</v>
      </c>
      <c r="Y60" s="127">
        <v>0</v>
      </c>
      <c r="Z60" s="127">
        <v>0</v>
      </c>
      <c r="AA60" s="126">
        <v>0</v>
      </c>
      <c r="AB60" s="130">
        <f t="shared" si="4"/>
        <v>0</v>
      </c>
      <c r="AC60" s="129">
        <v>0</v>
      </c>
      <c r="AD60" s="125">
        <f t="shared" si="5"/>
        <v>125</v>
      </c>
      <c r="AE60" s="144">
        <v>0</v>
      </c>
      <c r="AF60" s="127">
        <v>0</v>
      </c>
      <c r="AG60" s="131">
        <v>0</v>
      </c>
      <c r="AH60" s="127">
        <v>0</v>
      </c>
      <c r="AI60" s="128">
        <v>0</v>
      </c>
      <c r="AJ60" s="127">
        <v>0</v>
      </c>
      <c r="AK60" s="127">
        <v>0</v>
      </c>
      <c r="AL60" s="127">
        <v>0</v>
      </c>
      <c r="AM60" s="132">
        <f t="shared" si="6"/>
        <v>116875</v>
      </c>
      <c r="AN60" s="133">
        <v>46129</v>
      </c>
      <c r="AO60" s="134" t="s">
        <v>3263</v>
      </c>
      <c r="AP60" s="135" t="s">
        <v>234</v>
      </c>
      <c r="AQ60" s="136" t="s">
        <v>235</v>
      </c>
      <c r="AR60" s="136" t="s">
        <v>236</v>
      </c>
      <c r="AS60" s="123" t="s">
        <v>237</v>
      </c>
      <c r="AT60" s="137" t="s">
        <v>238</v>
      </c>
      <c r="AU60" s="137" t="s">
        <v>197</v>
      </c>
      <c r="AV60" s="138" t="s">
        <v>329</v>
      </c>
      <c r="AW60" s="136">
        <v>935</v>
      </c>
      <c r="AX60" s="138">
        <v>140</v>
      </c>
      <c r="AY60" s="136">
        <f t="shared" si="7"/>
        <v>130900</v>
      </c>
      <c r="AZ60" s="139" t="b">
        <f t="shared" si="8"/>
        <v>1</v>
      </c>
      <c r="BA60" s="125">
        <v>0</v>
      </c>
      <c r="BB60" s="140">
        <f t="shared" si="9"/>
        <v>935</v>
      </c>
      <c r="BC60" s="141">
        <v>0</v>
      </c>
      <c r="BD60" s="140" t="s">
        <v>107</v>
      </c>
      <c r="BE60" s="141">
        <v>0</v>
      </c>
      <c r="BF60" s="140">
        <v>0</v>
      </c>
      <c r="BG60" s="141">
        <v>0</v>
      </c>
      <c r="BH60" s="127">
        <v>0</v>
      </c>
      <c r="BI60" s="130">
        <v>0</v>
      </c>
      <c r="BJ60" s="128">
        <v>0</v>
      </c>
      <c r="BK60" s="125">
        <v>0</v>
      </c>
      <c r="BL60" s="136">
        <v>0</v>
      </c>
      <c r="BM60" s="127">
        <v>0</v>
      </c>
      <c r="BN60" s="142">
        <f t="shared" si="10"/>
        <v>0</v>
      </c>
      <c r="BO60" s="126">
        <f t="shared" si="11"/>
        <v>130900</v>
      </c>
      <c r="BP60" s="132">
        <f t="shared" si="12"/>
        <v>14025</v>
      </c>
      <c r="BQ60" s="141" t="str">
        <f t="shared" si="13"/>
        <v>Positive Margin</v>
      </c>
      <c r="BR60" s="143" t="s">
        <v>119</v>
      </c>
      <c r="BS60" s="125">
        <f t="shared" si="14"/>
        <v>14025</v>
      </c>
      <c r="BT60" s="144" t="str">
        <f t="shared" si="15"/>
        <v>Positive Margin at Inception</v>
      </c>
      <c r="BU60" s="145">
        <f t="shared" si="16"/>
        <v>0.10714285714285714</v>
      </c>
      <c r="BV60" s="144" t="str">
        <f t="shared" si="17"/>
        <v>More than 2%</v>
      </c>
      <c r="BW60" s="125">
        <f t="shared" si="18"/>
        <v>0</v>
      </c>
      <c r="BX60" s="126">
        <f t="shared" si="19"/>
        <v>0</v>
      </c>
      <c r="BY60" s="125">
        <f t="shared" si="20"/>
        <v>0</v>
      </c>
      <c r="BZ60" s="146">
        <f t="shared" si="21"/>
        <v>0</v>
      </c>
      <c r="CA60" s="146">
        <f t="shared" si="22"/>
        <v>0</v>
      </c>
      <c r="CB60" s="127">
        <f t="shared" si="23"/>
        <v>0</v>
      </c>
      <c r="CC60" s="146" t="s">
        <v>397</v>
      </c>
      <c r="CD60" s="127">
        <v>0</v>
      </c>
      <c r="CE60" s="127" t="str">
        <f t="shared" si="24"/>
        <v>Apr-26</v>
      </c>
      <c r="CF60" s="127">
        <f t="shared" si="25"/>
        <v>116875</v>
      </c>
      <c r="CG60" s="127">
        <f t="shared" si="26"/>
        <v>130900</v>
      </c>
      <c r="CH60" s="127">
        <f t="shared" si="27"/>
        <v>3</v>
      </c>
      <c r="CI60" s="147" t="str">
        <f t="shared" si="28"/>
        <v>BG AHD</v>
      </c>
      <c r="CJ60" s="127">
        <v>0</v>
      </c>
      <c r="CK60" s="127">
        <v>0</v>
      </c>
      <c r="CL60" s="127">
        <f t="shared" si="29"/>
        <v>14025</v>
      </c>
      <c r="CM60" s="127">
        <f t="shared" si="30"/>
        <v>14025</v>
      </c>
      <c r="CN60" s="127">
        <f t="shared" si="31"/>
        <v>14025</v>
      </c>
      <c r="CO60" s="127">
        <f t="shared" si="32"/>
        <v>154462</v>
      </c>
      <c r="CP60" s="127">
        <f t="shared" si="33"/>
        <v>-137912.5</v>
      </c>
      <c r="CQ60" s="127">
        <f t="shared" si="34"/>
        <v>0</v>
      </c>
      <c r="CR60" s="127">
        <f t="shared" si="35"/>
        <v>0</v>
      </c>
      <c r="CS60" s="127">
        <f t="shared" si="36"/>
        <v>16549.5</v>
      </c>
      <c r="CT60" s="127" t="s">
        <v>361</v>
      </c>
      <c r="CU60" s="127" t="s">
        <v>361</v>
      </c>
      <c r="CV60" s="142" t="str">
        <f t="shared" si="37"/>
        <v>AAMCB5608A</v>
      </c>
      <c r="CW60" s="142" t="str">
        <f t="shared" si="38"/>
        <v>BJHPB3107J</v>
      </c>
    </row>
    <row r="61" spans="2:101" s="149" customFormat="1" ht="11.85" customHeight="1" x14ac:dyDescent="0.25">
      <c r="B61" s="120" t="str">
        <f t="shared" si="0"/>
        <v>Q1</v>
      </c>
      <c r="C61" s="121" t="str">
        <f t="shared" si="1"/>
        <v>Apr-26</v>
      </c>
      <c r="D61" s="122">
        <v>46130</v>
      </c>
      <c r="E61" s="123" t="s">
        <v>3214</v>
      </c>
      <c r="F61" s="123" t="s">
        <v>196</v>
      </c>
      <c r="G61" s="123" t="s">
        <v>198</v>
      </c>
      <c r="H61" s="124" t="s">
        <v>3215</v>
      </c>
      <c r="I61" s="122">
        <v>46130</v>
      </c>
      <c r="J61" s="123" t="s">
        <v>3216</v>
      </c>
      <c r="K61" s="122">
        <v>46130</v>
      </c>
      <c r="L61" s="123" t="s">
        <v>199</v>
      </c>
      <c r="M61" s="123" t="s">
        <v>1856</v>
      </c>
      <c r="N61" s="550" t="s">
        <v>204</v>
      </c>
      <c r="O61" s="123">
        <v>7370</v>
      </c>
      <c r="P61" s="551">
        <v>10</v>
      </c>
      <c r="Q61" s="125">
        <f t="shared" si="2"/>
        <v>73700</v>
      </c>
      <c r="R61" s="126">
        <v>0</v>
      </c>
      <c r="S61" s="125">
        <f t="shared" si="3"/>
        <v>7370</v>
      </c>
      <c r="T61" s="126">
        <v>0</v>
      </c>
      <c r="U61" s="127">
        <v>0</v>
      </c>
      <c r="V61" s="128">
        <v>0</v>
      </c>
      <c r="W61" s="127">
        <v>0</v>
      </c>
      <c r="X61" s="129">
        <v>0</v>
      </c>
      <c r="Y61" s="127">
        <v>0</v>
      </c>
      <c r="Z61" s="127">
        <v>0</v>
      </c>
      <c r="AA61" s="126">
        <v>0</v>
      </c>
      <c r="AB61" s="130">
        <f t="shared" si="4"/>
        <v>0</v>
      </c>
      <c r="AC61" s="129">
        <v>0</v>
      </c>
      <c r="AD61" s="125">
        <f t="shared" si="5"/>
        <v>10</v>
      </c>
      <c r="AE61" s="144">
        <v>0</v>
      </c>
      <c r="AF61" s="127">
        <v>0</v>
      </c>
      <c r="AG61" s="131">
        <v>0</v>
      </c>
      <c r="AH61" s="127">
        <v>0</v>
      </c>
      <c r="AI61" s="128">
        <v>0</v>
      </c>
      <c r="AJ61" s="127">
        <v>0</v>
      </c>
      <c r="AK61" s="127">
        <v>0</v>
      </c>
      <c r="AL61" s="127">
        <v>0</v>
      </c>
      <c r="AM61" s="132">
        <f t="shared" si="6"/>
        <v>73700</v>
      </c>
      <c r="AN61" s="133">
        <v>46130</v>
      </c>
      <c r="AO61" s="134" t="s">
        <v>3267</v>
      </c>
      <c r="AP61" s="135" t="s">
        <v>234</v>
      </c>
      <c r="AQ61" s="136" t="s">
        <v>235</v>
      </c>
      <c r="AR61" s="136" t="s">
        <v>236</v>
      </c>
      <c r="AS61" s="123" t="s">
        <v>239</v>
      </c>
      <c r="AT61" s="137" t="s">
        <v>238</v>
      </c>
      <c r="AU61" s="137" t="s">
        <v>197</v>
      </c>
      <c r="AV61" s="138" t="s">
        <v>329</v>
      </c>
      <c r="AW61" s="136">
        <v>7370</v>
      </c>
      <c r="AX61" s="138">
        <v>12</v>
      </c>
      <c r="AY61" s="136">
        <f t="shared" si="7"/>
        <v>88440</v>
      </c>
      <c r="AZ61" s="139" t="b">
        <f t="shared" si="8"/>
        <v>1</v>
      </c>
      <c r="BA61" s="125">
        <v>0</v>
      </c>
      <c r="BB61" s="140">
        <f t="shared" si="9"/>
        <v>7370</v>
      </c>
      <c r="BC61" s="141">
        <v>0</v>
      </c>
      <c r="BD61" s="140" t="s">
        <v>107</v>
      </c>
      <c r="BE61" s="141">
        <v>0</v>
      </c>
      <c r="BF61" s="140">
        <v>0</v>
      </c>
      <c r="BG61" s="141">
        <v>0</v>
      </c>
      <c r="BH61" s="127">
        <v>0</v>
      </c>
      <c r="BI61" s="130">
        <v>0</v>
      </c>
      <c r="BJ61" s="128">
        <v>0</v>
      </c>
      <c r="BK61" s="125">
        <v>0</v>
      </c>
      <c r="BL61" s="136">
        <v>0</v>
      </c>
      <c r="BM61" s="127">
        <v>0</v>
      </c>
      <c r="BN61" s="142">
        <f t="shared" si="10"/>
        <v>0</v>
      </c>
      <c r="BO61" s="126">
        <f t="shared" si="11"/>
        <v>88440</v>
      </c>
      <c r="BP61" s="132">
        <f t="shared" si="12"/>
        <v>14740</v>
      </c>
      <c r="BQ61" s="141" t="str">
        <f t="shared" si="13"/>
        <v>Positive Margin</v>
      </c>
      <c r="BR61" s="143" t="s">
        <v>119</v>
      </c>
      <c r="BS61" s="125">
        <f t="shared" si="14"/>
        <v>14740</v>
      </c>
      <c r="BT61" s="144" t="str">
        <f t="shared" si="15"/>
        <v>Positive Margin at Inception</v>
      </c>
      <c r="BU61" s="145">
        <f t="shared" si="16"/>
        <v>0.16666666666666666</v>
      </c>
      <c r="BV61" s="144" t="str">
        <f t="shared" si="17"/>
        <v>More than 2%</v>
      </c>
      <c r="BW61" s="125">
        <f t="shared" si="18"/>
        <v>0</v>
      </c>
      <c r="BX61" s="126">
        <f t="shared" si="19"/>
        <v>0</v>
      </c>
      <c r="BY61" s="125">
        <f t="shared" si="20"/>
        <v>0</v>
      </c>
      <c r="BZ61" s="146">
        <f t="shared" si="21"/>
        <v>0</v>
      </c>
      <c r="CA61" s="146">
        <f t="shared" si="22"/>
        <v>0</v>
      </c>
      <c r="CB61" s="127">
        <f t="shared" si="23"/>
        <v>0</v>
      </c>
      <c r="CC61" s="146" t="s">
        <v>397</v>
      </c>
      <c r="CD61" s="127">
        <v>0</v>
      </c>
      <c r="CE61" s="127" t="str">
        <f t="shared" si="24"/>
        <v>Apr-26</v>
      </c>
      <c r="CF61" s="127">
        <f t="shared" si="25"/>
        <v>73700</v>
      </c>
      <c r="CG61" s="127">
        <f t="shared" si="26"/>
        <v>88440</v>
      </c>
      <c r="CH61" s="127">
        <f t="shared" si="27"/>
        <v>3</v>
      </c>
      <c r="CI61" s="147" t="str">
        <f t="shared" si="28"/>
        <v>BG AHD</v>
      </c>
      <c r="CJ61" s="127">
        <v>0</v>
      </c>
      <c r="CK61" s="127">
        <v>0</v>
      </c>
      <c r="CL61" s="127">
        <f t="shared" si="29"/>
        <v>14740</v>
      </c>
      <c r="CM61" s="127">
        <f t="shared" si="30"/>
        <v>14740</v>
      </c>
      <c r="CN61" s="127">
        <f t="shared" si="31"/>
        <v>14740</v>
      </c>
      <c r="CO61" s="127">
        <f t="shared" si="32"/>
        <v>104359.2</v>
      </c>
      <c r="CP61" s="127">
        <f t="shared" si="33"/>
        <v>-86966</v>
      </c>
      <c r="CQ61" s="127">
        <f t="shared" si="34"/>
        <v>0</v>
      </c>
      <c r="CR61" s="127">
        <f t="shared" si="35"/>
        <v>0</v>
      </c>
      <c r="CS61" s="127">
        <f t="shared" si="36"/>
        <v>17393.199999999997</v>
      </c>
      <c r="CT61" s="127" t="s">
        <v>361</v>
      </c>
      <c r="CU61" s="127" t="s">
        <v>361</v>
      </c>
      <c r="CV61" s="142" t="str">
        <f t="shared" si="37"/>
        <v>AAMCB5608A</v>
      </c>
      <c r="CW61" s="142" t="str">
        <f t="shared" si="38"/>
        <v>BJHPB3107J</v>
      </c>
    </row>
    <row r="62" spans="2:101" s="149" customFormat="1" ht="11.85" customHeight="1" x14ac:dyDescent="0.25">
      <c r="B62" s="120" t="str">
        <f t="shared" si="0"/>
        <v>Q1</v>
      </c>
      <c r="C62" s="121" t="str">
        <f t="shared" si="1"/>
        <v>Apr-26</v>
      </c>
      <c r="D62" s="122">
        <v>46130</v>
      </c>
      <c r="E62" s="123" t="s">
        <v>3217</v>
      </c>
      <c r="F62" s="123" t="s">
        <v>196</v>
      </c>
      <c r="G62" s="123" t="s">
        <v>198</v>
      </c>
      <c r="H62" s="124" t="s">
        <v>3218</v>
      </c>
      <c r="I62" s="122">
        <v>46130</v>
      </c>
      <c r="J62" s="123" t="s">
        <v>3219</v>
      </c>
      <c r="K62" s="122">
        <v>46130</v>
      </c>
      <c r="L62" s="123" t="s">
        <v>199</v>
      </c>
      <c r="M62" s="123" t="s">
        <v>2331</v>
      </c>
      <c r="N62" s="550" t="s">
        <v>258</v>
      </c>
      <c r="O62" s="123">
        <v>870</v>
      </c>
      <c r="P62" s="551">
        <v>1.1000000000000001</v>
      </c>
      <c r="Q62" s="125">
        <f t="shared" si="2"/>
        <v>957.00000000000011</v>
      </c>
      <c r="R62" s="126">
        <v>0</v>
      </c>
      <c r="S62" s="125">
        <f t="shared" si="3"/>
        <v>870</v>
      </c>
      <c r="T62" s="126">
        <v>0</v>
      </c>
      <c r="U62" s="127">
        <v>0</v>
      </c>
      <c r="V62" s="128">
        <v>0</v>
      </c>
      <c r="W62" s="127">
        <v>0</v>
      </c>
      <c r="X62" s="129">
        <v>0</v>
      </c>
      <c r="Y62" s="127">
        <v>0</v>
      </c>
      <c r="Z62" s="127">
        <v>0</v>
      </c>
      <c r="AA62" s="126">
        <v>0</v>
      </c>
      <c r="AB62" s="130">
        <f t="shared" si="4"/>
        <v>0</v>
      </c>
      <c r="AC62" s="129">
        <v>0</v>
      </c>
      <c r="AD62" s="125">
        <f t="shared" si="5"/>
        <v>1.1000000000000001</v>
      </c>
      <c r="AE62" s="144">
        <v>0</v>
      </c>
      <c r="AF62" s="127">
        <v>0</v>
      </c>
      <c r="AG62" s="131">
        <v>0</v>
      </c>
      <c r="AH62" s="127">
        <v>0</v>
      </c>
      <c r="AI62" s="128">
        <v>0</v>
      </c>
      <c r="AJ62" s="127">
        <v>0</v>
      </c>
      <c r="AK62" s="127">
        <v>0</v>
      </c>
      <c r="AL62" s="127">
        <v>0</v>
      </c>
      <c r="AM62" s="132">
        <f t="shared" si="6"/>
        <v>957.00000000000011</v>
      </c>
      <c r="AN62" s="133">
        <v>46130</v>
      </c>
      <c r="AO62" s="134" t="s">
        <v>3269</v>
      </c>
      <c r="AP62" s="135" t="s">
        <v>234</v>
      </c>
      <c r="AQ62" s="136" t="s">
        <v>235</v>
      </c>
      <c r="AR62" s="136" t="s">
        <v>236</v>
      </c>
      <c r="AS62" s="123" t="s">
        <v>239</v>
      </c>
      <c r="AT62" s="137" t="s">
        <v>238</v>
      </c>
      <c r="AU62" s="137" t="s">
        <v>197</v>
      </c>
      <c r="AV62" s="138" t="s">
        <v>329</v>
      </c>
      <c r="AW62" s="136">
        <v>870</v>
      </c>
      <c r="AX62" s="138">
        <v>2.1</v>
      </c>
      <c r="AY62" s="136">
        <f t="shared" si="7"/>
        <v>1827</v>
      </c>
      <c r="AZ62" s="139" t="b">
        <f t="shared" si="8"/>
        <v>1</v>
      </c>
      <c r="BA62" s="125">
        <v>0</v>
      </c>
      <c r="BB62" s="140">
        <f t="shared" si="9"/>
        <v>870</v>
      </c>
      <c r="BC62" s="141">
        <v>0</v>
      </c>
      <c r="BD62" s="140" t="s">
        <v>107</v>
      </c>
      <c r="BE62" s="141">
        <v>0</v>
      </c>
      <c r="BF62" s="140">
        <v>0</v>
      </c>
      <c r="BG62" s="141">
        <v>0</v>
      </c>
      <c r="BH62" s="127">
        <v>0</v>
      </c>
      <c r="BI62" s="130">
        <v>0</v>
      </c>
      <c r="BJ62" s="128">
        <v>0</v>
      </c>
      <c r="BK62" s="125">
        <v>0</v>
      </c>
      <c r="BL62" s="136">
        <v>0</v>
      </c>
      <c r="BM62" s="127">
        <v>0</v>
      </c>
      <c r="BN62" s="142">
        <f t="shared" si="10"/>
        <v>0</v>
      </c>
      <c r="BO62" s="126">
        <f t="shared" si="11"/>
        <v>1827</v>
      </c>
      <c r="BP62" s="132">
        <f t="shared" si="12"/>
        <v>869.99999999999989</v>
      </c>
      <c r="BQ62" s="141" t="str">
        <f t="shared" si="13"/>
        <v>Positive Margin</v>
      </c>
      <c r="BR62" s="143" t="s">
        <v>119</v>
      </c>
      <c r="BS62" s="125">
        <f t="shared" si="14"/>
        <v>869.99999999999989</v>
      </c>
      <c r="BT62" s="144" t="str">
        <f t="shared" si="15"/>
        <v>Positive Margin at Inception</v>
      </c>
      <c r="BU62" s="145">
        <f t="shared" si="16"/>
        <v>0.47619047619047611</v>
      </c>
      <c r="BV62" s="144" t="str">
        <f t="shared" si="17"/>
        <v>More than 2%</v>
      </c>
      <c r="BW62" s="125">
        <f t="shared" si="18"/>
        <v>0</v>
      </c>
      <c r="BX62" s="126">
        <f t="shared" si="19"/>
        <v>0</v>
      </c>
      <c r="BY62" s="125">
        <f t="shared" si="20"/>
        <v>0</v>
      </c>
      <c r="BZ62" s="146">
        <f t="shared" si="21"/>
        <v>0</v>
      </c>
      <c r="CA62" s="146">
        <f t="shared" si="22"/>
        <v>0</v>
      </c>
      <c r="CB62" s="127">
        <f t="shared" si="23"/>
        <v>0</v>
      </c>
      <c r="CC62" s="146" t="s">
        <v>397</v>
      </c>
      <c r="CD62" s="127">
        <v>0</v>
      </c>
      <c r="CE62" s="127" t="str">
        <f t="shared" si="24"/>
        <v>Apr-26</v>
      </c>
      <c r="CF62" s="127">
        <f t="shared" si="25"/>
        <v>957.00000000000011</v>
      </c>
      <c r="CG62" s="127">
        <f t="shared" si="26"/>
        <v>1827</v>
      </c>
      <c r="CH62" s="127">
        <f t="shared" si="27"/>
        <v>3</v>
      </c>
      <c r="CI62" s="147" t="str">
        <f t="shared" si="28"/>
        <v>BG AHD</v>
      </c>
      <c r="CJ62" s="127">
        <v>0</v>
      </c>
      <c r="CK62" s="127">
        <v>0</v>
      </c>
      <c r="CL62" s="127">
        <f t="shared" si="29"/>
        <v>869.99999999999989</v>
      </c>
      <c r="CM62" s="127">
        <f t="shared" si="30"/>
        <v>869.99999999999989</v>
      </c>
      <c r="CN62" s="127">
        <f t="shared" si="31"/>
        <v>869.99999999999989</v>
      </c>
      <c r="CO62" s="127">
        <f t="shared" si="32"/>
        <v>2155.8599999999997</v>
      </c>
      <c r="CP62" s="127">
        <f t="shared" si="33"/>
        <v>-1129.26</v>
      </c>
      <c r="CQ62" s="127">
        <f t="shared" si="34"/>
        <v>0</v>
      </c>
      <c r="CR62" s="127">
        <f t="shared" si="35"/>
        <v>0</v>
      </c>
      <c r="CS62" s="127">
        <f t="shared" si="36"/>
        <v>1026.5999999999997</v>
      </c>
      <c r="CT62" s="127" t="s">
        <v>361</v>
      </c>
      <c r="CU62" s="127" t="s">
        <v>361</v>
      </c>
      <c r="CV62" s="142" t="str">
        <f t="shared" si="37"/>
        <v>AAMCB5608A</v>
      </c>
      <c r="CW62" s="142" t="str">
        <f t="shared" si="38"/>
        <v>BJHPB3107J</v>
      </c>
    </row>
    <row r="63" spans="2:101" s="149" customFormat="1" ht="11.85" customHeight="1" x14ac:dyDescent="0.25">
      <c r="B63" s="120" t="str">
        <f t="shared" si="0"/>
        <v>Q1</v>
      </c>
      <c r="C63" s="121" t="str">
        <f t="shared" si="1"/>
        <v>Apr-26</v>
      </c>
      <c r="D63" s="122">
        <v>46130</v>
      </c>
      <c r="E63" s="123" t="s">
        <v>3220</v>
      </c>
      <c r="F63" s="123" t="s">
        <v>196</v>
      </c>
      <c r="G63" s="123" t="s">
        <v>198</v>
      </c>
      <c r="H63" s="124" t="s">
        <v>3221</v>
      </c>
      <c r="I63" s="122">
        <v>46130</v>
      </c>
      <c r="J63" s="123" t="s">
        <v>3222</v>
      </c>
      <c r="K63" s="122">
        <v>46130</v>
      </c>
      <c r="L63" s="123" t="s">
        <v>199</v>
      </c>
      <c r="M63" s="123" t="s">
        <v>3223</v>
      </c>
      <c r="N63" s="550" t="s">
        <v>2786</v>
      </c>
      <c r="O63" s="123">
        <v>60</v>
      </c>
      <c r="P63" s="551">
        <v>230</v>
      </c>
      <c r="Q63" s="125">
        <f t="shared" si="2"/>
        <v>13800</v>
      </c>
      <c r="R63" s="126">
        <v>0</v>
      </c>
      <c r="S63" s="125">
        <f t="shared" si="3"/>
        <v>60</v>
      </c>
      <c r="T63" s="126">
        <v>0</v>
      </c>
      <c r="U63" s="127">
        <v>0</v>
      </c>
      <c r="V63" s="128">
        <v>0</v>
      </c>
      <c r="W63" s="127">
        <v>0</v>
      </c>
      <c r="X63" s="129">
        <v>0</v>
      </c>
      <c r="Y63" s="127">
        <v>0</v>
      </c>
      <c r="Z63" s="127">
        <v>0</v>
      </c>
      <c r="AA63" s="126">
        <v>0</v>
      </c>
      <c r="AB63" s="130">
        <f t="shared" si="4"/>
        <v>0</v>
      </c>
      <c r="AC63" s="129">
        <v>0</v>
      </c>
      <c r="AD63" s="125">
        <f t="shared" si="5"/>
        <v>230</v>
      </c>
      <c r="AE63" s="144">
        <v>0</v>
      </c>
      <c r="AF63" s="127">
        <v>0</v>
      </c>
      <c r="AG63" s="131">
        <v>0</v>
      </c>
      <c r="AH63" s="127">
        <v>0</v>
      </c>
      <c r="AI63" s="128">
        <v>0</v>
      </c>
      <c r="AJ63" s="127">
        <v>0</v>
      </c>
      <c r="AK63" s="127">
        <v>0</v>
      </c>
      <c r="AL63" s="127">
        <v>0</v>
      </c>
      <c r="AM63" s="132">
        <f t="shared" si="6"/>
        <v>13800</v>
      </c>
      <c r="AN63" s="133">
        <v>46130</v>
      </c>
      <c r="AO63" s="134" t="s">
        <v>3268</v>
      </c>
      <c r="AP63" s="135" t="s">
        <v>1937</v>
      </c>
      <c r="AQ63" s="136" t="s">
        <v>1938</v>
      </c>
      <c r="AR63" s="136" t="s">
        <v>1939</v>
      </c>
      <c r="AS63" s="123" t="s">
        <v>2410</v>
      </c>
      <c r="AT63" s="137" t="s">
        <v>1940</v>
      </c>
      <c r="AU63" s="137" t="s">
        <v>197</v>
      </c>
      <c r="AV63" s="138" t="s">
        <v>329</v>
      </c>
      <c r="AW63" s="136">
        <v>60</v>
      </c>
      <c r="AX63" s="138">
        <v>250</v>
      </c>
      <c r="AY63" s="136">
        <f t="shared" si="7"/>
        <v>15000</v>
      </c>
      <c r="AZ63" s="139" t="b">
        <f t="shared" si="8"/>
        <v>1</v>
      </c>
      <c r="BA63" s="125">
        <v>0</v>
      </c>
      <c r="BB63" s="140">
        <f t="shared" si="9"/>
        <v>60</v>
      </c>
      <c r="BC63" s="141">
        <v>0</v>
      </c>
      <c r="BD63" s="140" t="s">
        <v>107</v>
      </c>
      <c r="BE63" s="141">
        <v>0</v>
      </c>
      <c r="BF63" s="140">
        <v>0</v>
      </c>
      <c r="BG63" s="141">
        <v>0</v>
      </c>
      <c r="BH63" s="127">
        <v>0</v>
      </c>
      <c r="BI63" s="130">
        <v>0</v>
      </c>
      <c r="BJ63" s="128">
        <v>0</v>
      </c>
      <c r="BK63" s="125">
        <v>0</v>
      </c>
      <c r="BL63" s="136">
        <v>0</v>
      </c>
      <c r="BM63" s="127">
        <v>0</v>
      </c>
      <c r="BN63" s="142">
        <f t="shared" si="10"/>
        <v>0</v>
      </c>
      <c r="BO63" s="126">
        <f t="shared" si="11"/>
        <v>15000</v>
      </c>
      <c r="BP63" s="132">
        <f t="shared" si="12"/>
        <v>1200</v>
      </c>
      <c r="BQ63" s="141" t="str">
        <f t="shared" si="13"/>
        <v>Positive Margin</v>
      </c>
      <c r="BR63" s="143" t="s">
        <v>119</v>
      </c>
      <c r="BS63" s="125">
        <f t="shared" si="14"/>
        <v>1200</v>
      </c>
      <c r="BT63" s="144" t="str">
        <f t="shared" si="15"/>
        <v>Positive Margin at Inception</v>
      </c>
      <c r="BU63" s="145">
        <f t="shared" si="16"/>
        <v>0.08</v>
      </c>
      <c r="BV63" s="144" t="str">
        <f t="shared" si="17"/>
        <v>More than 2%</v>
      </c>
      <c r="BW63" s="125">
        <f t="shared" si="18"/>
        <v>0</v>
      </c>
      <c r="BX63" s="126">
        <f t="shared" si="19"/>
        <v>0</v>
      </c>
      <c r="BY63" s="125">
        <f t="shared" si="20"/>
        <v>0</v>
      </c>
      <c r="BZ63" s="146">
        <f t="shared" si="21"/>
        <v>0</v>
      </c>
      <c r="CA63" s="146">
        <f t="shared" si="22"/>
        <v>0</v>
      </c>
      <c r="CB63" s="127">
        <f t="shared" si="23"/>
        <v>0</v>
      </c>
      <c r="CC63" s="146" t="s">
        <v>397</v>
      </c>
      <c r="CD63" s="127">
        <v>0</v>
      </c>
      <c r="CE63" s="127" t="str">
        <f t="shared" si="24"/>
        <v>Apr-26</v>
      </c>
      <c r="CF63" s="127">
        <f t="shared" si="25"/>
        <v>13800</v>
      </c>
      <c r="CG63" s="127">
        <f t="shared" si="26"/>
        <v>15000</v>
      </c>
      <c r="CH63" s="127">
        <f t="shared" si="27"/>
        <v>3</v>
      </c>
      <c r="CI63" s="147" t="str">
        <f t="shared" si="28"/>
        <v>BG AHD</v>
      </c>
      <c r="CJ63" s="127">
        <v>0</v>
      </c>
      <c r="CK63" s="127">
        <v>0</v>
      </c>
      <c r="CL63" s="127">
        <f t="shared" si="29"/>
        <v>1200</v>
      </c>
      <c r="CM63" s="127">
        <f t="shared" si="30"/>
        <v>1200</v>
      </c>
      <c r="CN63" s="127">
        <f t="shared" si="31"/>
        <v>1200</v>
      </c>
      <c r="CO63" s="127">
        <f t="shared" si="32"/>
        <v>17700</v>
      </c>
      <c r="CP63" s="127">
        <f t="shared" si="33"/>
        <v>-16284</v>
      </c>
      <c r="CQ63" s="127">
        <f t="shared" si="34"/>
        <v>0</v>
      </c>
      <c r="CR63" s="127">
        <f t="shared" si="35"/>
        <v>0</v>
      </c>
      <c r="CS63" s="127">
        <f t="shared" si="36"/>
        <v>1416</v>
      </c>
      <c r="CT63" s="127" t="s">
        <v>361</v>
      </c>
      <c r="CU63" s="127" t="s">
        <v>361</v>
      </c>
      <c r="CV63" s="142" t="str">
        <f t="shared" si="37"/>
        <v>AAMCB5608A</v>
      </c>
      <c r="CW63" s="142" t="str">
        <f t="shared" si="38"/>
        <v>AFDPY5902R</v>
      </c>
    </row>
    <row r="64" spans="2:101" s="149" customFormat="1" ht="11.85" customHeight="1" x14ac:dyDescent="0.25">
      <c r="B64" s="120" t="str">
        <f t="shared" ref="B64:B84" si="39">"Q" &amp; IF(ROUNDUP(MONTH(D64)/3,0)-1=0,4,ROUNDUP(MONTH(D64)/3,0)-1)</f>
        <v>Q1</v>
      </c>
      <c r="C64" s="121" t="str">
        <f t="shared" ref="C64:C84" si="40">TEXT(AN64,"mmm-yy")</f>
        <v>Apr-26</v>
      </c>
      <c r="D64" s="122">
        <v>46132</v>
      </c>
      <c r="E64" s="123" t="s">
        <v>3323</v>
      </c>
      <c r="F64" s="123" t="s">
        <v>196</v>
      </c>
      <c r="G64" s="123" t="s">
        <v>198</v>
      </c>
      <c r="H64" s="124" t="s">
        <v>3324</v>
      </c>
      <c r="I64" s="122">
        <v>46132</v>
      </c>
      <c r="J64" s="123" t="s">
        <v>3325</v>
      </c>
      <c r="K64" s="122">
        <v>46132</v>
      </c>
      <c r="L64" s="123" t="s">
        <v>199</v>
      </c>
      <c r="M64" s="123" t="s">
        <v>3326</v>
      </c>
      <c r="N64" s="124" t="s">
        <v>241</v>
      </c>
      <c r="O64" s="123">
        <v>1040</v>
      </c>
      <c r="P64" s="124">
        <v>30</v>
      </c>
      <c r="Q64" s="125">
        <f t="shared" ref="Q64:Q84" si="41">O64*P64</f>
        <v>31200</v>
      </c>
      <c r="R64" s="126">
        <v>0</v>
      </c>
      <c r="S64" s="125">
        <f t="shared" ref="S64:S84" si="42">O64-R64</f>
        <v>1040</v>
      </c>
      <c r="T64" s="126">
        <v>0</v>
      </c>
      <c r="U64" s="127">
        <v>0</v>
      </c>
      <c r="V64" s="128">
        <v>0</v>
      </c>
      <c r="W64" s="127">
        <v>0</v>
      </c>
      <c r="X64" s="129">
        <v>0</v>
      </c>
      <c r="Y64" s="127">
        <v>0</v>
      </c>
      <c r="Z64" s="127">
        <v>0</v>
      </c>
      <c r="AA64" s="126">
        <v>0</v>
      </c>
      <c r="AB64" s="130">
        <f t="shared" ref="AB64:AB84" si="43">Y64+AA64+Z64</f>
        <v>0</v>
      </c>
      <c r="AC64" s="129">
        <v>0</v>
      </c>
      <c r="AD64" s="125">
        <f t="shared" ref="AD64:AD84" si="44">Q64/O64</f>
        <v>30</v>
      </c>
      <c r="AE64" s="144">
        <v>0</v>
      </c>
      <c r="AF64" s="127">
        <v>0</v>
      </c>
      <c r="AG64" s="131">
        <v>0</v>
      </c>
      <c r="AH64" s="127">
        <v>0</v>
      </c>
      <c r="AI64" s="128">
        <v>0</v>
      </c>
      <c r="AJ64" s="127">
        <v>0</v>
      </c>
      <c r="AK64" s="127">
        <v>0</v>
      </c>
      <c r="AL64" s="127">
        <v>0</v>
      </c>
      <c r="AM64" s="132">
        <f t="shared" ref="AM64:AM84" si="45">Q64+AB64+AL64+AK64+AJ64+T64+AE64</f>
        <v>31200</v>
      </c>
      <c r="AN64" s="133">
        <v>46132</v>
      </c>
      <c r="AO64" s="134" t="s">
        <v>3385</v>
      </c>
      <c r="AP64" s="135" t="s">
        <v>234</v>
      </c>
      <c r="AQ64" s="136" t="s">
        <v>235</v>
      </c>
      <c r="AR64" s="136" t="s">
        <v>236</v>
      </c>
      <c r="AS64" s="123" t="s">
        <v>2006</v>
      </c>
      <c r="AT64" s="137" t="s">
        <v>238</v>
      </c>
      <c r="AU64" s="137" t="s">
        <v>197</v>
      </c>
      <c r="AV64" s="138" t="s">
        <v>329</v>
      </c>
      <c r="AW64" s="136">
        <v>1040</v>
      </c>
      <c r="AX64" s="138">
        <v>35</v>
      </c>
      <c r="AY64" s="136">
        <f t="shared" ref="AY64" si="46">AW64*AX64</f>
        <v>36400</v>
      </c>
      <c r="AZ64" s="139" t="b">
        <f t="shared" ref="AZ64" si="47">AW64=O64</f>
        <v>1</v>
      </c>
      <c r="BA64" s="125">
        <v>0</v>
      </c>
      <c r="BB64" s="140">
        <f t="shared" ref="BB64" si="48">AW64-BA64</f>
        <v>1040</v>
      </c>
      <c r="BC64" s="141">
        <v>0</v>
      </c>
      <c r="BD64" s="140" t="s">
        <v>107</v>
      </c>
      <c r="BE64" s="141">
        <v>0</v>
      </c>
      <c r="BF64" s="140">
        <v>0</v>
      </c>
      <c r="BG64" s="141">
        <v>0</v>
      </c>
      <c r="BH64" s="127">
        <v>0</v>
      </c>
      <c r="BI64" s="130">
        <v>0</v>
      </c>
      <c r="BJ64" s="128">
        <v>0</v>
      </c>
      <c r="BK64" s="125">
        <v>0</v>
      </c>
      <c r="BL64" s="136">
        <v>0</v>
      </c>
      <c r="BM64" s="127">
        <v>0</v>
      </c>
      <c r="BN64" s="142">
        <f t="shared" ref="BN64" si="49">AY64*$BN$3</f>
        <v>0</v>
      </c>
      <c r="BO64" s="126">
        <f t="shared" ref="BO64" si="50">AY64+BL64+BM64+BN64+BC64+BG64</f>
        <v>36400</v>
      </c>
      <c r="BP64" s="132">
        <f t="shared" ref="BP64" si="51">BO64-AM64</f>
        <v>5200</v>
      </c>
      <c r="BQ64" s="141" t="str">
        <f t="shared" ref="BQ64" si="52">IF(BP64&gt;=0,"Positive Margin","Negative Margin")</f>
        <v>Positive Margin</v>
      </c>
      <c r="BR64" s="143" t="s">
        <v>119</v>
      </c>
      <c r="BS64" s="125">
        <f t="shared" ref="BS64" si="53">AY64-Y64-Q64-AA64-T64+BC64</f>
        <v>5200</v>
      </c>
      <c r="BT64" s="144" t="str">
        <f t="shared" ref="BT64" si="54">IF(BS64&lt;0, "Negative Margin at Inception", "Positive Margin at Inception")</f>
        <v>Positive Margin at Inception</v>
      </c>
      <c r="BU64" s="145">
        <f t="shared" ref="BU64" si="55">IFERROR(BP64/BO64,"0")</f>
        <v>0.14285714285714285</v>
      </c>
      <c r="BV64" s="144" t="str">
        <f t="shared" ref="BV64" si="56">IF(BU64&lt;1%,"Less Than 1%",IF(BU64&gt;2%,"More than 2%",IF(BU64&gt;=1%,"1% - 2%")))</f>
        <v>More than 2%</v>
      </c>
      <c r="BW64" s="125">
        <f t="shared" ref="BW64" si="57">BM64+BN64</f>
        <v>0</v>
      </c>
      <c r="BX64" s="126">
        <f t="shared" ref="BX64" si="58">AL64+AK64</f>
        <v>0</v>
      </c>
      <c r="BY64" s="125">
        <f t="shared" ref="BY64" si="59">BW64-BX64</f>
        <v>0</v>
      </c>
      <c r="BZ64" s="146">
        <f t="shared" ref="BZ64" si="60">BM64</f>
        <v>0</v>
      </c>
      <c r="CA64" s="146">
        <f t="shared" ref="CA64" si="61">AK64</f>
        <v>0</v>
      </c>
      <c r="CB64" s="127">
        <f t="shared" ref="CB64" si="62">BZ64-CA64</f>
        <v>0</v>
      </c>
      <c r="CC64" s="146" t="s">
        <v>397</v>
      </c>
      <c r="CD64" s="127">
        <v>0</v>
      </c>
      <c r="CE64" s="127" t="str">
        <f t="shared" ref="CE64" si="63">TEXT(AN64,"mmm-yy")</f>
        <v>Apr-26</v>
      </c>
      <c r="CF64" s="127">
        <f t="shared" ref="CF64" si="64">AM64-AL64-AA64</f>
        <v>31200</v>
      </c>
      <c r="CG64" s="127">
        <f t="shared" ref="CG64" si="65">BO64-BN64</f>
        <v>36400</v>
      </c>
      <c r="CH64" s="127">
        <f t="shared" ref="CH64" si="66">INT((D64- IF(MONTH(D64) &gt;= 4, DATE(YEAR(D64), 4, 1), DATE(YEAR(D64)-1, 4, 1))) / 7) + 1</f>
        <v>3</v>
      </c>
      <c r="CI64" s="147" t="str">
        <f t="shared" ref="CI64" si="67">IF(F64="BLACK GOLD RECYCLING PRIVATE LIMITED", "BG AHD", "B2B")</f>
        <v>BG AHD</v>
      </c>
      <c r="CJ64" s="127">
        <v>0</v>
      </c>
      <c r="CK64" s="127">
        <v>0</v>
      </c>
      <c r="CL64" s="127">
        <f t="shared" ref="CL64" si="68">AY64-Q64</f>
        <v>5200</v>
      </c>
      <c r="CM64" s="127">
        <f t="shared" ref="CM64" si="69">CL64-Y64+Z64</f>
        <v>5200</v>
      </c>
      <c r="CN64" s="127">
        <f t="shared" ref="CN64" si="70">BO64-AM64</f>
        <v>5200</v>
      </c>
      <c r="CO64" s="127">
        <f t="shared" ref="CO64" si="71">AY64*118%</f>
        <v>42952</v>
      </c>
      <c r="CP64" s="127">
        <f t="shared" ref="CP64" si="72">-Q64*118%</f>
        <v>-36816</v>
      </c>
      <c r="CQ64" s="127">
        <f t="shared" ref="CQ64" si="73">-BZ64*118%</f>
        <v>0</v>
      </c>
      <c r="CR64" s="127">
        <f t="shared" ref="CR64" si="74">-CA64*118%</f>
        <v>0</v>
      </c>
      <c r="CS64" s="127">
        <f t="shared" ref="CS64" si="75">SUM(CO64:CR64)</f>
        <v>6136</v>
      </c>
      <c r="CT64" s="127" t="s">
        <v>361</v>
      </c>
      <c r="CU64" s="127" t="s">
        <v>361</v>
      </c>
      <c r="CV64" s="142" t="str">
        <f t="shared" ref="CV64" si="76">MID(G64,3,10)</f>
        <v>AAMCB5608A</v>
      </c>
      <c r="CW64" s="142" t="str">
        <f t="shared" ref="CW64" si="77">MID(AR64,3,10)</f>
        <v>BJHPB3107J</v>
      </c>
    </row>
    <row r="65" spans="2:101" s="149" customFormat="1" ht="11.85" customHeight="1" x14ac:dyDescent="0.25">
      <c r="B65" s="120" t="str">
        <f t="shared" si="39"/>
        <v>Q1</v>
      </c>
      <c r="C65" s="121" t="str">
        <f t="shared" si="40"/>
        <v>Apr-26</v>
      </c>
      <c r="D65" s="122">
        <v>46132</v>
      </c>
      <c r="E65" s="123" t="s">
        <v>3323</v>
      </c>
      <c r="F65" s="123" t="s">
        <v>196</v>
      </c>
      <c r="G65" s="123" t="s">
        <v>198</v>
      </c>
      <c r="H65" s="124" t="s">
        <v>3324</v>
      </c>
      <c r="I65" s="122">
        <v>46132</v>
      </c>
      <c r="J65" s="123" t="s">
        <v>3325</v>
      </c>
      <c r="K65" s="122">
        <v>46132</v>
      </c>
      <c r="L65" s="123" t="s">
        <v>199</v>
      </c>
      <c r="M65" s="123" t="s">
        <v>3326</v>
      </c>
      <c r="N65" s="124" t="s">
        <v>1436</v>
      </c>
      <c r="O65" s="123">
        <v>460</v>
      </c>
      <c r="P65" s="124">
        <v>33</v>
      </c>
      <c r="Q65" s="125">
        <f t="shared" si="41"/>
        <v>15180</v>
      </c>
      <c r="R65" s="126">
        <v>0</v>
      </c>
      <c r="S65" s="125">
        <f t="shared" si="42"/>
        <v>460</v>
      </c>
      <c r="T65" s="126">
        <v>0</v>
      </c>
      <c r="U65" s="127">
        <v>0</v>
      </c>
      <c r="V65" s="128">
        <v>0</v>
      </c>
      <c r="W65" s="127">
        <v>0</v>
      </c>
      <c r="X65" s="129">
        <v>0</v>
      </c>
      <c r="Y65" s="127">
        <v>0</v>
      </c>
      <c r="Z65" s="127">
        <v>0</v>
      </c>
      <c r="AA65" s="126">
        <v>0</v>
      </c>
      <c r="AB65" s="130">
        <f t="shared" si="43"/>
        <v>0</v>
      </c>
      <c r="AC65" s="129">
        <v>0</v>
      </c>
      <c r="AD65" s="125">
        <f t="shared" si="44"/>
        <v>33</v>
      </c>
      <c r="AE65" s="144">
        <v>0</v>
      </c>
      <c r="AF65" s="127">
        <v>0</v>
      </c>
      <c r="AG65" s="131">
        <v>0</v>
      </c>
      <c r="AH65" s="127">
        <v>0</v>
      </c>
      <c r="AI65" s="128">
        <v>0</v>
      </c>
      <c r="AJ65" s="127">
        <v>0</v>
      </c>
      <c r="AK65" s="127">
        <v>0</v>
      </c>
      <c r="AL65" s="127">
        <v>0</v>
      </c>
      <c r="AM65" s="132">
        <f t="shared" si="45"/>
        <v>15180</v>
      </c>
      <c r="AN65" s="133">
        <v>46132</v>
      </c>
      <c r="AO65" s="134" t="s">
        <v>3385</v>
      </c>
      <c r="AP65" s="135" t="s">
        <v>234</v>
      </c>
      <c r="AQ65" s="136" t="s">
        <v>235</v>
      </c>
      <c r="AR65" s="136" t="s">
        <v>236</v>
      </c>
      <c r="AS65" s="123" t="s">
        <v>2006</v>
      </c>
      <c r="AT65" s="137" t="s">
        <v>238</v>
      </c>
      <c r="AU65" s="137" t="s">
        <v>197</v>
      </c>
      <c r="AV65" s="138" t="s">
        <v>329</v>
      </c>
      <c r="AW65" s="136">
        <v>460</v>
      </c>
      <c r="AX65" s="138">
        <v>38</v>
      </c>
      <c r="AY65" s="136">
        <f t="shared" ref="AY65:AY84" si="78">AW65*AX65</f>
        <v>17480</v>
      </c>
      <c r="AZ65" s="139" t="b">
        <f t="shared" ref="AZ65:AZ84" si="79">AW65=O65</f>
        <v>1</v>
      </c>
      <c r="BA65" s="125">
        <v>0</v>
      </c>
      <c r="BB65" s="140">
        <f t="shared" ref="BB65:BB84" si="80">AW65-BA65</f>
        <v>460</v>
      </c>
      <c r="BC65" s="141">
        <v>0</v>
      </c>
      <c r="BD65" s="140" t="s">
        <v>107</v>
      </c>
      <c r="BE65" s="141">
        <v>0</v>
      </c>
      <c r="BF65" s="140">
        <v>0</v>
      </c>
      <c r="BG65" s="141">
        <v>0</v>
      </c>
      <c r="BH65" s="127">
        <v>0</v>
      </c>
      <c r="BI65" s="130">
        <v>0</v>
      </c>
      <c r="BJ65" s="128">
        <v>0</v>
      </c>
      <c r="BK65" s="125">
        <v>0</v>
      </c>
      <c r="BL65" s="136">
        <v>0</v>
      </c>
      <c r="BM65" s="127">
        <v>0</v>
      </c>
      <c r="BN65" s="142">
        <f t="shared" ref="BN65:BN84" si="81">AY65*$BN$3</f>
        <v>0</v>
      </c>
      <c r="BO65" s="126">
        <f t="shared" ref="BO65:BO84" si="82">AY65+BL65+BM65+BN65+BC65+BG65</f>
        <v>17480</v>
      </c>
      <c r="BP65" s="132">
        <f t="shared" ref="BP65:BP84" si="83">BO65-AM65</f>
        <v>2300</v>
      </c>
      <c r="BQ65" s="141" t="str">
        <f t="shared" ref="BQ65:BQ84" si="84">IF(BP65&gt;=0,"Positive Margin","Negative Margin")</f>
        <v>Positive Margin</v>
      </c>
      <c r="BR65" s="143" t="s">
        <v>119</v>
      </c>
      <c r="BS65" s="125">
        <f t="shared" ref="BS65:BS84" si="85">AY65-Y65-Q65-AA65-T65+BC65</f>
        <v>2300</v>
      </c>
      <c r="BT65" s="144" t="str">
        <f t="shared" ref="BT65:BT84" si="86">IF(BS65&lt;0, "Negative Margin at Inception", "Positive Margin at Inception")</f>
        <v>Positive Margin at Inception</v>
      </c>
      <c r="BU65" s="145">
        <f t="shared" ref="BU65:BU84" si="87">IFERROR(BP65/BO65,"0")</f>
        <v>0.13157894736842105</v>
      </c>
      <c r="BV65" s="144" t="str">
        <f t="shared" ref="BV65:BV84" si="88">IF(BU65&lt;1%,"Less Than 1%",IF(BU65&gt;2%,"More than 2%",IF(BU65&gt;=1%,"1% - 2%")))</f>
        <v>More than 2%</v>
      </c>
      <c r="BW65" s="125">
        <f t="shared" ref="BW65:BW84" si="89">BM65+BN65</f>
        <v>0</v>
      </c>
      <c r="BX65" s="126">
        <f t="shared" ref="BX65:BX84" si="90">AL65+AK65</f>
        <v>0</v>
      </c>
      <c r="BY65" s="125">
        <f t="shared" ref="BY65:BY84" si="91">BW65-BX65</f>
        <v>0</v>
      </c>
      <c r="BZ65" s="146">
        <f t="shared" ref="BZ65:BZ84" si="92">BM65</f>
        <v>0</v>
      </c>
      <c r="CA65" s="146">
        <f t="shared" ref="CA65:CA84" si="93">AK65</f>
        <v>0</v>
      </c>
      <c r="CB65" s="127">
        <f t="shared" ref="CB65:CB84" si="94">BZ65-CA65</f>
        <v>0</v>
      </c>
      <c r="CC65" s="146" t="s">
        <v>397</v>
      </c>
      <c r="CD65" s="127">
        <v>0</v>
      </c>
      <c r="CE65" s="127" t="str">
        <f t="shared" ref="CE65:CE84" si="95">TEXT(AN65,"mmm-yy")</f>
        <v>Apr-26</v>
      </c>
      <c r="CF65" s="127">
        <f t="shared" ref="CF65:CF84" si="96">AM65-AL65-AA65</f>
        <v>15180</v>
      </c>
      <c r="CG65" s="127">
        <f t="shared" ref="CG65:CG84" si="97">BO65-BN65</f>
        <v>17480</v>
      </c>
      <c r="CH65" s="127">
        <f t="shared" ref="CH65:CH84" si="98">INT((D65- IF(MONTH(D65) &gt;= 4, DATE(YEAR(D65), 4, 1), DATE(YEAR(D65)-1, 4, 1))) / 7) + 1</f>
        <v>3</v>
      </c>
      <c r="CI65" s="147" t="str">
        <f t="shared" ref="CI65:CI84" si="99">IF(F65="BLACK GOLD RECYCLING PRIVATE LIMITED", "BG AHD", "B2B")</f>
        <v>BG AHD</v>
      </c>
      <c r="CJ65" s="127">
        <v>0</v>
      </c>
      <c r="CK65" s="127">
        <v>0</v>
      </c>
      <c r="CL65" s="127">
        <f t="shared" ref="CL65:CL84" si="100">AY65-Q65</f>
        <v>2300</v>
      </c>
      <c r="CM65" s="127">
        <f t="shared" ref="CM65:CM84" si="101">CL65-Y65+Z65</f>
        <v>2300</v>
      </c>
      <c r="CN65" s="127">
        <f t="shared" ref="CN65:CN84" si="102">BO65-AM65</f>
        <v>2300</v>
      </c>
      <c r="CO65" s="127">
        <f t="shared" ref="CO65:CO84" si="103">AY65*118%</f>
        <v>20626.399999999998</v>
      </c>
      <c r="CP65" s="127">
        <f t="shared" ref="CP65:CP84" si="104">-Q65*118%</f>
        <v>-17912.399999999998</v>
      </c>
      <c r="CQ65" s="127">
        <f t="shared" ref="CQ65:CQ84" si="105">-BZ65*118%</f>
        <v>0</v>
      </c>
      <c r="CR65" s="127">
        <f t="shared" ref="CR65:CR84" si="106">-CA65*118%</f>
        <v>0</v>
      </c>
      <c r="CS65" s="127">
        <f t="shared" ref="CS65:CS84" si="107">SUM(CO65:CR65)</f>
        <v>2714</v>
      </c>
      <c r="CT65" s="127" t="s">
        <v>361</v>
      </c>
      <c r="CU65" s="127" t="s">
        <v>361</v>
      </c>
      <c r="CV65" s="142" t="str">
        <f t="shared" ref="CV65:CV84" si="108">MID(G65,3,10)</f>
        <v>AAMCB5608A</v>
      </c>
      <c r="CW65" s="142" t="str">
        <f t="shared" ref="CW65:CW84" si="109">MID(AR65,3,10)</f>
        <v>BJHPB3107J</v>
      </c>
    </row>
    <row r="66" spans="2:101" s="149" customFormat="1" ht="11.85" customHeight="1" x14ac:dyDescent="0.25">
      <c r="B66" s="120" t="str">
        <f t="shared" si="39"/>
        <v>Q1</v>
      </c>
      <c r="C66" s="121" t="str">
        <f t="shared" si="40"/>
        <v>Apr-26</v>
      </c>
      <c r="D66" s="122">
        <v>46132</v>
      </c>
      <c r="E66" s="123" t="s">
        <v>3327</v>
      </c>
      <c r="F66" s="123" t="s">
        <v>196</v>
      </c>
      <c r="G66" s="123" t="s">
        <v>198</v>
      </c>
      <c r="H66" s="124" t="s">
        <v>3328</v>
      </c>
      <c r="I66" s="122">
        <v>46132</v>
      </c>
      <c r="J66" s="123" t="s">
        <v>3329</v>
      </c>
      <c r="K66" s="122">
        <v>46133</v>
      </c>
      <c r="L66" s="123" t="s">
        <v>199</v>
      </c>
      <c r="M66" s="123" t="s">
        <v>244</v>
      </c>
      <c r="N66" s="124" t="s">
        <v>2834</v>
      </c>
      <c r="O66" s="123">
        <v>12230</v>
      </c>
      <c r="P66" s="124">
        <v>0.5</v>
      </c>
      <c r="Q66" s="125">
        <f t="shared" si="41"/>
        <v>6115</v>
      </c>
      <c r="R66" s="126">
        <v>0</v>
      </c>
      <c r="S66" s="125">
        <f t="shared" si="42"/>
        <v>12230</v>
      </c>
      <c r="T66" s="126">
        <v>0</v>
      </c>
      <c r="U66" s="127">
        <v>0</v>
      </c>
      <c r="V66" s="128">
        <v>0</v>
      </c>
      <c r="W66" s="127">
        <v>0</v>
      </c>
      <c r="X66" s="129">
        <v>0</v>
      </c>
      <c r="Y66" s="127">
        <v>0</v>
      </c>
      <c r="Z66" s="127">
        <v>0</v>
      </c>
      <c r="AA66" s="126">
        <v>0</v>
      </c>
      <c r="AB66" s="130">
        <f t="shared" si="43"/>
        <v>0</v>
      </c>
      <c r="AC66" s="129">
        <v>0</v>
      </c>
      <c r="AD66" s="125">
        <f t="shared" si="44"/>
        <v>0.5</v>
      </c>
      <c r="AE66" s="144">
        <v>0</v>
      </c>
      <c r="AF66" s="127">
        <v>0</v>
      </c>
      <c r="AG66" s="131">
        <v>0</v>
      </c>
      <c r="AH66" s="127">
        <v>0</v>
      </c>
      <c r="AI66" s="128">
        <v>0</v>
      </c>
      <c r="AJ66" s="127">
        <v>0</v>
      </c>
      <c r="AK66" s="127">
        <v>0</v>
      </c>
      <c r="AL66" s="127">
        <v>0</v>
      </c>
      <c r="AM66" s="132">
        <f t="shared" si="45"/>
        <v>6115</v>
      </c>
      <c r="AN66" s="133">
        <v>46133</v>
      </c>
      <c r="AO66" s="134" t="s">
        <v>3393</v>
      </c>
      <c r="AP66" s="135" t="s">
        <v>234</v>
      </c>
      <c r="AQ66" s="136" t="s">
        <v>235</v>
      </c>
      <c r="AR66" s="136" t="s">
        <v>236</v>
      </c>
      <c r="AS66" s="123" t="s">
        <v>237</v>
      </c>
      <c r="AT66" s="137" t="s">
        <v>238</v>
      </c>
      <c r="AU66" s="137" t="s">
        <v>197</v>
      </c>
      <c r="AV66" s="138" t="s">
        <v>329</v>
      </c>
      <c r="AW66" s="136">
        <v>12230</v>
      </c>
      <c r="AX66" s="138">
        <v>1</v>
      </c>
      <c r="AY66" s="136">
        <f t="shared" si="78"/>
        <v>12230</v>
      </c>
      <c r="AZ66" s="139" t="b">
        <f t="shared" si="79"/>
        <v>1</v>
      </c>
      <c r="BA66" s="125">
        <v>0</v>
      </c>
      <c r="BB66" s="140">
        <f t="shared" si="80"/>
        <v>12230</v>
      </c>
      <c r="BC66" s="141">
        <v>0</v>
      </c>
      <c r="BD66" s="140" t="s">
        <v>107</v>
      </c>
      <c r="BE66" s="141">
        <v>0</v>
      </c>
      <c r="BF66" s="140">
        <v>0</v>
      </c>
      <c r="BG66" s="141">
        <v>0</v>
      </c>
      <c r="BH66" s="127">
        <v>0</v>
      </c>
      <c r="BI66" s="130">
        <v>0</v>
      </c>
      <c r="BJ66" s="128">
        <v>0</v>
      </c>
      <c r="BK66" s="125">
        <v>0</v>
      </c>
      <c r="BL66" s="136">
        <v>0</v>
      </c>
      <c r="BM66" s="127">
        <v>0</v>
      </c>
      <c r="BN66" s="142">
        <f t="shared" si="81"/>
        <v>0</v>
      </c>
      <c r="BO66" s="126">
        <f t="shared" si="82"/>
        <v>12230</v>
      </c>
      <c r="BP66" s="132">
        <f t="shared" si="83"/>
        <v>6115</v>
      </c>
      <c r="BQ66" s="141" t="str">
        <f t="shared" si="84"/>
        <v>Positive Margin</v>
      </c>
      <c r="BR66" s="143" t="s">
        <v>119</v>
      </c>
      <c r="BS66" s="125">
        <f t="shared" si="85"/>
        <v>6115</v>
      </c>
      <c r="BT66" s="144" t="str">
        <f t="shared" si="86"/>
        <v>Positive Margin at Inception</v>
      </c>
      <c r="BU66" s="145">
        <f t="shared" si="87"/>
        <v>0.5</v>
      </c>
      <c r="BV66" s="144" t="str">
        <f t="shared" si="88"/>
        <v>More than 2%</v>
      </c>
      <c r="BW66" s="125">
        <f t="shared" si="89"/>
        <v>0</v>
      </c>
      <c r="BX66" s="126">
        <f t="shared" si="90"/>
        <v>0</v>
      </c>
      <c r="BY66" s="125">
        <f t="shared" si="91"/>
        <v>0</v>
      </c>
      <c r="BZ66" s="146">
        <f t="shared" si="92"/>
        <v>0</v>
      </c>
      <c r="CA66" s="146">
        <f t="shared" si="93"/>
        <v>0</v>
      </c>
      <c r="CB66" s="127">
        <f t="shared" si="94"/>
        <v>0</v>
      </c>
      <c r="CC66" s="146" t="s">
        <v>397</v>
      </c>
      <c r="CD66" s="127">
        <v>0</v>
      </c>
      <c r="CE66" s="127" t="str">
        <f t="shared" si="95"/>
        <v>Apr-26</v>
      </c>
      <c r="CF66" s="127">
        <f t="shared" si="96"/>
        <v>6115</v>
      </c>
      <c r="CG66" s="127">
        <f t="shared" si="97"/>
        <v>12230</v>
      </c>
      <c r="CH66" s="127">
        <f t="shared" si="98"/>
        <v>3</v>
      </c>
      <c r="CI66" s="147" t="str">
        <f t="shared" si="99"/>
        <v>BG AHD</v>
      </c>
      <c r="CJ66" s="127">
        <v>0</v>
      </c>
      <c r="CK66" s="127">
        <v>0</v>
      </c>
      <c r="CL66" s="127">
        <f t="shared" si="100"/>
        <v>6115</v>
      </c>
      <c r="CM66" s="127">
        <f t="shared" si="101"/>
        <v>6115</v>
      </c>
      <c r="CN66" s="127">
        <f t="shared" si="102"/>
        <v>6115</v>
      </c>
      <c r="CO66" s="127">
        <f t="shared" si="103"/>
        <v>14431.4</v>
      </c>
      <c r="CP66" s="127">
        <f t="shared" si="104"/>
        <v>-7215.7</v>
      </c>
      <c r="CQ66" s="127">
        <f t="shared" si="105"/>
        <v>0</v>
      </c>
      <c r="CR66" s="127">
        <f t="shared" si="106"/>
        <v>0</v>
      </c>
      <c r="CS66" s="127">
        <f t="shared" si="107"/>
        <v>7215.7</v>
      </c>
      <c r="CT66" s="127" t="s">
        <v>361</v>
      </c>
      <c r="CU66" s="127" t="s">
        <v>361</v>
      </c>
      <c r="CV66" s="142" t="str">
        <f t="shared" si="108"/>
        <v>AAMCB5608A</v>
      </c>
      <c r="CW66" s="142" t="str">
        <f t="shared" si="109"/>
        <v>BJHPB3107J</v>
      </c>
    </row>
    <row r="67" spans="2:101" s="149" customFormat="1" ht="11.85" customHeight="1" x14ac:dyDescent="0.25">
      <c r="B67" s="120" t="str">
        <f t="shared" si="39"/>
        <v>Q1</v>
      </c>
      <c r="C67" s="121" t="str">
        <f t="shared" si="40"/>
        <v>Apr-26</v>
      </c>
      <c r="D67" s="122">
        <v>46130</v>
      </c>
      <c r="E67" s="123" t="s">
        <v>3330</v>
      </c>
      <c r="F67" s="123" t="s">
        <v>196</v>
      </c>
      <c r="G67" s="123" t="s">
        <v>198</v>
      </c>
      <c r="H67" s="124" t="s">
        <v>3331</v>
      </c>
      <c r="I67" s="122">
        <v>46130</v>
      </c>
      <c r="J67" s="123" t="s">
        <v>3332</v>
      </c>
      <c r="K67" s="122">
        <v>46134</v>
      </c>
      <c r="L67" s="123" t="s">
        <v>199</v>
      </c>
      <c r="M67" s="123" t="s">
        <v>3223</v>
      </c>
      <c r="N67" s="124" t="s">
        <v>3333</v>
      </c>
      <c r="O67" s="123">
        <v>500</v>
      </c>
      <c r="P67" s="124">
        <v>5.593</v>
      </c>
      <c r="Q67" s="125">
        <f t="shared" si="41"/>
        <v>2796.5</v>
      </c>
      <c r="R67" s="126">
        <v>0</v>
      </c>
      <c r="S67" s="125">
        <f t="shared" si="42"/>
        <v>500</v>
      </c>
      <c r="T67" s="126">
        <v>0</v>
      </c>
      <c r="U67" s="127">
        <v>0</v>
      </c>
      <c r="V67" s="128">
        <v>0</v>
      </c>
      <c r="W67" s="127">
        <v>0</v>
      </c>
      <c r="X67" s="129">
        <v>0</v>
      </c>
      <c r="Y67" s="127">
        <v>0</v>
      </c>
      <c r="Z67" s="127">
        <v>0</v>
      </c>
      <c r="AA67" s="126">
        <v>0</v>
      </c>
      <c r="AB67" s="130">
        <f t="shared" si="43"/>
        <v>0</v>
      </c>
      <c r="AC67" s="129">
        <v>0</v>
      </c>
      <c r="AD67" s="125">
        <f t="shared" si="44"/>
        <v>5.593</v>
      </c>
      <c r="AE67" s="144">
        <v>0</v>
      </c>
      <c r="AF67" s="127">
        <v>0</v>
      </c>
      <c r="AG67" s="131">
        <v>0</v>
      </c>
      <c r="AH67" s="127">
        <v>0</v>
      </c>
      <c r="AI67" s="128">
        <v>0</v>
      </c>
      <c r="AJ67" s="127">
        <v>0</v>
      </c>
      <c r="AK67" s="127">
        <v>0</v>
      </c>
      <c r="AL67" s="127">
        <v>0</v>
      </c>
      <c r="AM67" s="132">
        <f t="shared" si="45"/>
        <v>2796.5</v>
      </c>
      <c r="AN67" s="133">
        <v>46134</v>
      </c>
      <c r="AO67" s="134" t="s">
        <v>3395</v>
      </c>
      <c r="AP67" s="135" t="s">
        <v>1937</v>
      </c>
      <c r="AQ67" s="136" t="s">
        <v>1938</v>
      </c>
      <c r="AR67" s="136" t="s">
        <v>1939</v>
      </c>
      <c r="AS67" s="123" t="s">
        <v>3396</v>
      </c>
      <c r="AT67" s="137" t="s">
        <v>1940</v>
      </c>
      <c r="AU67" s="137" t="s">
        <v>197</v>
      </c>
      <c r="AV67" s="138" t="s">
        <v>329</v>
      </c>
      <c r="AW67" s="136">
        <v>500</v>
      </c>
      <c r="AX67" s="138">
        <v>6.5</v>
      </c>
      <c r="AY67" s="136">
        <f t="shared" si="78"/>
        <v>3250</v>
      </c>
      <c r="AZ67" s="139" t="b">
        <f t="shared" si="79"/>
        <v>1</v>
      </c>
      <c r="BA67" s="125">
        <v>0</v>
      </c>
      <c r="BB67" s="140">
        <f t="shared" si="80"/>
        <v>500</v>
      </c>
      <c r="BC67" s="141">
        <v>0</v>
      </c>
      <c r="BD67" s="140" t="s">
        <v>107</v>
      </c>
      <c r="BE67" s="141">
        <v>0</v>
      </c>
      <c r="BF67" s="140">
        <v>0</v>
      </c>
      <c r="BG67" s="141">
        <v>0</v>
      </c>
      <c r="BH67" s="127">
        <v>0</v>
      </c>
      <c r="BI67" s="130">
        <v>0</v>
      </c>
      <c r="BJ67" s="128">
        <v>0</v>
      </c>
      <c r="BK67" s="125">
        <v>0</v>
      </c>
      <c r="BL67" s="136">
        <v>0</v>
      </c>
      <c r="BM67" s="127">
        <v>0</v>
      </c>
      <c r="BN67" s="142">
        <f t="shared" si="81"/>
        <v>0</v>
      </c>
      <c r="BO67" s="126">
        <f t="shared" si="82"/>
        <v>3250</v>
      </c>
      <c r="BP67" s="132">
        <f t="shared" si="83"/>
        <v>453.5</v>
      </c>
      <c r="BQ67" s="141" t="str">
        <f t="shared" si="84"/>
        <v>Positive Margin</v>
      </c>
      <c r="BR67" s="143" t="s">
        <v>119</v>
      </c>
      <c r="BS67" s="125">
        <f t="shared" si="85"/>
        <v>453.5</v>
      </c>
      <c r="BT67" s="144" t="str">
        <f t="shared" si="86"/>
        <v>Positive Margin at Inception</v>
      </c>
      <c r="BU67" s="145">
        <f t="shared" si="87"/>
        <v>0.13953846153846153</v>
      </c>
      <c r="BV67" s="144" t="str">
        <f t="shared" si="88"/>
        <v>More than 2%</v>
      </c>
      <c r="BW67" s="125">
        <f t="shared" si="89"/>
        <v>0</v>
      </c>
      <c r="BX67" s="126">
        <f t="shared" si="90"/>
        <v>0</v>
      </c>
      <c r="BY67" s="125">
        <f t="shared" si="91"/>
        <v>0</v>
      </c>
      <c r="BZ67" s="146">
        <f t="shared" si="92"/>
        <v>0</v>
      </c>
      <c r="CA67" s="146">
        <f t="shared" si="93"/>
        <v>0</v>
      </c>
      <c r="CB67" s="127">
        <f t="shared" si="94"/>
        <v>0</v>
      </c>
      <c r="CC67" s="146" t="s">
        <v>397</v>
      </c>
      <c r="CD67" s="127">
        <v>0</v>
      </c>
      <c r="CE67" s="127" t="str">
        <f t="shared" si="95"/>
        <v>Apr-26</v>
      </c>
      <c r="CF67" s="127">
        <f t="shared" si="96"/>
        <v>2796.5</v>
      </c>
      <c r="CG67" s="127">
        <f t="shared" si="97"/>
        <v>3250</v>
      </c>
      <c r="CH67" s="127">
        <f t="shared" si="98"/>
        <v>3</v>
      </c>
      <c r="CI67" s="147" t="str">
        <f t="shared" si="99"/>
        <v>BG AHD</v>
      </c>
      <c r="CJ67" s="127">
        <v>0</v>
      </c>
      <c r="CK67" s="127">
        <v>0</v>
      </c>
      <c r="CL67" s="127">
        <f t="shared" si="100"/>
        <v>453.5</v>
      </c>
      <c r="CM67" s="127">
        <f t="shared" si="101"/>
        <v>453.5</v>
      </c>
      <c r="CN67" s="127">
        <f t="shared" si="102"/>
        <v>453.5</v>
      </c>
      <c r="CO67" s="127">
        <f t="shared" si="103"/>
        <v>3835</v>
      </c>
      <c r="CP67" s="127">
        <f t="shared" si="104"/>
        <v>-3299.87</v>
      </c>
      <c r="CQ67" s="127">
        <f t="shared" si="105"/>
        <v>0</v>
      </c>
      <c r="CR67" s="127">
        <f t="shared" si="106"/>
        <v>0</v>
      </c>
      <c r="CS67" s="127">
        <f t="shared" si="107"/>
        <v>535.13000000000011</v>
      </c>
      <c r="CT67" s="127" t="s">
        <v>361</v>
      </c>
      <c r="CU67" s="127" t="s">
        <v>361</v>
      </c>
      <c r="CV67" s="142" t="str">
        <f t="shared" si="108"/>
        <v>AAMCB5608A</v>
      </c>
      <c r="CW67" s="142" t="str">
        <f t="shared" si="109"/>
        <v>AFDPY5902R</v>
      </c>
    </row>
    <row r="68" spans="2:101" s="149" customFormat="1" ht="11.85" customHeight="1" x14ac:dyDescent="0.25">
      <c r="B68" s="120" t="str">
        <f t="shared" si="39"/>
        <v>Q1</v>
      </c>
      <c r="C68" s="121" t="str">
        <f t="shared" si="40"/>
        <v>Apr-26</v>
      </c>
      <c r="D68" s="122">
        <v>46133</v>
      </c>
      <c r="E68" s="123" t="s">
        <v>3334</v>
      </c>
      <c r="F68" s="123" t="s">
        <v>196</v>
      </c>
      <c r="G68" s="123" t="s">
        <v>198</v>
      </c>
      <c r="H68" s="124" t="s">
        <v>3335</v>
      </c>
      <c r="I68" s="122">
        <v>46133</v>
      </c>
      <c r="J68" s="123" t="s">
        <v>3336</v>
      </c>
      <c r="K68" s="122">
        <v>46134</v>
      </c>
      <c r="L68" s="123" t="s">
        <v>199</v>
      </c>
      <c r="M68" s="123" t="s">
        <v>244</v>
      </c>
      <c r="N68" s="124" t="s">
        <v>258</v>
      </c>
      <c r="O68" s="123">
        <v>1450</v>
      </c>
      <c r="P68" s="124">
        <v>1.1000000000000001</v>
      </c>
      <c r="Q68" s="125">
        <f t="shared" si="41"/>
        <v>1595.0000000000002</v>
      </c>
      <c r="R68" s="126">
        <v>0</v>
      </c>
      <c r="S68" s="125">
        <f t="shared" si="42"/>
        <v>1450</v>
      </c>
      <c r="T68" s="126">
        <v>0</v>
      </c>
      <c r="U68" s="127">
        <v>0</v>
      </c>
      <c r="V68" s="128">
        <v>0</v>
      </c>
      <c r="W68" s="127">
        <v>0</v>
      </c>
      <c r="X68" s="129">
        <v>0</v>
      </c>
      <c r="Y68" s="127">
        <v>0</v>
      </c>
      <c r="Z68" s="127">
        <v>0</v>
      </c>
      <c r="AA68" s="126">
        <v>0</v>
      </c>
      <c r="AB68" s="130">
        <f t="shared" si="43"/>
        <v>0</v>
      </c>
      <c r="AC68" s="129">
        <v>0</v>
      </c>
      <c r="AD68" s="125">
        <f t="shared" si="44"/>
        <v>1.1000000000000001</v>
      </c>
      <c r="AE68" s="144">
        <v>0</v>
      </c>
      <c r="AF68" s="127">
        <v>0</v>
      </c>
      <c r="AG68" s="131">
        <v>0</v>
      </c>
      <c r="AH68" s="127">
        <v>0</v>
      </c>
      <c r="AI68" s="128">
        <v>0</v>
      </c>
      <c r="AJ68" s="127">
        <v>0</v>
      </c>
      <c r="AK68" s="127">
        <v>0</v>
      </c>
      <c r="AL68" s="127">
        <v>0</v>
      </c>
      <c r="AM68" s="132">
        <f t="shared" si="45"/>
        <v>1595.0000000000002</v>
      </c>
      <c r="AN68" s="133">
        <v>46134</v>
      </c>
      <c r="AO68" s="134" t="s">
        <v>3392</v>
      </c>
      <c r="AP68" s="135" t="s">
        <v>234</v>
      </c>
      <c r="AQ68" s="136" t="s">
        <v>235</v>
      </c>
      <c r="AR68" s="136" t="s">
        <v>236</v>
      </c>
      <c r="AS68" s="123" t="s">
        <v>237</v>
      </c>
      <c r="AT68" s="137" t="s">
        <v>238</v>
      </c>
      <c r="AU68" s="137" t="s">
        <v>197</v>
      </c>
      <c r="AV68" s="138" t="s">
        <v>329</v>
      </c>
      <c r="AW68" s="136">
        <v>1450</v>
      </c>
      <c r="AX68" s="138">
        <v>2.1</v>
      </c>
      <c r="AY68" s="136">
        <f t="shared" si="78"/>
        <v>3045</v>
      </c>
      <c r="AZ68" s="139" t="b">
        <f t="shared" si="79"/>
        <v>1</v>
      </c>
      <c r="BA68" s="125">
        <v>0</v>
      </c>
      <c r="BB68" s="140">
        <f t="shared" si="80"/>
        <v>1450</v>
      </c>
      <c r="BC68" s="141">
        <v>0</v>
      </c>
      <c r="BD68" s="140" t="s">
        <v>107</v>
      </c>
      <c r="BE68" s="141">
        <v>0</v>
      </c>
      <c r="BF68" s="140">
        <v>0</v>
      </c>
      <c r="BG68" s="141">
        <v>0</v>
      </c>
      <c r="BH68" s="127">
        <v>0</v>
      </c>
      <c r="BI68" s="130">
        <v>0</v>
      </c>
      <c r="BJ68" s="128">
        <v>0</v>
      </c>
      <c r="BK68" s="125">
        <v>0</v>
      </c>
      <c r="BL68" s="136">
        <v>0</v>
      </c>
      <c r="BM68" s="127">
        <v>0</v>
      </c>
      <c r="BN68" s="142">
        <f t="shared" si="81"/>
        <v>0</v>
      </c>
      <c r="BO68" s="126">
        <f t="shared" si="82"/>
        <v>3045</v>
      </c>
      <c r="BP68" s="132">
        <f t="shared" si="83"/>
        <v>1449.9999999999998</v>
      </c>
      <c r="BQ68" s="141" t="str">
        <f t="shared" si="84"/>
        <v>Positive Margin</v>
      </c>
      <c r="BR68" s="143" t="s">
        <v>119</v>
      </c>
      <c r="BS68" s="125">
        <f t="shared" si="85"/>
        <v>1449.9999999999998</v>
      </c>
      <c r="BT68" s="144" t="str">
        <f t="shared" si="86"/>
        <v>Positive Margin at Inception</v>
      </c>
      <c r="BU68" s="145">
        <f t="shared" si="87"/>
        <v>0.47619047619047611</v>
      </c>
      <c r="BV68" s="144" t="str">
        <f t="shared" si="88"/>
        <v>More than 2%</v>
      </c>
      <c r="BW68" s="125">
        <f t="shared" si="89"/>
        <v>0</v>
      </c>
      <c r="BX68" s="126">
        <f t="shared" si="90"/>
        <v>0</v>
      </c>
      <c r="BY68" s="125">
        <f t="shared" si="91"/>
        <v>0</v>
      </c>
      <c r="BZ68" s="146">
        <f t="shared" si="92"/>
        <v>0</v>
      </c>
      <c r="CA68" s="146">
        <f t="shared" si="93"/>
        <v>0</v>
      </c>
      <c r="CB68" s="127">
        <f t="shared" si="94"/>
        <v>0</v>
      </c>
      <c r="CC68" s="146" t="s">
        <v>397</v>
      </c>
      <c r="CD68" s="127">
        <v>0</v>
      </c>
      <c r="CE68" s="127" t="str">
        <f t="shared" si="95"/>
        <v>Apr-26</v>
      </c>
      <c r="CF68" s="127">
        <f t="shared" si="96"/>
        <v>1595.0000000000002</v>
      </c>
      <c r="CG68" s="127">
        <f t="shared" si="97"/>
        <v>3045</v>
      </c>
      <c r="CH68" s="127">
        <f t="shared" si="98"/>
        <v>3</v>
      </c>
      <c r="CI68" s="147" t="str">
        <f t="shared" si="99"/>
        <v>BG AHD</v>
      </c>
      <c r="CJ68" s="127">
        <v>0</v>
      </c>
      <c r="CK68" s="127">
        <v>0</v>
      </c>
      <c r="CL68" s="127">
        <f t="shared" si="100"/>
        <v>1449.9999999999998</v>
      </c>
      <c r="CM68" s="127">
        <f t="shared" si="101"/>
        <v>1449.9999999999998</v>
      </c>
      <c r="CN68" s="127">
        <f t="shared" si="102"/>
        <v>1449.9999999999998</v>
      </c>
      <c r="CO68" s="127">
        <f t="shared" si="103"/>
        <v>3593.1</v>
      </c>
      <c r="CP68" s="127">
        <f t="shared" si="104"/>
        <v>-1882.1000000000001</v>
      </c>
      <c r="CQ68" s="127">
        <f t="shared" si="105"/>
        <v>0</v>
      </c>
      <c r="CR68" s="127">
        <f t="shared" si="106"/>
        <v>0</v>
      </c>
      <c r="CS68" s="127">
        <f t="shared" si="107"/>
        <v>1710.9999999999998</v>
      </c>
      <c r="CT68" s="127" t="s">
        <v>361</v>
      </c>
      <c r="CU68" s="127" t="s">
        <v>361</v>
      </c>
      <c r="CV68" s="142" t="str">
        <f t="shared" si="108"/>
        <v>AAMCB5608A</v>
      </c>
      <c r="CW68" s="142" t="str">
        <f t="shared" si="109"/>
        <v>BJHPB3107J</v>
      </c>
    </row>
    <row r="69" spans="2:101" s="149" customFormat="1" ht="11.85" customHeight="1" x14ac:dyDescent="0.25">
      <c r="B69" s="120" t="str">
        <f t="shared" si="39"/>
        <v>Q1</v>
      </c>
      <c r="C69" s="121" t="str">
        <f t="shared" si="40"/>
        <v>Apr-26</v>
      </c>
      <c r="D69" s="122">
        <v>46133</v>
      </c>
      <c r="E69" s="123" t="s">
        <v>3337</v>
      </c>
      <c r="F69" s="123" t="s">
        <v>196</v>
      </c>
      <c r="G69" s="123" t="s">
        <v>198</v>
      </c>
      <c r="H69" s="124" t="s">
        <v>3338</v>
      </c>
      <c r="I69" s="122">
        <v>46133</v>
      </c>
      <c r="J69" s="123" t="s">
        <v>3339</v>
      </c>
      <c r="K69" s="122">
        <v>46134</v>
      </c>
      <c r="L69" s="123" t="s">
        <v>199</v>
      </c>
      <c r="M69" s="123" t="s">
        <v>3340</v>
      </c>
      <c r="N69" s="124" t="s">
        <v>204</v>
      </c>
      <c r="O69" s="123">
        <v>7180</v>
      </c>
      <c r="P69" s="124">
        <v>10</v>
      </c>
      <c r="Q69" s="125">
        <f t="shared" si="41"/>
        <v>71800</v>
      </c>
      <c r="R69" s="126">
        <v>0</v>
      </c>
      <c r="S69" s="125">
        <f t="shared" si="42"/>
        <v>7180</v>
      </c>
      <c r="T69" s="126">
        <v>0</v>
      </c>
      <c r="U69" s="127">
        <v>0</v>
      </c>
      <c r="V69" s="128">
        <v>0</v>
      </c>
      <c r="W69" s="127">
        <v>0</v>
      </c>
      <c r="X69" s="129">
        <v>0</v>
      </c>
      <c r="Y69" s="127">
        <v>0</v>
      </c>
      <c r="Z69" s="127">
        <v>0</v>
      </c>
      <c r="AA69" s="126">
        <v>0</v>
      </c>
      <c r="AB69" s="130">
        <f t="shared" si="43"/>
        <v>0</v>
      </c>
      <c r="AC69" s="129">
        <v>0</v>
      </c>
      <c r="AD69" s="125">
        <f t="shared" si="44"/>
        <v>10</v>
      </c>
      <c r="AE69" s="144">
        <v>0</v>
      </c>
      <c r="AF69" s="127">
        <v>0</v>
      </c>
      <c r="AG69" s="131">
        <v>0</v>
      </c>
      <c r="AH69" s="127">
        <v>0</v>
      </c>
      <c r="AI69" s="128">
        <v>0</v>
      </c>
      <c r="AJ69" s="127">
        <v>0</v>
      </c>
      <c r="AK69" s="127">
        <v>0</v>
      </c>
      <c r="AL69" s="127">
        <v>0</v>
      </c>
      <c r="AM69" s="132">
        <f t="shared" si="45"/>
        <v>71800</v>
      </c>
      <c r="AN69" s="133">
        <v>46134</v>
      </c>
      <c r="AO69" s="134" t="s">
        <v>3397</v>
      </c>
      <c r="AP69" s="135" t="s">
        <v>234</v>
      </c>
      <c r="AQ69" s="136" t="s">
        <v>235</v>
      </c>
      <c r="AR69" s="136" t="s">
        <v>236</v>
      </c>
      <c r="AS69" s="123" t="s">
        <v>239</v>
      </c>
      <c r="AT69" s="137" t="s">
        <v>238</v>
      </c>
      <c r="AU69" s="137" t="s">
        <v>197</v>
      </c>
      <c r="AV69" s="138" t="s">
        <v>329</v>
      </c>
      <c r="AW69" s="136">
        <v>7180</v>
      </c>
      <c r="AX69" s="138">
        <v>12</v>
      </c>
      <c r="AY69" s="136">
        <f t="shared" si="78"/>
        <v>86160</v>
      </c>
      <c r="AZ69" s="139" t="b">
        <f t="shared" si="79"/>
        <v>1</v>
      </c>
      <c r="BA69" s="125">
        <v>0</v>
      </c>
      <c r="BB69" s="140">
        <f t="shared" si="80"/>
        <v>7180</v>
      </c>
      <c r="BC69" s="141">
        <v>0</v>
      </c>
      <c r="BD69" s="140" t="s">
        <v>107</v>
      </c>
      <c r="BE69" s="141">
        <v>0</v>
      </c>
      <c r="BF69" s="140">
        <v>0</v>
      </c>
      <c r="BG69" s="141">
        <v>0</v>
      </c>
      <c r="BH69" s="127">
        <v>0</v>
      </c>
      <c r="BI69" s="130">
        <v>0</v>
      </c>
      <c r="BJ69" s="128">
        <v>0</v>
      </c>
      <c r="BK69" s="125">
        <v>0</v>
      </c>
      <c r="BL69" s="136">
        <v>0</v>
      </c>
      <c r="BM69" s="127">
        <v>0</v>
      </c>
      <c r="BN69" s="142">
        <f t="shared" si="81"/>
        <v>0</v>
      </c>
      <c r="BO69" s="126">
        <f t="shared" si="82"/>
        <v>86160</v>
      </c>
      <c r="BP69" s="132">
        <f t="shared" si="83"/>
        <v>14360</v>
      </c>
      <c r="BQ69" s="141" t="str">
        <f t="shared" si="84"/>
        <v>Positive Margin</v>
      </c>
      <c r="BR69" s="143" t="s">
        <v>119</v>
      </c>
      <c r="BS69" s="125">
        <f t="shared" si="85"/>
        <v>14360</v>
      </c>
      <c r="BT69" s="144" t="str">
        <f t="shared" si="86"/>
        <v>Positive Margin at Inception</v>
      </c>
      <c r="BU69" s="145">
        <f t="shared" si="87"/>
        <v>0.16666666666666666</v>
      </c>
      <c r="BV69" s="144" t="str">
        <f t="shared" si="88"/>
        <v>More than 2%</v>
      </c>
      <c r="BW69" s="125">
        <f t="shared" si="89"/>
        <v>0</v>
      </c>
      <c r="BX69" s="126">
        <f t="shared" si="90"/>
        <v>0</v>
      </c>
      <c r="BY69" s="125">
        <f t="shared" si="91"/>
        <v>0</v>
      </c>
      <c r="BZ69" s="146">
        <f t="shared" si="92"/>
        <v>0</v>
      </c>
      <c r="CA69" s="146">
        <f t="shared" si="93"/>
        <v>0</v>
      </c>
      <c r="CB69" s="127">
        <f t="shared" si="94"/>
        <v>0</v>
      </c>
      <c r="CC69" s="146" t="s">
        <v>397</v>
      </c>
      <c r="CD69" s="127">
        <v>0</v>
      </c>
      <c r="CE69" s="127" t="str">
        <f t="shared" si="95"/>
        <v>Apr-26</v>
      </c>
      <c r="CF69" s="127">
        <f t="shared" si="96"/>
        <v>71800</v>
      </c>
      <c r="CG69" s="127">
        <f t="shared" si="97"/>
        <v>86160</v>
      </c>
      <c r="CH69" s="127">
        <f t="shared" si="98"/>
        <v>3</v>
      </c>
      <c r="CI69" s="147" t="str">
        <f t="shared" si="99"/>
        <v>BG AHD</v>
      </c>
      <c r="CJ69" s="127">
        <v>0</v>
      </c>
      <c r="CK69" s="127">
        <v>0</v>
      </c>
      <c r="CL69" s="127">
        <f t="shared" si="100"/>
        <v>14360</v>
      </c>
      <c r="CM69" s="127">
        <f t="shared" si="101"/>
        <v>14360</v>
      </c>
      <c r="CN69" s="127">
        <f t="shared" si="102"/>
        <v>14360</v>
      </c>
      <c r="CO69" s="127">
        <f t="shared" si="103"/>
        <v>101668.79999999999</v>
      </c>
      <c r="CP69" s="127">
        <f t="shared" si="104"/>
        <v>-84724</v>
      </c>
      <c r="CQ69" s="127">
        <f t="shared" si="105"/>
        <v>0</v>
      </c>
      <c r="CR69" s="127">
        <f t="shared" si="106"/>
        <v>0</v>
      </c>
      <c r="CS69" s="127">
        <f t="shared" si="107"/>
        <v>16944.799999999988</v>
      </c>
      <c r="CT69" s="127" t="s">
        <v>361</v>
      </c>
      <c r="CU69" s="127" t="s">
        <v>361</v>
      </c>
      <c r="CV69" s="142" t="str">
        <f t="shared" si="108"/>
        <v>AAMCB5608A</v>
      </c>
      <c r="CW69" s="142" t="str">
        <f t="shared" si="109"/>
        <v>BJHPB3107J</v>
      </c>
    </row>
    <row r="70" spans="2:101" s="149" customFormat="1" ht="11.85" customHeight="1" x14ac:dyDescent="0.25">
      <c r="B70" s="120" t="str">
        <f t="shared" si="39"/>
        <v>Q1</v>
      </c>
      <c r="C70" s="121" t="str">
        <f t="shared" si="40"/>
        <v>Apr-26</v>
      </c>
      <c r="D70" s="122">
        <v>46134</v>
      </c>
      <c r="E70" s="123" t="s">
        <v>3341</v>
      </c>
      <c r="F70" s="123" t="s">
        <v>196</v>
      </c>
      <c r="G70" s="123" t="s">
        <v>198</v>
      </c>
      <c r="H70" s="124" t="s">
        <v>3342</v>
      </c>
      <c r="I70" s="122">
        <v>46134</v>
      </c>
      <c r="J70" s="123" t="s">
        <v>3343</v>
      </c>
      <c r="K70" s="122">
        <v>46134</v>
      </c>
      <c r="L70" s="123" t="s">
        <v>199</v>
      </c>
      <c r="M70" s="123" t="s">
        <v>1941</v>
      </c>
      <c r="N70" s="124" t="s">
        <v>3344</v>
      </c>
      <c r="O70" s="123">
        <v>7130</v>
      </c>
      <c r="P70" s="124">
        <v>4.5</v>
      </c>
      <c r="Q70" s="125">
        <f t="shared" si="41"/>
        <v>32085</v>
      </c>
      <c r="R70" s="126">
        <v>0</v>
      </c>
      <c r="S70" s="125">
        <f t="shared" si="42"/>
        <v>7130</v>
      </c>
      <c r="T70" s="126">
        <v>0</v>
      </c>
      <c r="U70" s="127">
        <v>0</v>
      </c>
      <c r="V70" s="128">
        <v>0</v>
      </c>
      <c r="W70" s="127">
        <v>0</v>
      </c>
      <c r="X70" s="129">
        <v>0</v>
      </c>
      <c r="Y70" s="127">
        <v>0</v>
      </c>
      <c r="Z70" s="127">
        <v>0</v>
      </c>
      <c r="AA70" s="126">
        <v>0</v>
      </c>
      <c r="AB70" s="130">
        <f t="shared" si="43"/>
        <v>0</v>
      </c>
      <c r="AC70" s="129">
        <v>0</v>
      </c>
      <c r="AD70" s="125">
        <f t="shared" si="44"/>
        <v>4.5</v>
      </c>
      <c r="AE70" s="144">
        <v>0</v>
      </c>
      <c r="AF70" s="127">
        <v>0</v>
      </c>
      <c r="AG70" s="131">
        <v>0</v>
      </c>
      <c r="AH70" s="127">
        <v>0</v>
      </c>
      <c r="AI70" s="128">
        <v>0</v>
      </c>
      <c r="AJ70" s="127">
        <v>0</v>
      </c>
      <c r="AK70" s="127">
        <v>0</v>
      </c>
      <c r="AL70" s="127">
        <v>0</v>
      </c>
      <c r="AM70" s="132">
        <f t="shared" si="45"/>
        <v>32085</v>
      </c>
      <c r="AN70" s="133">
        <v>46134</v>
      </c>
      <c r="AO70" s="134" t="s">
        <v>3388</v>
      </c>
      <c r="AP70" s="135" t="s">
        <v>3389</v>
      </c>
      <c r="AQ70" s="136" t="s">
        <v>3390</v>
      </c>
      <c r="AR70" s="136" t="s">
        <v>3391</v>
      </c>
      <c r="AS70" s="123" t="s">
        <v>2976</v>
      </c>
      <c r="AT70" s="137" t="s">
        <v>1940</v>
      </c>
      <c r="AU70" s="137" t="s">
        <v>197</v>
      </c>
      <c r="AV70" s="138" t="s">
        <v>329</v>
      </c>
      <c r="AW70" s="136">
        <v>7130</v>
      </c>
      <c r="AX70" s="138">
        <v>5</v>
      </c>
      <c r="AY70" s="136">
        <f t="shared" si="78"/>
        <v>35650</v>
      </c>
      <c r="AZ70" s="139" t="b">
        <f t="shared" si="79"/>
        <v>1</v>
      </c>
      <c r="BA70" s="125">
        <v>0</v>
      </c>
      <c r="BB70" s="140">
        <f t="shared" si="80"/>
        <v>7130</v>
      </c>
      <c r="BC70" s="141">
        <v>0</v>
      </c>
      <c r="BD70" s="140" t="s">
        <v>107</v>
      </c>
      <c r="BE70" s="141">
        <v>0</v>
      </c>
      <c r="BF70" s="140">
        <v>0</v>
      </c>
      <c r="BG70" s="141">
        <v>0</v>
      </c>
      <c r="BH70" s="127">
        <v>0</v>
      </c>
      <c r="BI70" s="130">
        <v>0</v>
      </c>
      <c r="BJ70" s="128">
        <v>0</v>
      </c>
      <c r="BK70" s="125">
        <v>0</v>
      </c>
      <c r="BL70" s="136">
        <v>0</v>
      </c>
      <c r="BM70" s="127">
        <v>0</v>
      </c>
      <c r="BN70" s="142">
        <f t="shared" si="81"/>
        <v>0</v>
      </c>
      <c r="BO70" s="126">
        <f t="shared" si="82"/>
        <v>35650</v>
      </c>
      <c r="BP70" s="132">
        <f t="shared" si="83"/>
        <v>3565</v>
      </c>
      <c r="BQ70" s="141" t="str">
        <f t="shared" si="84"/>
        <v>Positive Margin</v>
      </c>
      <c r="BR70" s="143" t="s">
        <v>119</v>
      </c>
      <c r="BS70" s="125">
        <f t="shared" si="85"/>
        <v>3565</v>
      </c>
      <c r="BT70" s="144" t="str">
        <f t="shared" si="86"/>
        <v>Positive Margin at Inception</v>
      </c>
      <c r="BU70" s="145">
        <f t="shared" si="87"/>
        <v>0.1</v>
      </c>
      <c r="BV70" s="144" t="str">
        <f t="shared" si="88"/>
        <v>More than 2%</v>
      </c>
      <c r="BW70" s="125">
        <f t="shared" si="89"/>
        <v>0</v>
      </c>
      <c r="BX70" s="126">
        <f t="shared" si="90"/>
        <v>0</v>
      </c>
      <c r="BY70" s="125">
        <f t="shared" si="91"/>
        <v>0</v>
      </c>
      <c r="BZ70" s="146">
        <f t="shared" si="92"/>
        <v>0</v>
      </c>
      <c r="CA70" s="146">
        <f t="shared" si="93"/>
        <v>0</v>
      </c>
      <c r="CB70" s="127">
        <f t="shared" si="94"/>
        <v>0</v>
      </c>
      <c r="CC70" s="146" t="s">
        <v>397</v>
      </c>
      <c r="CD70" s="127">
        <v>0</v>
      </c>
      <c r="CE70" s="127" t="str">
        <f t="shared" si="95"/>
        <v>Apr-26</v>
      </c>
      <c r="CF70" s="127">
        <f t="shared" si="96"/>
        <v>32085</v>
      </c>
      <c r="CG70" s="127">
        <f t="shared" si="97"/>
        <v>35650</v>
      </c>
      <c r="CH70" s="127">
        <f t="shared" si="98"/>
        <v>4</v>
      </c>
      <c r="CI70" s="147" t="str">
        <f t="shared" si="99"/>
        <v>BG AHD</v>
      </c>
      <c r="CJ70" s="127">
        <v>0</v>
      </c>
      <c r="CK70" s="127">
        <v>0</v>
      </c>
      <c r="CL70" s="127">
        <f t="shared" si="100"/>
        <v>3565</v>
      </c>
      <c r="CM70" s="127">
        <f t="shared" si="101"/>
        <v>3565</v>
      </c>
      <c r="CN70" s="127">
        <f t="shared" si="102"/>
        <v>3565</v>
      </c>
      <c r="CO70" s="127">
        <f t="shared" si="103"/>
        <v>42067</v>
      </c>
      <c r="CP70" s="127">
        <f t="shared" si="104"/>
        <v>-37860.299999999996</v>
      </c>
      <c r="CQ70" s="127">
        <f t="shared" si="105"/>
        <v>0</v>
      </c>
      <c r="CR70" s="127">
        <f t="shared" si="106"/>
        <v>0</v>
      </c>
      <c r="CS70" s="127">
        <f t="shared" si="107"/>
        <v>4206.7000000000044</v>
      </c>
      <c r="CT70" s="127" t="s">
        <v>361</v>
      </c>
      <c r="CU70" s="127" t="s">
        <v>361</v>
      </c>
      <c r="CV70" s="142" t="str">
        <f t="shared" si="108"/>
        <v>AAMCB5608A</v>
      </c>
      <c r="CW70" s="142" t="str">
        <f t="shared" si="109"/>
        <v>BBLPY2170E</v>
      </c>
    </row>
    <row r="71" spans="2:101" s="149" customFormat="1" ht="11.85" customHeight="1" x14ac:dyDescent="0.25">
      <c r="B71" s="120" t="str">
        <f t="shared" si="39"/>
        <v>Q1</v>
      </c>
      <c r="C71" s="121" t="str">
        <f t="shared" si="40"/>
        <v>Apr-26</v>
      </c>
      <c r="D71" s="122">
        <v>46134</v>
      </c>
      <c r="E71" s="123" t="s">
        <v>3345</v>
      </c>
      <c r="F71" s="123" t="s">
        <v>196</v>
      </c>
      <c r="G71" s="123" t="s">
        <v>198</v>
      </c>
      <c r="H71" s="124" t="s">
        <v>3346</v>
      </c>
      <c r="I71" s="122">
        <v>46134</v>
      </c>
      <c r="J71" s="123" t="s">
        <v>3347</v>
      </c>
      <c r="K71" s="122">
        <v>46134</v>
      </c>
      <c r="L71" s="123" t="s">
        <v>199</v>
      </c>
      <c r="M71" s="123" t="s">
        <v>399</v>
      </c>
      <c r="N71" s="124" t="s">
        <v>206</v>
      </c>
      <c r="O71" s="123">
        <v>428</v>
      </c>
      <c r="P71" s="124">
        <v>50</v>
      </c>
      <c r="Q71" s="125">
        <f t="shared" si="41"/>
        <v>21400</v>
      </c>
      <c r="R71" s="126">
        <v>0</v>
      </c>
      <c r="S71" s="125">
        <f t="shared" si="42"/>
        <v>428</v>
      </c>
      <c r="T71" s="126">
        <v>0</v>
      </c>
      <c r="U71" s="127">
        <v>0</v>
      </c>
      <c r="V71" s="128">
        <v>0</v>
      </c>
      <c r="W71" s="127">
        <v>0</v>
      </c>
      <c r="X71" s="129">
        <v>0</v>
      </c>
      <c r="Y71" s="127">
        <v>0</v>
      </c>
      <c r="Z71" s="127">
        <v>0</v>
      </c>
      <c r="AA71" s="126">
        <v>0</v>
      </c>
      <c r="AB71" s="130">
        <f t="shared" si="43"/>
        <v>0</v>
      </c>
      <c r="AC71" s="129">
        <v>0</v>
      </c>
      <c r="AD71" s="125">
        <f t="shared" si="44"/>
        <v>50</v>
      </c>
      <c r="AE71" s="144">
        <v>0</v>
      </c>
      <c r="AF71" s="127">
        <v>0</v>
      </c>
      <c r="AG71" s="131">
        <v>0</v>
      </c>
      <c r="AH71" s="127">
        <v>0</v>
      </c>
      <c r="AI71" s="128">
        <v>0</v>
      </c>
      <c r="AJ71" s="127">
        <v>0</v>
      </c>
      <c r="AK71" s="127">
        <v>0</v>
      </c>
      <c r="AL71" s="127">
        <v>0</v>
      </c>
      <c r="AM71" s="132">
        <f t="shared" si="45"/>
        <v>21400</v>
      </c>
      <c r="AN71" s="133">
        <v>46134</v>
      </c>
      <c r="AO71" s="134" t="s">
        <v>3386</v>
      </c>
      <c r="AP71" s="135" t="s">
        <v>234</v>
      </c>
      <c r="AQ71" s="136" t="s">
        <v>235</v>
      </c>
      <c r="AR71" s="136" t="s">
        <v>236</v>
      </c>
      <c r="AS71" s="123" t="s">
        <v>239</v>
      </c>
      <c r="AT71" s="137" t="s">
        <v>238</v>
      </c>
      <c r="AU71" s="137" t="s">
        <v>197</v>
      </c>
      <c r="AV71" s="138" t="s">
        <v>329</v>
      </c>
      <c r="AW71" s="136">
        <v>428</v>
      </c>
      <c r="AX71" s="138">
        <v>70</v>
      </c>
      <c r="AY71" s="136">
        <f t="shared" si="78"/>
        <v>29960</v>
      </c>
      <c r="AZ71" s="139" t="b">
        <f t="shared" si="79"/>
        <v>1</v>
      </c>
      <c r="BA71" s="125">
        <v>0</v>
      </c>
      <c r="BB71" s="140">
        <f t="shared" si="80"/>
        <v>428</v>
      </c>
      <c r="BC71" s="141">
        <v>0</v>
      </c>
      <c r="BD71" s="140" t="s">
        <v>107</v>
      </c>
      <c r="BE71" s="141">
        <v>0</v>
      </c>
      <c r="BF71" s="140">
        <v>0</v>
      </c>
      <c r="BG71" s="141">
        <v>0</v>
      </c>
      <c r="BH71" s="127">
        <v>0</v>
      </c>
      <c r="BI71" s="130">
        <v>0</v>
      </c>
      <c r="BJ71" s="128">
        <v>0</v>
      </c>
      <c r="BK71" s="125">
        <v>0</v>
      </c>
      <c r="BL71" s="136">
        <v>0</v>
      </c>
      <c r="BM71" s="127">
        <v>0</v>
      </c>
      <c r="BN71" s="142">
        <f t="shared" si="81"/>
        <v>0</v>
      </c>
      <c r="BO71" s="126">
        <f t="shared" si="82"/>
        <v>29960</v>
      </c>
      <c r="BP71" s="132">
        <f t="shared" si="83"/>
        <v>8560</v>
      </c>
      <c r="BQ71" s="141" t="str">
        <f t="shared" si="84"/>
        <v>Positive Margin</v>
      </c>
      <c r="BR71" s="143" t="s">
        <v>119</v>
      </c>
      <c r="BS71" s="125">
        <f t="shared" si="85"/>
        <v>8560</v>
      </c>
      <c r="BT71" s="144" t="str">
        <f t="shared" si="86"/>
        <v>Positive Margin at Inception</v>
      </c>
      <c r="BU71" s="145">
        <f t="shared" si="87"/>
        <v>0.2857142857142857</v>
      </c>
      <c r="BV71" s="144" t="str">
        <f t="shared" si="88"/>
        <v>More than 2%</v>
      </c>
      <c r="BW71" s="125">
        <f t="shared" si="89"/>
        <v>0</v>
      </c>
      <c r="BX71" s="126">
        <f t="shared" si="90"/>
        <v>0</v>
      </c>
      <c r="BY71" s="125">
        <f t="shared" si="91"/>
        <v>0</v>
      </c>
      <c r="BZ71" s="146">
        <f t="shared" si="92"/>
        <v>0</v>
      </c>
      <c r="CA71" s="146">
        <f t="shared" si="93"/>
        <v>0</v>
      </c>
      <c r="CB71" s="127">
        <f t="shared" si="94"/>
        <v>0</v>
      </c>
      <c r="CC71" s="146" t="s">
        <v>397</v>
      </c>
      <c r="CD71" s="127">
        <v>0</v>
      </c>
      <c r="CE71" s="127" t="str">
        <f t="shared" si="95"/>
        <v>Apr-26</v>
      </c>
      <c r="CF71" s="127">
        <f t="shared" si="96"/>
        <v>21400</v>
      </c>
      <c r="CG71" s="127">
        <f t="shared" si="97"/>
        <v>29960</v>
      </c>
      <c r="CH71" s="127">
        <f t="shared" si="98"/>
        <v>4</v>
      </c>
      <c r="CI71" s="147" t="str">
        <f t="shared" si="99"/>
        <v>BG AHD</v>
      </c>
      <c r="CJ71" s="127">
        <v>0</v>
      </c>
      <c r="CK71" s="127">
        <v>0</v>
      </c>
      <c r="CL71" s="127">
        <f t="shared" si="100"/>
        <v>8560</v>
      </c>
      <c r="CM71" s="127">
        <f t="shared" si="101"/>
        <v>8560</v>
      </c>
      <c r="CN71" s="127">
        <f t="shared" si="102"/>
        <v>8560</v>
      </c>
      <c r="CO71" s="127">
        <f t="shared" si="103"/>
        <v>35352.799999999996</v>
      </c>
      <c r="CP71" s="127">
        <f t="shared" si="104"/>
        <v>-25252</v>
      </c>
      <c r="CQ71" s="127">
        <f t="shared" si="105"/>
        <v>0</v>
      </c>
      <c r="CR71" s="127">
        <f t="shared" si="106"/>
        <v>0</v>
      </c>
      <c r="CS71" s="127">
        <f t="shared" si="107"/>
        <v>10100.799999999996</v>
      </c>
      <c r="CT71" s="127" t="s">
        <v>361</v>
      </c>
      <c r="CU71" s="127" t="s">
        <v>361</v>
      </c>
      <c r="CV71" s="142" t="str">
        <f t="shared" si="108"/>
        <v>AAMCB5608A</v>
      </c>
      <c r="CW71" s="142" t="str">
        <f t="shared" si="109"/>
        <v>BJHPB3107J</v>
      </c>
    </row>
    <row r="72" spans="2:101" s="149" customFormat="1" ht="11.85" customHeight="1" x14ac:dyDescent="0.25">
      <c r="B72" s="120" t="str">
        <f t="shared" si="39"/>
        <v>Q1</v>
      </c>
      <c r="C72" s="121" t="str">
        <f t="shared" si="40"/>
        <v>Apr-26</v>
      </c>
      <c r="D72" s="122">
        <v>46134</v>
      </c>
      <c r="E72" s="123" t="s">
        <v>3345</v>
      </c>
      <c r="F72" s="123" t="s">
        <v>196</v>
      </c>
      <c r="G72" s="123" t="s">
        <v>198</v>
      </c>
      <c r="H72" s="124" t="s">
        <v>3346</v>
      </c>
      <c r="I72" s="122">
        <v>46134</v>
      </c>
      <c r="J72" s="123" t="s">
        <v>3347</v>
      </c>
      <c r="K72" s="122">
        <v>46134</v>
      </c>
      <c r="L72" s="123" t="s">
        <v>199</v>
      </c>
      <c r="M72" s="123" t="s">
        <v>399</v>
      </c>
      <c r="N72" s="124" t="s">
        <v>243</v>
      </c>
      <c r="O72" s="123">
        <v>250</v>
      </c>
      <c r="P72" s="124">
        <v>60</v>
      </c>
      <c r="Q72" s="125">
        <f t="shared" si="41"/>
        <v>15000</v>
      </c>
      <c r="R72" s="126">
        <v>0</v>
      </c>
      <c r="S72" s="125">
        <f t="shared" si="42"/>
        <v>250</v>
      </c>
      <c r="T72" s="126">
        <v>0</v>
      </c>
      <c r="U72" s="127">
        <v>0</v>
      </c>
      <c r="V72" s="128">
        <v>0</v>
      </c>
      <c r="W72" s="127">
        <v>0</v>
      </c>
      <c r="X72" s="129">
        <v>0</v>
      </c>
      <c r="Y72" s="127">
        <v>0</v>
      </c>
      <c r="Z72" s="127">
        <v>0</v>
      </c>
      <c r="AA72" s="126">
        <v>0</v>
      </c>
      <c r="AB72" s="130">
        <f t="shared" si="43"/>
        <v>0</v>
      </c>
      <c r="AC72" s="129">
        <v>0</v>
      </c>
      <c r="AD72" s="125">
        <f t="shared" si="44"/>
        <v>60</v>
      </c>
      <c r="AE72" s="144">
        <v>0</v>
      </c>
      <c r="AF72" s="127">
        <v>0</v>
      </c>
      <c r="AG72" s="131">
        <v>0</v>
      </c>
      <c r="AH72" s="127">
        <v>0</v>
      </c>
      <c r="AI72" s="128">
        <v>0</v>
      </c>
      <c r="AJ72" s="127">
        <v>0</v>
      </c>
      <c r="AK72" s="127">
        <v>0</v>
      </c>
      <c r="AL72" s="127">
        <v>0</v>
      </c>
      <c r="AM72" s="132">
        <f t="shared" si="45"/>
        <v>15000</v>
      </c>
      <c r="AN72" s="133">
        <v>46134</v>
      </c>
      <c r="AO72" s="134" t="s">
        <v>3386</v>
      </c>
      <c r="AP72" s="135" t="s">
        <v>234</v>
      </c>
      <c r="AQ72" s="136" t="s">
        <v>235</v>
      </c>
      <c r="AR72" s="136" t="s">
        <v>236</v>
      </c>
      <c r="AS72" s="123" t="s">
        <v>239</v>
      </c>
      <c r="AT72" s="137" t="s">
        <v>238</v>
      </c>
      <c r="AU72" s="137" t="s">
        <v>197</v>
      </c>
      <c r="AV72" s="138" t="s">
        <v>329</v>
      </c>
      <c r="AW72" s="136">
        <v>250</v>
      </c>
      <c r="AX72" s="138">
        <v>80</v>
      </c>
      <c r="AY72" s="136">
        <f t="shared" si="78"/>
        <v>20000</v>
      </c>
      <c r="AZ72" s="139" t="b">
        <f t="shared" si="79"/>
        <v>1</v>
      </c>
      <c r="BA72" s="125">
        <v>0</v>
      </c>
      <c r="BB72" s="140">
        <f t="shared" si="80"/>
        <v>250</v>
      </c>
      <c r="BC72" s="141">
        <v>0</v>
      </c>
      <c r="BD72" s="140" t="s">
        <v>107</v>
      </c>
      <c r="BE72" s="141">
        <v>0</v>
      </c>
      <c r="BF72" s="140">
        <v>0</v>
      </c>
      <c r="BG72" s="141">
        <v>0</v>
      </c>
      <c r="BH72" s="127">
        <v>0</v>
      </c>
      <c r="BI72" s="130">
        <v>0</v>
      </c>
      <c r="BJ72" s="128">
        <v>0</v>
      </c>
      <c r="BK72" s="125">
        <v>0</v>
      </c>
      <c r="BL72" s="136">
        <v>0</v>
      </c>
      <c r="BM72" s="127">
        <v>0</v>
      </c>
      <c r="BN72" s="142">
        <f t="shared" si="81"/>
        <v>0</v>
      </c>
      <c r="BO72" s="126">
        <f t="shared" si="82"/>
        <v>20000</v>
      </c>
      <c r="BP72" s="132">
        <f t="shared" si="83"/>
        <v>5000</v>
      </c>
      <c r="BQ72" s="141" t="str">
        <f t="shared" si="84"/>
        <v>Positive Margin</v>
      </c>
      <c r="BR72" s="143" t="s">
        <v>119</v>
      </c>
      <c r="BS72" s="125">
        <f t="shared" si="85"/>
        <v>5000</v>
      </c>
      <c r="BT72" s="144" t="str">
        <f t="shared" si="86"/>
        <v>Positive Margin at Inception</v>
      </c>
      <c r="BU72" s="145">
        <f t="shared" si="87"/>
        <v>0.25</v>
      </c>
      <c r="BV72" s="144" t="str">
        <f t="shared" si="88"/>
        <v>More than 2%</v>
      </c>
      <c r="BW72" s="125">
        <f t="shared" si="89"/>
        <v>0</v>
      </c>
      <c r="BX72" s="126">
        <f t="shared" si="90"/>
        <v>0</v>
      </c>
      <c r="BY72" s="125">
        <f t="shared" si="91"/>
        <v>0</v>
      </c>
      <c r="BZ72" s="146">
        <f t="shared" si="92"/>
        <v>0</v>
      </c>
      <c r="CA72" s="146">
        <f t="shared" si="93"/>
        <v>0</v>
      </c>
      <c r="CB72" s="127">
        <f t="shared" si="94"/>
        <v>0</v>
      </c>
      <c r="CC72" s="146" t="s">
        <v>397</v>
      </c>
      <c r="CD72" s="127">
        <v>0</v>
      </c>
      <c r="CE72" s="127" t="str">
        <f t="shared" si="95"/>
        <v>Apr-26</v>
      </c>
      <c r="CF72" s="127">
        <f t="shared" si="96"/>
        <v>15000</v>
      </c>
      <c r="CG72" s="127">
        <f t="shared" si="97"/>
        <v>20000</v>
      </c>
      <c r="CH72" s="127">
        <f t="shared" si="98"/>
        <v>4</v>
      </c>
      <c r="CI72" s="147" t="str">
        <f t="shared" si="99"/>
        <v>BG AHD</v>
      </c>
      <c r="CJ72" s="127">
        <v>0</v>
      </c>
      <c r="CK72" s="127">
        <v>0</v>
      </c>
      <c r="CL72" s="127">
        <f t="shared" si="100"/>
        <v>5000</v>
      </c>
      <c r="CM72" s="127">
        <f t="shared" si="101"/>
        <v>5000</v>
      </c>
      <c r="CN72" s="127">
        <f t="shared" si="102"/>
        <v>5000</v>
      </c>
      <c r="CO72" s="127">
        <f t="shared" si="103"/>
        <v>23600</v>
      </c>
      <c r="CP72" s="127">
        <f t="shared" si="104"/>
        <v>-17700</v>
      </c>
      <c r="CQ72" s="127">
        <f t="shared" si="105"/>
        <v>0</v>
      </c>
      <c r="CR72" s="127">
        <f t="shared" si="106"/>
        <v>0</v>
      </c>
      <c r="CS72" s="127">
        <f t="shared" si="107"/>
        <v>5900</v>
      </c>
      <c r="CT72" s="127" t="s">
        <v>361</v>
      </c>
      <c r="CU72" s="127" t="s">
        <v>361</v>
      </c>
      <c r="CV72" s="142" t="str">
        <f t="shared" si="108"/>
        <v>AAMCB5608A</v>
      </c>
      <c r="CW72" s="142" t="str">
        <f t="shared" si="109"/>
        <v>BJHPB3107J</v>
      </c>
    </row>
    <row r="73" spans="2:101" s="149" customFormat="1" ht="11.85" customHeight="1" x14ac:dyDescent="0.25">
      <c r="B73" s="120" t="str">
        <f t="shared" si="39"/>
        <v>Q1</v>
      </c>
      <c r="C73" s="121" t="str">
        <f t="shared" si="40"/>
        <v>Apr-26</v>
      </c>
      <c r="D73" s="122">
        <v>46134</v>
      </c>
      <c r="E73" s="123" t="s">
        <v>3348</v>
      </c>
      <c r="F73" s="123" t="s">
        <v>196</v>
      </c>
      <c r="G73" s="123" t="s">
        <v>198</v>
      </c>
      <c r="H73" s="124" t="s">
        <v>3349</v>
      </c>
      <c r="I73" s="122">
        <v>46134</v>
      </c>
      <c r="J73" s="123" t="s">
        <v>3350</v>
      </c>
      <c r="K73" s="122">
        <v>46134</v>
      </c>
      <c r="L73" s="123" t="s">
        <v>199</v>
      </c>
      <c r="M73" s="123" t="s">
        <v>244</v>
      </c>
      <c r="N73" s="124" t="s">
        <v>271</v>
      </c>
      <c r="O73" s="123">
        <v>540</v>
      </c>
      <c r="P73" s="124">
        <v>100</v>
      </c>
      <c r="Q73" s="125">
        <f t="shared" si="41"/>
        <v>54000</v>
      </c>
      <c r="R73" s="126">
        <v>0</v>
      </c>
      <c r="S73" s="125">
        <f t="shared" si="42"/>
        <v>540</v>
      </c>
      <c r="T73" s="126">
        <v>0</v>
      </c>
      <c r="U73" s="127">
        <v>0</v>
      </c>
      <c r="V73" s="128">
        <v>0</v>
      </c>
      <c r="W73" s="127">
        <v>0</v>
      </c>
      <c r="X73" s="129">
        <v>0</v>
      </c>
      <c r="Y73" s="127">
        <v>0</v>
      </c>
      <c r="Z73" s="127">
        <v>0</v>
      </c>
      <c r="AA73" s="126">
        <v>0</v>
      </c>
      <c r="AB73" s="130">
        <f t="shared" si="43"/>
        <v>0</v>
      </c>
      <c r="AC73" s="129">
        <v>0</v>
      </c>
      <c r="AD73" s="125">
        <f t="shared" si="44"/>
        <v>100</v>
      </c>
      <c r="AE73" s="144">
        <v>0</v>
      </c>
      <c r="AF73" s="127">
        <v>0</v>
      </c>
      <c r="AG73" s="131">
        <v>0</v>
      </c>
      <c r="AH73" s="127">
        <v>0</v>
      </c>
      <c r="AI73" s="128">
        <v>0</v>
      </c>
      <c r="AJ73" s="127">
        <v>0</v>
      </c>
      <c r="AK73" s="127">
        <v>0</v>
      </c>
      <c r="AL73" s="127">
        <v>0</v>
      </c>
      <c r="AM73" s="132">
        <f t="shared" si="45"/>
        <v>54000</v>
      </c>
      <c r="AN73" s="133">
        <v>46134</v>
      </c>
      <c r="AO73" s="134" t="s">
        <v>3399</v>
      </c>
      <c r="AP73" s="135" t="s">
        <v>234</v>
      </c>
      <c r="AQ73" s="136" t="s">
        <v>235</v>
      </c>
      <c r="AR73" s="136" t="s">
        <v>236</v>
      </c>
      <c r="AS73" s="123" t="s">
        <v>237</v>
      </c>
      <c r="AT73" s="137" t="s">
        <v>238</v>
      </c>
      <c r="AU73" s="137" t="s">
        <v>197</v>
      </c>
      <c r="AV73" s="138" t="s">
        <v>329</v>
      </c>
      <c r="AW73" s="136">
        <v>540</v>
      </c>
      <c r="AX73" s="138">
        <v>120</v>
      </c>
      <c r="AY73" s="136">
        <f t="shared" si="78"/>
        <v>64800</v>
      </c>
      <c r="AZ73" s="139" t="b">
        <f t="shared" si="79"/>
        <v>1</v>
      </c>
      <c r="BA73" s="125">
        <v>0</v>
      </c>
      <c r="BB73" s="140">
        <f t="shared" si="80"/>
        <v>540</v>
      </c>
      <c r="BC73" s="141">
        <v>0</v>
      </c>
      <c r="BD73" s="140" t="s">
        <v>107</v>
      </c>
      <c r="BE73" s="141">
        <v>0</v>
      </c>
      <c r="BF73" s="140">
        <v>0</v>
      </c>
      <c r="BG73" s="141">
        <v>0</v>
      </c>
      <c r="BH73" s="127">
        <v>0</v>
      </c>
      <c r="BI73" s="130">
        <v>0</v>
      </c>
      <c r="BJ73" s="128">
        <v>0</v>
      </c>
      <c r="BK73" s="125">
        <v>0</v>
      </c>
      <c r="BL73" s="136">
        <v>0</v>
      </c>
      <c r="BM73" s="127">
        <v>0</v>
      </c>
      <c r="BN73" s="142">
        <f t="shared" si="81"/>
        <v>0</v>
      </c>
      <c r="BO73" s="126">
        <f t="shared" si="82"/>
        <v>64800</v>
      </c>
      <c r="BP73" s="132">
        <f t="shared" si="83"/>
        <v>10800</v>
      </c>
      <c r="BQ73" s="141" t="str">
        <f t="shared" si="84"/>
        <v>Positive Margin</v>
      </c>
      <c r="BR73" s="143" t="s">
        <v>119</v>
      </c>
      <c r="BS73" s="125">
        <f t="shared" si="85"/>
        <v>10800</v>
      </c>
      <c r="BT73" s="144" t="str">
        <f t="shared" si="86"/>
        <v>Positive Margin at Inception</v>
      </c>
      <c r="BU73" s="145">
        <f t="shared" si="87"/>
        <v>0.16666666666666666</v>
      </c>
      <c r="BV73" s="144" t="str">
        <f t="shared" si="88"/>
        <v>More than 2%</v>
      </c>
      <c r="BW73" s="125">
        <f t="shared" si="89"/>
        <v>0</v>
      </c>
      <c r="BX73" s="126">
        <f t="shared" si="90"/>
        <v>0</v>
      </c>
      <c r="BY73" s="125">
        <f t="shared" si="91"/>
        <v>0</v>
      </c>
      <c r="BZ73" s="146">
        <f t="shared" si="92"/>
        <v>0</v>
      </c>
      <c r="CA73" s="146">
        <f t="shared" si="93"/>
        <v>0</v>
      </c>
      <c r="CB73" s="127">
        <f t="shared" si="94"/>
        <v>0</v>
      </c>
      <c r="CC73" s="146" t="s">
        <v>397</v>
      </c>
      <c r="CD73" s="127">
        <v>0</v>
      </c>
      <c r="CE73" s="127" t="str">
        <f t="shared" si="95"/>
        <v>Apr-26</v>
      </c>
      <c r="CF73" s="127">
        <f t="shared" si="96"/>
        <v>54000</v>
      </c>
      <c r="CG73" s="127">
        <f t="shared" si="97"/>
        <v>64800</v>
      </c>
      <c r="CH73" s="127">
        <f t="shared" si="98"/>
        <v>4</v>
      </c>
      <c r="CI73" s="147" t="str">
        <f t="shared" si="99"/>
        <v>BG AHD</v>
      </c>
      <c r="CJ73" s="127">
        <v>0</v>
      </c>
      <c r="CK73" s="127">
        <v>0</v>
      </c>
      <c r="CL73" s="127">
        <f t="shared" si="100"/>
        <v>10800</v>
      </c>
      <c r="CM73" s="127">
        <f t="shared" si="101"/>
        <v>10800</v>
      </c>
      <c r="CN73" s="127">
        <f t="shared" si="102"/>
        <v>10800</v>
      </c>
      <c r="CO73" s="127">
        <f t="shared" si="103"/>
        <v>76464</v>
      </c>
      <c r="CP73" s="127">
        <f t="shared" si="104"/>
        <v>-63720</v>
      </c>
      <c r="CQ73" s="127">
        <f t="shared" si="105"/>
        <v>0</v>
      </c>
      <c r="CR73" s="127">
        <f t="shared" si="106"/>
        <v>0</v>
      </c>
      <c r="CS73" s="127">
        <f t="shared" si="107"/>
        <v>12744</v>
      </c>
      <c r="CT73" s="127" t="s">
        <v>361</v>
      </c>
      <c r="CU73" s="127" t="s">
        <v>361</v>
      </c>
      <c r="CV73" s="142" t="str">
        <f t="shared" si="108"/>
        <v>AAMCB5608A</v>
      </c>
      <c r="CW73" s="142" t="str">
        <f t="shared" si="109"/>
        <v>BJHPB3107J</v>
      </c>
    </row>
    <row r="74" spans="2:101" s="149" customFormat="1" ht="11.85" customHeight="1" x14ac:dyDescent="0.25">
      <c r="B74" s="120" t="str">
        <f t="shared" si="39"/>
        <v>Q1</v>
      </c>
      <c r="C74" s="121" t="str">
        <f t="shared" si="40"/>
        <v>Apr-26</v>
      </c>
      <c r="D74" s="122">
        <v>46134</v>
      </c>
      <c r="E74" s="123" t="s">
        <v>3351</v>
      </c>
      <c r="F74" s="123" t="s">
        <v>196</v>
      </c>
      <c r="G74" s="123" t="s">
        <v>198</v>
      </c>
      <c r="H74" s="124" t="s">
        <v>3352</v>
      </c>
      <c r="I74" s="122">
        <v>46134</v>
      </c>
      <c r="J74" s="123" t="s">
        <v>3353</v>
      </c>
      <c r="K74" s="122">
        <v>46134</v>
      </c>
      <c r="L74" s="123" t="s">
        <v>199</v>
      </c>
      <c r="M74" s="123" t="s">
        <v>3354</v>
      </c>
      <c r="N74" s="124" t="s">
        <v>3355</v>
      </c>
      <c r="O74" s="123">
        <v>3900</v>
      </c>
      <c r="P74" s="124">
        <v>0.5</v>
      </c>
      <c r="Q74" s="125">
        <f t="shared" si="41"/>
        <v>1950</v>
      </c>
      <c r="R74" s="126">
        <v>0</v>
      </c>
      <c r="S74" s="125">
        <f t="shared" si="42"/>
        <v>3900</v>
      </c>
      <c r="T74" s="126">
        <v>0</v>
      </c>
      <c r="U74" s="127">
        <v>0</v>
      </c>
      <c r="V74" s="128">
        <v>0</v>
      </c>
      <c r="W74" s="127">
        <v>0</v>
      </c>
      <c r="X74" s="129">
        <v>0</v>
      </c>
      <c r="Y74" s="127">
        <v>0</v>
      </c>
      <c r="Z74" s="127">
        <v>0</v>
      </c>
      <c r="AA74" s="126">
        <v>0</v>
      </c>
      <c r="AB74" s="130">
        <f t="shared" si="43"/>
        <v>0</v>
      </c>
      <c r="AC74" s="129">
        <v>0</v>
      </c>
      <c r="AD74" s="125">
        <f t="shared" si="44"/>
        <v>0.5</v>
      </c>
      <c r="AE74" s="144">
        <v>0</v>
      </c>
      <c r="AF74" s="127">
        <v>0</v>
      </c>
      <c r="AG74" s="131">
        <v>0</v>
      </c>
      <c r="AH74" s="127">
        <v>0</v>
      </c>
      <c r="AI74" s="128">
        <v>0</v>
      </c>
      <c r="AJ74" s="127">
        <v>0</v>
      </c>
      <c r="AK74" s="127">
        <v>0</v>
      </c>
      <c r="AL74" s="127">
        <v>0</v>
      </c>
      <c r="AM74" s="132">
        <f t="shared" si="45"/>
        <v>1950</v>
      </c>
      <c r="AN74" s="133">
        <v>46134</v>
      </c>
      <c r="AO74" s="134" t="s">
        <v>3398</v>
      </c>
      <c r="AP74" s="135" t="s">
        <v>3389</v>
      </c>
      <c r="AQ74" s="136" t="s">
        <v>3390</v>
      </c>
      <c r="AR74" s="136" t="s">
        <v>3391</v>
      </c>
      <c r="AS74" s="123" t="s">
        <v>3396</v>
      </c>
      <c r="AT74" s="137" t="s">
        <v>1940</v>
      </c>
      <c r="AU74" s="137" t="s">
        <v>197</v>
      </c>
      <c r="AV74" s="138" t="s">
        <v>329</v>
      </c>
      <c r="AW74" s="136">
        <v>3900</v>
      </c>
      <c r="AX74" s="138">
        <v>1</v>
      </c>
      <c r="AY74" s="136">
        <f t="shared" si="78"/>
        <v>3900</v>
      </c>
      <c r="AZ74" s="139" t="b">
        <f t="shared" si="79"/>
        <v>1</v>
      </c>
      <c r="BA74" s="125">
        <v>0</v>
      </c>
      <c r="BB74" s="140">
        <f t="shared" si="80"/>
        <v>3900</v>
      </c>
      <c r="BC74" s="141">
        <v>0</v>
      </c>
      <c r="BD74" s="140" t="s">
        <v>107</v>
      </c>
      <c r="BE74" s="141">
        <v>0</v>
      </c>
      <c r="BF74" s="140">
        <v>0</v>
      </c>
      <c r="BG74" s="141">
        <v>0</v>
      </c>
      <c r="BH74" s="127">
        <v>0</v>
      </c>
      <c r="BI74" s="130">
        <v>0</v>
      </c>
      <c r="BJ74" s="128">
        <v>0</v>
      </c>
      <c r="BK74" s="125">
        <v>0</v>
      </c>
      <c r="BL74" s="136">
        <v>0</v>
      </c>
      <c r="BM74" s="127">
        <v>0</v>
      </c>
      <c r="BN74" s="142">
        <f t="shared" si="81"/>
        <v>0</v>
      </c>
      <c r="BO74" s="126">
        <f t="shared" si="82"/>
        <v>3900</v>
      </c>
      <c r="BP74" s="132">
        <f t="shared" si="83"/>
        <v>1950</v>
      </c>
      <c r="BQ74" s="141" t="str">
        <f t="shared" si="84"/>
        <v>Positive Margin</v>
      </c>
      <c r="BR74" s="143" t="s">
        <v>119</v>
      </c>
      <c r="BS74" s="125">
        <f t="shared" si="85"/>
        <v>1950</v>
      </c>
      <c r="BT74" s="144" t="str">
        <f t="shared" si="86"/>
        <v>Positive Margin at Inception</v>
      </c>
      <c r="BU74" s="145">
        <f t="shared" si="87"/>
        <v>0.5</v>
      </c>
      <c r="BV74" s="144" t="str">
        <f t="shared" si="88"/>
        <v>More than 2%</v>
      </c>
      <c r="BW74" s="125">
        <f t="shared" si="89"/>
        <v>0</v>
      </c>
      <c r="BX74" s="126">
        <f t="shared" si="90"/>
        <v>0</v>
      </c>
      <c r="BY74" s="125">
        <f t="shared" si="91"/>
        <v>0</v>
      </c>
      <c r="BZ74" s="146">
        <f t="shared" si="92"/>
        <v>0</v>
      </c>
      <c r="CA74" s="146">
        <f t="shared" si="93"/>
        <v>0</v>
      </c>
      <c r="CB74" s="127">
        <f t="shared" si="94"/>
        <v>0</v>
      </c>
      <c r="CC74" s="146" t="s">
        <v>397</v>
      </c>
      <c r="CD74" s="127">
        <v>0</v>
      </c>
      <c r="CE74" s="127" t="str">
        <f t="shared" si="95"/>
        <v>Apr-26</v>
      </c>
      <c r="CF74" s="127">
        <f t="shared" si="96"/>
        <v>1950</v>
      </c>
      <c r="CG74" s="127">
        <f t="shared" si="97"/>
        <v>3900</v>
      </c>
      <c r="CH74" s="127">
        <f t="shared" si="98"/>
        <v>4</v>
      </c>
      <c r="CI74" s="147" t="str">
        <f t="shared" si="99"/>
        <v>BG AHD</v>
      </c>
      <c r="CJ74" s="127">
        <v>0</v>
      </c>
      <c r="CK74" s="127">
        <v>0</v>
      </c>
      <c r="CL74" s="127">
        <f t="shared" si="100"/>
        <v>1950</v>
      </c>
      <c r="CM74" s="127">
        <f t="shared" si="101"/>
        <v>1950</v>
      </c>
      <c r="CN74" s="127">
        <f t="shared" si="102"/>
        <v>1950</v>
      </c>
      <c r="CO74" s="127">
        <f t="shared" si="103"/>
        <v>4602</v>
      </c>
      <c r="CP74" s="127">
        <f t="shared" si="104"/>
        <v>-2301</v>
      </c>
      <c r="CQ74" s="127">
        <f t="shared" si="105"/>
        <v>0</v>
      </c>
      <c r="CR74" s="127">
        <f t="shared" si="106"/>
        <v>0</v>
      </c>
      <c r="CS74" s="127">
        <f t="shared" si="107"/>
        <v>2301</v>
      </c>
      <c r="CT74" s="127" t="s">
        <v>361</v>
      </c>
      <c r="CU74" s="127" t="s">
        <v>361</v>
      </c>
      <c r="CV74" s="142" t="str">
        <f t="shared" si="108"/>
        <v>AAMCB5608A</v>
      </c>
      <c r="CW74" s="142" t="str">
        <f t="shared" si="109"/>
        <v>BBLPY2170E</v>
      </c>
    </row>
    <row r="75" spans="2:101" s="149" customFormat="1" ht="11.85" customHeight="1" x14ac:dyDescent="0.25">
      <c r="B75" s="120" t="str">
        <f t="shared" si="39"/>
        <v>Q1</v>
      </c>
      <c r="C75" s="121" t="str">
        <f t="shared" si="40"/>
        <v>Apr-26</v>
      </c>
      <c r="D75" s="122">
        <v>46135</v>
      </c>
      <c r="E75" s="123" t="s">
        <v>3356</v>
      </c>
      <c r="F75" s="123" t="s">
        <v>196</v>
      </c>
      <c r="G75" s="123" t="s">
        <v>198</v>
      </c>
      <c r="H75" s="124" t="s">
        <v>3357</v>
      </c>
      <c r="I75" s="122">
        <v>46135</v>
      </c>
      <c r="J75" s="123" t="s">
        <v>3358</v>
      </c>
      <c r="K75" s="122">
        <v>46135</v>
      </c>
      <c r="L75" s="123" t="s">
        <v>199</v>
      </c>
      <c r="M75" s="123" t="s">
        <v>399</v>
      </c>
      <c r="N75" s="124" t="s">
        <v>271</v>
      </c>
      <c r="O75" s="123">
        <v>470</v>
      </c>
      <c r="P75" s="124">
        <v>100</v>
      </c>
      <c r="Q75" s="125">
        <f t="shared" si="41"/>
        <v>47000</v>
      </c>
      <c r="R75" s="126">
        <v>0</v>
      </c>
      <c r="S75" s="125">
        <f t="shared" si="42"/>
        <v>470</v>
      </c>
      <c r="T75" s="126">
        <v>0</v>
      </c>
      <c r="U75" s="127">
        <v>0</v>
      </c>
      <c r="V75" s="128">
        <v>0</v>
      </c>
      <c r="W75" s="127">
        <v>0</v>
      </c>
      <c r="X75" s="129">
        <v>0</v>
      </c>
      <c r="Y75" s="127">
        <v>0</v>
      </c>
      <c r="Z75" s="127">
        <v>0</v>
      </c>
      <c r="AA75" s="126">
        <v>0</v>
      </c>
      <c r="AB75" s="130">
        <f t="shared" si="43"/>
        <v>0</v>
      </c>
      <c r="AC75" s="129">
        <v>0</v>
      </c>
      <c r="AD75" s="125">
        <f t="shared" si="44"/>
        <v>100</v>
      </c>
      <c r="AE75" s="144">
        <v>0</v>
      </c>
      <c r="AF75" s="127">
        <v>0</v>
      </c>
      <c r="AG75" s="131">
        <v>0</v>
      </c>
      <c r="AH75" s="127">
        <v>0</v>
      </c>
      <c r="AI75" s="128">
        <v>0</v>
      </c>
      <c r="AJ75" s="127">
        <v>0</v>
      </c>
      <c r="AK75" s="127">
        <v>0</v>
      </c>
      <c r="AL75" s="127">
        <v>0</v>
      </c>
      <c r="AM75" s="132">
        <f t="shared" si="45"/>
        <v>47000</v>
      </c>
      <c r="AN75" s="133">
        <v>46135</v>
      </c>
      <c r="AO75" s="134" t="s">
        <v>3387</v>
      </c>
      <c r="AP75" s="135" t="s">
        <v>234</v>
      </c>
      <c r="AQ75" s="136" t="s">
        <v>235</v>
      </c>
      <c r="AR75" s="136" t="s">
        <v>236</v>
      </c>
      <c r="AS75" s="123" t="s">
        <v>239</v>
      </c>
      <c r="AT75" s="137" t="s">
        <v>238</v>
      </c>
      <c r="AU75" s="137" t="s">
        <v>197</v>
      </c>
      <c r="AV75" s="138" t="s">
        <v>329</v>
      </c>
      <c r="AW75" s="136">
        <v>470</v>
      </c>
      <c r="AX75" s="138">
        <v>120</v>
      </c>
      <c r="AY75" s="136">
        <f t="shared" si="78"/>
        <v>56400</v>
      </c>
      <c r="AZ75" s="139" t="b">
        <f t="shared" si="79"/>
        <v>1</v>
      </c>
      <c r="BA75" s="125">
        <v>0</v>
      </c>
      <c r="BB75" s="140">
        <f t="shared" si="80"/>
        <v>470</v>
      </c>
      <c r="BC75" s="141">
        <v>0</v>
      </c>
      <c r="BD75" s="140" t="s">
        <v>107</v>
      </c>
      <c r="BE75" s="141">
        <v>0</v>
      </c>
      <c r="BF75" s="140">
        <v>0</v>
      </c>
      <c r="BG75" s="141">
        <v>0</v>
      </c>
      <c r="BH75" s="127">
        <v>0</v>
      </c>
      <c r="BI75" s="130">
        <v>0</v>
      </c>
      <c r="BJ75" s="128">
        <v>0</v>
      </c>
      <c r="BK75" s="125">
        <v>0</v>
      </c>
      <c r="BL75" s="136">
        <v>0</v>
      </c>
      <c r="BM75" s="127">
        <v>0</v>
      </c>
      <c r="BN75" s="142">
        <f t="shared" si="81"/>
        <v>0</v>
      </c>
      <c r="BO75" s="126">
        <f t="shared" si="82"/>
        <v>56400</v>
      </c>
      <c r="BP75" s="132">
        <f t="shared" si="83"/>
        <v>9400</v>
      </c>
      <c r="BQ75" s="141" t="str">
        <f t="shared" si="84"/>
        <v>Positive Margin</v>
      </c>
      <c r="BR75" s="143" t="s">
        <v>119</v>
      </c>
      <c r="BS75" s="125">
        <f t="shared" si="85"/>
        <v>9400</v>
      </c>
      <c r="BT75" s="144" t="str">
        <f t="shared" si="86"/>
        <v>Positive Margin at Inception</v>
      </c>
      <c r="BU75" s="145">
        <f t="shared" si="87"/>
        <v>0.16666666666666666</v>
      </c>
      <c r="BV75" s="144" t="str">
        <f t="shared" si="88"/>
        <v>More than 2%</v>
      </c>
      <c r="BW75" s="125">
        <f t="shared" si="89"/>
        <v>0</v>
      </c>
      <c r="BX75" s="126">
        <f t="shared" si="90"/>
        <v>0</v>
      </c>
      <c r="BY75" s="125">
        <f t="shared" si="91"/>
        <v>0</v>
      </c>
      <c r="BZ75" s="146">
        <f t="shared" si="92"/>
        <v>0</v>
      </c>
      <c r="CA75" s="146">
        <f t="shared" si="93"/>
        <v>0</v>
      </c>
      <c r="CB75" s="127">
        <f t="shared" si="94"/>
        <v>0</v>
      </c>
      <c r="CC75" s="146" t="s">
        <v>397</v>
      </c>
      <c r="CD75" s="127">
        <v>0</v>
      </c>
      <c r="CE75" s="127" t="str">
        <f t="shared" si="95"/>
        <v>Apr-26</v>
      </c>
      <c r="CF75" s="127">
        <f t="shared" si="96"/>
        <v>47000</v>
      </c>
      <c r="CG75" s="127">
        <f t="shared" si="97"/>
        <v>56400</v>
      </c>
      <c r="CH75" s="127">
        <f t="shared" si="98"/>
        <v>4</v>
      </c>
      <c r="CI75" s="147" t="str">
        <f t="shared" si="99"/>
        <v>BG AHD</v>
      </c>
      <c r="CJ75" s="127">
        <v>0</v>
      </c>
      <c r="CK75" s="127">
        <v>0</v>
      </c>
      <c r="CL75" s="127">
        <f t="shared" si="100"/>
        <v>9400</v>
      </c>
      <c r="CM75" s="127">
        <f t="shared" si="101"/>
        <v>9400</v>
      </c>
      <c r="CN75" s="127">
        <f t="shared" si="102"/>
        <v>9400</v>
      </c>
      <c r="CO75" s="127">
        <f t="shared" si="103"/>
        <v>66552</v>
      </c>
      <c r="CP75" s="127">
        <f t="shared" si="104"/>
        <v>-55460</v>
      </c>
      <c r="CQ75" s="127">
        <f t="shared" si="105"/>
        <v>0</v>
      </c>
      <c r="CR75" s="127">
        <f t="shared" si="106"/>
        <v>0</v>
      </c>
      <c r="CS75" s="127">
        <f t="shared" si="107"/>
        <v>11092</v>
      </c>
      <c r="CT75" s="127" t="s">
        <v>361</v>
      </c>
      <c r="CU75" s="127" t="s">
        <v>361</v>
      </c>
      <c r="CV75" s="142" t="str">
        <f t="shared" si="108"/>
        <v>AAMCB5608A</v>
      </c>
      <c r="CW75" s="142" t="str">
        <f t="shared" si="109"/>
        <v>BJHPB3107J</v>
      </c>
    </row>
    <row r="76" spans="2:101" s="149" customFormat="1" ht="11.85" customHeight="1" x14ac:dyDescent="0.25">
      <c r="B76" s="120" t="str">
        <f t="shared" si="39"/>
        <v>Q1</v>
      </c>
      <c r="C76" s="121" t="str">
        <f t="shared" si="40"/>
        <v>Apr-26</v>
      </c>
      <c r="D76" s="122">
        <v>46135</v>
      </c>
      <c r="E76" s="123" t="s">
        <v>3359</v>
      </c>
      <c r="F76" s="123" t="s">
        <v>196</v>
      </c>
      <c r="G76" s="123" t="s">
        <v>198</v>
      </c>
      <c r="H76" s="124" t="s">
        <v>3360</v>
      </c>
      <c r="I76" s="122">
        <v>46135</v>
      </c>
      <c r="J76" s="123" t="s">
        <v>3361</v>
      </c>
      <c r="K76" s="122">
        <v>46136</v>
      </c>
      <c r="L76" s="123" t="s">
        <v>199</v>
      </c>
      <c r="M76" s="123" t="s">
        <v>1941</v>
      </c>
      <c r="N76" s="124" t="s">
        <v>3362</v>
      </c>
      <c r="O76" s="123">
        <v>5220</v>
      </c>
      <c r="P76" s="124">
        <v>24.5</v>
      </c>
      <c r="Q76" s="125">
        <f t="shared" si="41"/>
        <v>127890</v>
      </c>
      <c r="R76" s="126">
        <v>0</v>
      </c>
      <c r="S76" s="125">
        <f t="shared" si="42"/>
        <v>5220</v>
      </c>
      <c r="T76" s="126">
        <v>0</v>
      </c>
      <c r="U76" s="127">
        <v>0</v>
      </c>
      <c r="V76" s="128">
        <v>0</v>
      </c>
      <c r="W76" s="127">
        <v>0</v>
      </c>
      <c r="X76" s="129">
        <v>0</v>
      </c>
      <c r="Y76" s="127">
        <v>0</v>
      </c>
      <c r="Z76" s="127">
        <v>0</v>
      </c>
      <c r="AA76" s="126">
        <v>0</v>
      </c>
      <c r="AB76" s="130">
        <f t="shared" si="43"/>
        <v>0</v>
      </c>
      <c r="AC76" s="129">
        <v>0</v>
      </c>
      <c r="AD76" s="125">
        <f t="shared" si="44"/>
        <v>24.5</v>
      </c>
      <c r="AE76" s="144">
        <v>0</v>
      </c>
      <c r="AF76" s="127">
        <v>0</v>
      </c>
      <c r="AG76" s="131">
        <v>0</v>
      </c>
      <c r="AH76" s="127">
        <v>0</v>
      </c>
      <c r="AI76" s="128">
        <v>0</v>
      </c>
      <c r="AJ76" s="127">
        <v>0</v>
      </c>
      <c r="AK76" s="127">
        <v>0</v>
      </c>
      <c r="AL76" s="127">
        <v>0</v>
      </c>
      <c r="AM76" s="132">
        <f t="shared" si="45"/>
        <v>127890</v>
      </c>
      <c r="AN76" s="133">
        <v>46136</v>
      </c>
      <c r="AO76" s="134" t="s">
        <v>3394</v>
      </c>
      <c r="AP76" s="135" t="s">
        <v>1937</v>
      </c>
      <c r="AQ76" s="136" t="s">
        <v>1938</v>
      </c>
      <c r="AR76" s="136" t="s">
        <v>1939</v>
      </c>
      <c r="AS76" s="123" t="s">
        <v>2976</v>
      </c>
      <c r="AT76" s="137" t="s">
        <v>1940</v>
      </c>
      <c r="AU76" s="137" t="s">
        <v>197</v>
      </c>
      <c r="AV76" s="138" t="s">
        <v>329</v>
      </c>
      <c r="AW76" s="136">
        <v>5220</v>
      </c>
      <c r="AX76" s="138">
        <v>25</v>
      </c>
      <c r="AY76" s="136">
        <f t="shared" si="78"/>
        <v>130500</v>
      </c>
      <c r="AZ76" s="139" t="b">
        <f t="shared" si="79"/>
        <v>1</v>
      </c>
      <c r="BA76" s="125">
        <v>0</v>
      </c>
      <c r="BB76" s="140">
        <f t="shared" si="80"/>
        <v>5220</v>
      </c>
      <c r="BC76" s="141">
        <v>0</v>
      </c>
      <c r="BD76" s="140" t="s">
        <v>107</v>
      </c>
      <c r="BE76" s="141">
        <v>0</v>
      </c>
      <c r="BF76" s="140">
        <v>0</v>
      </c>
      <c r="BG76" s="141">
        <v>0</v>
      </c>
      <c r="BH76" s="127">
        <v>0</v>
      </c>
      <c r="BI76" s="130">
        <v>0</v>
      </c>
      <c r="BJ76" s="128">
        <v>0</v>
      </c>
      <c r="BK76" s="125">
        <v>0</v>
      </c>
      <c r="BL76" s="136">
        <v>0</v>
      </c>
      <c r="BM76" s="127">
        <v>0</v>
      </c>
      <c r="BN76" s="142">
        <f t="shared" si="81"/>
        <v>0</v>
      </c>
      <c r="BO76" s="126">
        <f t="shared" si="82"/>
        <v>130500</v>
      </c>
      <c r="BP76" s="132">
        <f t="shared" si="83"/>
        <v>2610</v>
      </c>
      <c r="BQ76" s="141" t="str">
        <f t="shared" si="84"/>
        <v>Positive Margin</v>
      </c>
      <c r="BR76" s="143" t="s">
        <v>119</v>
      </c>
      <c r="BS76" s="125">
        <f t="shared" si="85"/>
        <v>2610</v>
      </c>
      <c r="BT76" s="144" t="str">
        <f t="shared" si="86"/>
        <v>Positive Margin at Inception</v>
      </c>
      <c r="BU76" s="145">
        <f t="shared" si="87"/>
        <v>0.02</v>
      </c>
      <c r="BV76" s="144" t="str">
        <f t="shared" si="88"/>
        <v>1% - 2%</v>
      </c>
      <c r="BW76" s="125">
        <f t="shared" si="89"/>
        <v>0</v>
      </c>
      <c r="BX76" s="126">
        <f t="shared" si="90"/>
        <v>0</v>
      </c>
      <c r="BY76" s="125">
        <f t="shared" si="91"/>
        <v>0</v>
      </c>
      <c r="BZ76" s="146">
        <f t="shared" si="92"/>
        <v>0</v>
      </c>
      <c r="CA76" s="146">
        <f t="shared" si="93"/>
        <v>0</v>
      </c>
      <c r="CB76" s="127">
        <f t="shared" si="94"/>
        <v>0</v>
      </c>
      <c r="CC76" s="146" t="s">
        <v>397</v>
      </c>
      <c r="CD76" s="127">
        <v>0</v>
      </c>
      <c r="CE76" s="127" t="str">
        <f t="shared" si="95"/>
        <v>Apr-26</v>
      </c>
      <c r="CF76" s="127">
        <f t="shared" si="96"/>
        <v>127890</v>
      </c>
      <c r="CG76" s="127">
        <f t="shared" si="97"/>
        <v>130500</v>
      </c>
      <c r="CH76" s="127">
        <f t="shared" si="98"/>
        <v>4</v>
      </c>
      <c r="CI76" s="147" t="str">
        <f t="shared" si="99"/>
        <v>BG AHD</v>
      </c>
      <c r="CJ76" s="127">
        <v>0</v>
      </c>
      <c r="CK76" s="127">
        <v>0</v>
      </c>
      <c r="CL76" s="127">
        <f t="shared" si="100"/>
        <v>2610</v>
      </c>
      <c r="CM76" s="127">
        <f t="shared" si="101"/>
        <v>2610</v>
      </c>
      <c r="CN76" s="127">
        <f t="shared" si="102"/>
        <v>2610</v>
      </c>
      <c r="CO76" s="127">
        <f t="shared" si="103"/>
        <v>153990</v>
      </c>
      <c r="CP76" s="127">
        <f t="shared" si="104"/>
        <v>-150910.19999999998</v>
      </c>
      <c r="CQ76" s="127">
        <f t="shared" si="105"/>
        <v>0</v>
      </c>
      <c r="CR76" s="127">
        <f t="shared" si="106"/>
        <v>0</v>
      </c>
      <c r="CS76" s="127">
        <f t="shared" si="107"/>
        <v>3079.8000000000175</v>
      </c>
      <c r="CT76" s="127" t="s">
        <v>361</v>
      </c>
      <c r="CU76" s="127" t="s">
        <v>361</v>
      </c>
      <c r="CV76" s="142" t="str">
        <f t="shared" si="108"/>
        <v>AAMCB5608A</v>
      </c>
      <c r="CW76" s="142" t="str">
        <f t="shared" si="109"/>
        <v>AFDPY5902R</v>
      </c>
    </row>
    <row r="77" spans="2:101" s="149" customFormat="1" ht="11.85" customHeight="1" x14ac:dyDescent="0.25">
      <c r="B77" s="120" t="str">
        <f t="shared" si="39"/>
        <v>Q1</v>
      </c>
      <c r="C77" s="121" t="str">
        <f t="shared" si="40"/>
        <v>Apr-26</v>
      </c>
      <c r="D77" s="122">
        <v>46136</v>
      </c>
      <c r="E77" s="123" t="s">
        <v>3363</v>
      </c>
      <c r="F77" s="123" t="s">
        <v>196</v>
      </c>
      <c r="G77" s="123" t="s">
        <v>198</v>
      </c>
      <c r="H77" s="124" t="s">
        <v>3364</v>
      </c>
      <c r="I77" s="122">
        <v>46136</v>
      </c>
      <c r="J77" s="123" t="s">
        <v>3365</v>
      </c>
      <c r="K77" s="122">
        <v>46136</v>
      </c>
      <c r="L77" s="123" t="s">
        <v>199</v>
      </c>
      <c r="M77" s="123" t="s">
        <v>3137</v>
      </c>
      <c r="N77" s="124" t="s">
        <v>3366</v>
      </c>
      <c r="O77" s="123">
        <v>1490</v>
      </c>
      <c r="P77" s="124">
        <v>2.5</v>
      </c>
      <c r="Q77" s="125">
        <f t="shared" si="41"/>
        <v>3725</v>
      </c>
      <c r="R77" s="126">
        <v>0</v>
      </c>
      <c r="S77" s="125">
        <f t="shared" si="42"/>
        <v>1490</v>
      </c>
      <c r="T77" s="126">
        <v>0</v>
      </c>
      <c r="U77" s="127">
        <v>0</v>
      </c>
      <c r="V77" s="128">
        <v>0</v>
      </c>
      <c r="W77" s="127">
        <v>0</v>
      </c>
      <c r="X77" s="129">
        <v>0</v>
      </c>
      <c r="Y77" s="127">
        <v>0</v>
      </c>
      <c r="Z77" s="127">
        <v>0</v>
      </c>
      <c r="AA77" s="126">
        <v>0</v>
      </c>
      <c r="AB77" s="130">
        <f t="shared" si="43"/>
        <v>0</v>
      </c>
      <c r="AC77" s="129">
        <v>0</v>
      </c>
      <c r="AD77" s="125">
        <f t="shared" si="44"/>
        <v>2.5</v>
      </c>
      <c r="AE77" s="144">
        <v>0</v>
      </c>
      <c r="AF77" s="127">
        <v>0</v>
      </c>
      <c r="AG77" s="131">
        <v>0</v>
      </c>
      <c r="AH77" s="127">
        <v>0</v>
      </c>
      <c r="AI77" s="128">
        <v>0</v>
      </c>
      <c r="AJ77" s="127">
        <v>0</v>
      </c>
      <c r="AK77" s="127">
        <v>0</v>
      </c>
      <c r="AL77" s="127">
        <v>0</v>
      </c>
      <c r="AM77" s="132">
        <f t="shared" si="45"/>
        <v>3725</v>
      </c>
      <c r="AN77" s="133">
        <v>46136</v>
      </c>
      <c r="AO77" s="134" t="s">
        <v>3403</v>
      </c>
      <c r="AP77" s="135" t="s">
        <v>1937</v>
      </c>
      <c r="AQ77" s="136" t="s">
        <v>1938</v>
      </c>
      <c r="AR77" s="136" t="s">
        <v>1939</v>
      </c>
      <c r="AS77" s="123" t="s">
        <v>2976</v>
      </c>
      <c r="AT77" s="137" t="s">
        <v>1940</v>
      </c>
      <c r="AU77" s="137" t="s">
        <v>197</v>
      </c>
      <c r="AV77" s="138" t="s">
        <v>329</v>
      </c>
      <c r="AW77" s="136">
        <v>1490</v>
      </c>
      <c r="AX77" s="138">
        <v>3</v>
      </c>
      <c r="AY77" s="136">
        <f t="shared" si="78"/>
        <v>4470</v>
      </c>
      <c r="AZ77" s="139" t="b">
        <f t="shared" si="79"/>
        <v>1</v>
      </c>
      <c r="BA77" s="125">
        <v>0</v>
      </c>
      <c r="BB77" s="140">
        <f t="shared" si="80"/>
        <v>1490</v>
      </c>
      <c r="BC77" s="141">
        <v>0</v>
      </c>
      <c r="BD77" s="140" t="s">
        <v>107</v>
      </c>
      <c r="BE77" s="141">
        <v>0</v>
      </c>
      <c r="BF77" s="140">
        <v>0</v>
      </c>
      <c r="BG77" s="141">
        <v>0</v>
      </c>
      <c r="BH77" s="127">
        <v>0</v>
      </c>
      <c r="BI77" s="130">
        <v>0</v>
      </c>
      <c r="BJ77" s="128">
        <v>0</v>
      </c>
      <c r="BK77" s="125">
        <v>0</v>
      </c>
      <c r="BL77" s="136">
        <v>0</v>
      </c>
      <c r="BM77" s="127">
        <v>0</v>
      </c>
      <c r="BN77" s="142">
        <f t="shared" si="81"/>
        <v>0</v>
      </c>
      <c r="BO77" s="126">
        <f t="shared" si="82"/>
        <v>4470</v>
      </c>
      <c r="BP77" s="132">
        <f t="shared" si="83"/>
        <v>745</v>
      </c>
      <c r="BQ77" s="141" t="str">
        <f t="shared" si="84"/>
        <v>Positive Margin</v>
      </c>
      <c r="BR77" s="143" t="s">
        <v>119</v>
      </c>
      <c r="BS77" s="125">
        <f t="shared" si="85"/>
        <v>745</v>
      </c>
      <c r="BT77" s="144" t="str">
        <f t="shared" si="86"/>
        <v>Positive Margin at Inception</v>
      </c>
      <c r="BU77" s="145">
        <f t="shared" si="87"/>
        <v>0.16666666666666666</v>
      </c>
      <c r="BV77" s="144" t="str">
        <f t="shared" si="88"/>
        <v>More than 2%</v>
      </c>
      <c r="BW77" s="125">
        <f t="shared" si="89"/>
        <v>0</v>
      </c>
      <c r="BX77" s="126">
        <f t="shared" si="90"/>
        <v>0</v>
      </c>
      <c r="BY77" s="125">
        <f t="shared" si="91"/>
        <v>0</v>
      </c>
      <c r="BZ77" s="146">
        <f t="shared" si="92"/>
        <v>0</v>
      </c>
      <c r="CA77" s="146">
        <f t="shared" si="93"/>
        <v>0</v>
      </c>
      <c r="CB77" s="127">
        <f t="shared" si="94"/>
        <v>0</v>
      </c>
      <c r="CC77" s="146" t="s">
        <v>397</v>
      </c>
      <c r="CD77" s="127">
        <v>0</v>
      </c>
      <c r="CE77" s="127" t="str">
        <f t="shared" si="95"/>
        <v>Apr-26</v>
      </c>
      <c r="CF77" s="127">
        <f t="shared" si="96"/>
        <v>3725</v>
      </c>
      <c r="CG77" s="127">
        <f t="shared" si="97"/>
        <v>4470</v>
      </c>
      <c r="CH77" s="127">
        <f t="shared" si="98"/>
        <v>4</v>
      </c>
      <c r="CI77" s="147" t="str">
        <f t="shared" si="99"/>
        <v>BG AHD</v>
      </c>
      <c r="CJ77" s="127">
        <v>0</v>
      </c>
      <c r="CK77" s="127">
        <v>0</v>
      </c>
      <c r="CL77" s="127">
        <f t="shared" si="100"/>
        <v>745</v>
      </c>
      <c r="CM77" s="127">
        <f t="shared" si="101"/>
        <v>745</v>
      </c>
      <c r="CN77" s="127">
        <f t="shared" si="102"/>
        <v>745</v>
      </c>
      <c r="CO77" s="127">
        <f t="shared" si="103"/>
        <v>5274.5999999999995</v>
      </c>
      <c r="CP77" s="127">
        <f t="shared" si="104"/>
        <v>-4395.5</v>
      </c>
      <c r="CQ77" s="127">
        <f t="shared" si="105"/>
        <v>0</v>
      </c>
      <c r="CR77" s="127">
        <f t="shared" si="106"/>
        <v>0</v>
      </c>
      <c r="CS77" s="127">
        <f t="shared" si="107"/>
        <v>879.09999999999945</v>
      </c>
      <c r="CT77" s="127" t="s">
        <v>361</v>
      </c>
      <c r="CU77" s="127" t="s">
        <v>361</v>
      </c>
      <c r="CV77" s="142" t="str">
        <f t="shared" si="108"/>
        <v>AAMCB5608A</v>
      </c>
      <c r="CW77" s="142" t="str">
        <f t="shared" si="109"/>
        <v>AFDPY5902R</v>
      </c>
    </row>
    <row r="78" spans="2:101" s="149" customFormat="1" ht="11.85" customHeight="1" x14ac:dyDescent="0.25">
      <c r="B78" s="120" t="str">
        <f t="shared" si="39"/>
        <v>Q1</v>
      </c>
      <c r="C78" s="121" t="str">
        <f t="shared" si="40"/>
        <v>Apr-26</v>
      </c>
      <c r="D78" s="122">
        <v>46135</v>
      </c>
      <c r="E78" s="123" t="s">
        <v>3367</v>
      </c>
      <c r="F78" s="123" t="s">
        <v>196</v>
      </c>
      <c r="G78" s="123" t="s">
        <v>198</v>
      </c>
      <c r="H78" s="124" t="s">
        <v>3368</v>
      </c>
      <c r="I78" s="122">
        <v>46135</v>
      </c>
      <c r="J78" s="123" t="s">
        <v>3369</v>
      </c>
      <c r="K78" s="122">
        <v>46136</v>
      </c>
      <c r="L78" s="123" t="s">
        <v>199</v>
      </c>
      <c r="M78" s="123" t="s">
        <v>3137</v>
      </c>
      <c r="N78" s="124" t="s">
        <v>3370</v>
      </c>
      <c r="O78" s="123">
        <v>2290</v>
      </c>
      <c r="P78" s="124">
        <v>11</v>
      </c>
      <c r="Q78" s="125">
        <f t="shared" si="41"/>
        <v>25190</v>
      </c>
      <c r="R78" s="126">
        <v>0</v>
      </c>
      <c r="S78" s="125">
        <f t="shared" si="42"/>
        <v>2290</v>
      </c>
      <c r="T78" s="126">
        <v>0</v>
      </c>
      <c r="U78" s="127">
        <v>0</v>
      </c>
      <c r="V78" s="128">
        <v>0</v>
      </c>
      <c r="W78" s="127">
        <v>0</v>
      </c>
      <c r="X78" s="129">
        <v>0</v>
      </c>
      <c r="Y78" s="127">
        <v>0</v>
      </c>
      <c r="Z78" s="127">
        <v>0</v>
      </c>
      <c r="AA78" s="126">
        <v>0</v>
      </c>
      <c r="AB78" s="130">
        <f t="shared" si="43"/>
        <v>0</v>
      </c>
      <c r="AC78" s="129">
        <v>0</v>
      </c>
      <c r="AD78" s="125">
        <f t="shared" si="44"/>
        <v>11</v>
      </c>
      <c r="AE78" s="144">
        <v>0</v>
      </c>
      <c r="AF78" s="127">
        <v>0</v>
      </c>
      <c r="AG78" s="131">
        <v>0</v>
      </c>
      <c r="AH78" s="127">
        <v>0</v>
      </c>
      <c r="AI78" s="128">
        <v>0</v>
      </c>
      <c r="AJ78" s="127">
        <v>0</v>
      </c>
      <c r="AK78" s="127">
        <v>0</v>
      </c>
      <c r="AL78" s="127">
        <v>0</v>
      </c>
      <c r="AM78" s="132">
        <f t="shared" si="45"/>
        <v>25190</v>
      </c>
      <c r="AN78" s="133">
        <v>46136</v>
      </c>
      <c r="AO78" s="134" t="s">
        <v>3402</v>
      </c>
      <c r="AP78" s="135" t="s">
        <v>1937</v>
      </c>
      <c r="AQ78" s="136" t="s">
        <v>1938</v>
      </c>
      <c r="AR78" s="136" t="s">
        <v>1939</v>
      </c>
      <c r="AS78" s="123" t="s">
        <v>2976</v>
      </c>
      <c r="AT78" s="137" t="s">
        <v>1940</v>
      </c>
      <c r="AU78" s="137" t="s">
        <v>197</v>
      </c>
      <c r="AV78" s="138" t="s">
        <v>329</v>
      </c>
      <c r="AW78" s="136">
        <v>2290</v>
      </c>
      <c r="AX78" s="138">
        <v>12</v>
      </c>
      <c r="AY78" s="136">
        <f t="shared" si="78"/>
        <v>27480</v>
      </c>
      <c r="AZ78" s="139" t="b">
        <f t="shared" si="79"/>
        <v>1</v>
      </c>
      <c r="BA78" s="125">
        <v>0</v>
      </c>
      <c r="BB78" s="140">
        <f t="shared" si="80"/>
        <v>2290</v>
      </c>
      <c r="BC78" s="141">
        <v>0</v>
      </c>
      <c r="BD78" s="140" t="s">
        <v>107</v>
      </c>
      <c r="BE78" s="141">
        <v>0</v>
      </c>
      <c r="BF78" s="140">
        <v>0</v>
      </c>
      <c r="BG78" s="141">
        <v>0</v>
      </c>
      <c r="BH78" s="127">
        <v>0</v>
      </c>
      <c r="BI78" s="130">
        <v>0</v>
      </c>
      <c r="BJ78" s="128">
        <v>0</v>
      </c>
      <c r="BK78" s="125">
        <v>0</v>
      </c>
      <c r="BL78" s="136">
        <v>0</v>
      </c>
      <c r="BM78" s="127">
        <v>0</v>
      </c>
      <c r="BN78" s="142">
        <f t="shared" si="81"/>
        <v>0</v>
      </c>
      <c r="BO78" s="126">
        <f t="shared" si="82"/>
        <v>27480</v>
      </c>
      <c r="BP78" s="132">
        <f t="shared" si="83"/>
        <v>2290</v>
      </c>
      <c r="BQ78" s="141" t="str">
        <f t="shared" si="84"/>
        <v>Positive Margin</v>
      </c>
      <c r="BR78" s="143" t="s">
        <v>119</v>
      </c>
      <c r="BS78" s="125">
        <f t="shared" si="85"/>
        <v>2290</v>
      </c>
      <c r="BT78" s="144" t="str">
        <f t="shared" si="86"/>
        <v>Positive Margin at Inception</v>
      </c>
      <c r="BU78" s="145">
        <f t="shared" si="87"/>
        <v>8.3333333333333329E-2</v>
      </c>
      <c r="BV78" s="144" t="str">
        <f t="shared" si="88"/>
        <v>More than 2%</v>
      </c>
      <c r="BW78" s="125">
        <f t="shared" si="89"/>
        <v>0</v>
      </c>
      <c r="BX78" s="126">
        <f t="shared" si="90"/>
        <v>0</v>
      </c>
      <c r="BY78" s="125">
        <f t="shared" si="91"/>
        <v>0</v>
      </c>
      <c r="BZ78" s="146">
        <f t="shared" si="92"/>
        <v>0</v>
      </c>
      <c r="CA78" s="146">
        <f t="shared" si="93"/>
        <v>0</v>
      </c>
      <c r="CB78" s="127">
        <f t="shared" si="94"/>
        <v>0</v>
      </c>
      <c r="CC78" s="146" t="s">
        <v>397</v>
      </c>
      <c r="CD78" s="127">
        <v>0</v>
      </c>
      <c r="CE78" s="127" t="str">
        <f t="shared" si="95"/>
        <v>Apr-26</v>
      </c>
      <c r="CF78" s="127">
        <f t="shared" si="96"/>
        <v>25190</v>
      </c>
      <c r="CG78" s="127">
        <f t="shared" si="97"/>
        <v>27480</v>
      </c>
      <c r="CH78" s="127">
        <f t="shared" si="98"/>
        <v>4</v>
      </c>
      <c r="CI78" s="147" t="str">
        <f t="shared" si="99"/>
        <v>BG AHD</v>
      </c>
      <c r="CJ78" s="127">
        <v>0</v>
      </c>
      <c r="CK78" s="127">
        <v>0</v>
      </c>
      <c r="CL78" s="127">
        <f t="shared" si="100"/>
        <v>2290</v>
      </c>
      <c r="CM78" s="127">
        <f t="shared" si="101"/>
        <v>2290</v>
      </c>
      <c r="CN78" s="127">
        <f t="shared" si="102"/>
        <v>2290</v>
      </c>
      <c r="CO78" s="127">
        <f t="shared" si="103"/>
        <v>32426.399999999998</v>
      </c>
      <c r="CP78" s="127">
        <f t="shared" si="104"/>
        <v>-29724.199999999997</v>
      </c>
      <c r="CQ78" s="127">
        <f t="shared" si="105"/>
        <v>0</v>
      </c>
      <c r="CR78" s="127">
        <f t="shared" si="106"/>
        <v>0</v>
      </c>
      <c r="CS78" s="127">
        <f t="shared" si="107"/>
        <v>2702.2000000000007</v>
      </c>
      <c r="CT78" s="127" t="s">
        <v>361</v>
      </c>
      <c r="CU78" s="127" t="s">
        <v>361</v>
      </c>
      <c r="CV78" s="142" t="str">
        <f t="shared" si="108"/>
        <v>AAMCB5608A</v>
      </c>
      <c r="CW78" s="142" t="str">
        <f t="shared" si="109"/>
        <v>AFDPY5902R</v>
      </c>
    </row>
    <row r="79" spans="2:101" s="149" customFormat="1" ht="11.85" customHeight="1" x14ac:dyDescent="0.25">
      <c r="B79" s="120" t="str">
        <f t="shared" si="39"/>
        <v>Q1</v>
      </c>
      <c r="C79" s="121" t="str">
        <f t="shared" si="40"/>
        <v>Apr-26</v>
      </c>
      <c r="D79" s="122">
        <v>46136</v>
      </c>
      <c r="E79" s="123" t="s">
        <v>3371</v>
      </c>
      <c r="F79" s="123" t="s">
        <v>196</v>
      </c>
      <c r="G79" s="123" t="s">
        <v>198</v>
      </c>
      <c r="H79" s="124" t="s">
        <v>3372</v>
      </c>
      <c r="I79" s="122">
        <v>46136</v>
      </c>
      <c r="J79" s="123" t="s">
        <v>3373</v>
      </c>
      <c r="K79" s="122">
        <v>46136</v>
      </c>
      <c r="L79" s="123" t="s">
        <v>199</v>
      </c>
      <c r="M79" s="123" t="s">
        <v>3374</v>
      </c>
      <c r="N79" s="124" t="s">
        <v>3375</v>
      </c>
      <c r="O79" s="123">
        <v>141</v>
      </c>
      <c r="P79" s="124">
        <v>350</v>
      </c>
      <c r="Q79" s="125">
        <f t="shared" si="41"/>
        <v>49350</v>
      </c>
      <c r="R79" s="126">
        <v>0</v>
      </c>
      <c r="S79" s="125">
        <f t="shared" si="42"/>
        <v>141</v>
      </c>
      <c r="T79" s="126">
        <v>0</v>
      </c>
      <c r="U79" s="127">
        <v>0</v>
      </c>
      <c r="V79" s="128">
        <v>0</v>
      </c>
      <c r="W79" s="127">
        <v>0</v>
      </c>
      <c r="X79" s="129">
        <v>0</v>
      </c>
      <c r="Y79" s="127">
        <v>0</v>
      </c>
      <c r="Z79" s="127">
        <v>0</v>
      </c>
      <c r="AA79" s="126">
        <v>0</v>
      </c>
      <c r="AB79" s="130">
        <f t="shared" si="43"/>
        <v>0</v>
      </c>
      <c r="AC79" s="129">
        <v>0</v>
      </c>
      <c r="AD79" s="125">
        <f t="shared" si="44"/>
        <v>350</v>
      </c>
      <c r="AE79" s="144">
        <v>0</v>
      </c>
      <c r="AF79" s="127">
        <v>0</v>
      </c>
      <c r="AG79" s="131">
        <v>0</v>
      </c>
      <c r="AH79" s="127">
        <v>0</v>
      </c>
      <c r="AI79" s="128">
        <v>0</v>
      </c>
      <c r="AJ79" s="127">
        <v>0</v>
      </c>
      <c r="AK79" s="127">
        <v>0</v>
      </c>
      <c r="AL79" s="127">
        <v>0</v>
      </c>
      <c r="AM79" s="132">
        <f t="shared" si="45"/>
        <v>49350</v>
      </c>
      <c r="AN79" s="133">
        <v>46136</v>
      </c>
      <c r="AO79" s="134" t="s">
        <v>3404</v>
      </c>
      <c r="AP79" s="135" t="s">
        <v>3405</v>
      </c>
      <c r="AQ79" s="136" t="s">
        <v>431</v>
      </c>
      <c r="AR79" s="136" t="s">
        <v>432</v>
      </c>
      <c r="AS79" s="123" t="s">
        <v>3406</v>
      </c>
      <c r="AT79" s="137" t="s">
        <v>3407</v>
      </c>
      <c r="AU79" s="137" t="s">
        <v>197</v>
      </c>
      <c r="AV79" s="138" t="s">
        <v>329</v>
      </c>
      <c r="AW79" s="136">
        <v>141</v>
      </c>
      <c r="AX79" s="138">
        <v>400</v>
      </c>
      <c r="AY79" s="136">
        <f t="shared" si="78"/>
        <v>56400</v>
      </c>
      <c r="AZ79" s="139" t="b">
        <f t="shared" si="79"/>
        <v>1</v>
      </c>
      <c r="BA79" s="125">
        <v>0</v>
      </c>
      <c r="BB79" s="140">
        <f t="shared" si="80"/>
        <v>141</v>
      </c>
      <c r="BC79" s="141">
        <v>0</v>
      </c>
      <c r="BD79" s="140" t="s">
        <v>107</v>
      </c>
      <c r="BE79" s="141">
        <v>0</v>
      </c>
      <c r="BF79" s="140">
        <v>0</v>
      </c>
      <c r="BG79" s="141">
        <v>0</v>
      </c>
      <c r="BH79" s="127">
        <v>0</v>
      </c>
      <c r="BI79" s="130">
        <v>0</v>
      </c>
      <c r="BJ79" s="128">
        <v>0</v>
      </c>
      <c r="BK79" s="125">
        <v>0</v>
      </c>
      <c r="BL79" s="136">
        <v>0</v>
      </c>
      <c r="BM79" s="127">
        <v>0</v>
      </c>
      <c r="BN79" s="142">
        <f t="shared" si="81"/>
        <v>0</v>
      </c>
      <c r="BO79" s="126">
        <f t="shared" si="82"/>
        <v>56400</v>
      </c>
      <c r="BP79" s="132">
        <f t="shared" si="83"/>
        <v>7050</v>
      </c>
      <c r="BQ79" s="141" t="str">
        <f t="shared" si="84"/>
        <v>Positive Margin</v>
      </c>
      <c r="BR79" s="143" t="s">
        <v>119</v>
      </c>
      <c r="BS79" s="125">
        <f t="shared" si="85"/>
        <v>7050</v>
      </c>
      <c r="BT79" s="144" t="str">
        <f t="shared" si="86"/>
        <v>Positive Margin at Inception</v>
      </c>
      <c r="BU79" s="145">
        <f t="shared" si="87"/>
        <v>0.125</v>
      </c>
      <c r="BV79" s="144" t="str">
        <f t="shared" si="88"/>
        <v>More than 2%</v>
      </c>
      <c r="BW79" s="125">
        <f t="shared" si="89"/>
        <v>0</v>
      </c>
      <c r="BX79" s="126">
        <f t="shared" si="90"/>
        <v>0</v>
      </c>
      <c r="BY79" s="125">
        <f t="shared" si="91"/>
        <v>0</v>
      </c>
      <c r="BZ79" s="146">
        <f t="shared" si="92"/>
        <v>0</v>
      </c>
      <c r="CA79" s="146">
        <f t="shared" si="93"/>
        <v>0</v>
      </c>
      <c r="CB79" s="127">
        <f t="shared" si="94"/>
        <v>0</v>
      </c>
      <c r="CC79" s="146" t="s">
        <v>397</v>
      </c>
      <c r="CD79" s="127">
        <v>0</v>
      </c>
      <c r="CE79" s="127" t="str">
        <f t="shared" si="95"/>
        <v>Apr-26</v>
      </c>
      <c r="CF79" s="127">
        <f t="shared" si="96"/>
        <v>49350</v>
      </c>
      <c r="CG79" s="127">
        <f t="shared" si="97"/>
        <v>56400</v>
      </c>
      <c r="CH79" s="127">
        <f t="shared" si="98"/>
        <v>4</v>
      </c>
      <c r="CI79" s="147" t="str">
        <f t="shared" si="99"/>
        <v>BG AHD</v>
      </c>
      <c r="CJ79" s="127">
        <v>0</v>
      </c>
      <c r="CK79" s="127">
        <v>0</v>
      </c>
      <c r="CL79" s="127">
        <f t="shared" si="100"/>
        <v>7050</v>
      </c>
      <c r="CM79" s="127">
        <f t="shared" si="101"/>
        <v>7050</v>
      </c>
      <c r="CN79" s="127">
        <f t="shared" si="102"/>
        <v>7050</v>
      </c>
      <c r="CO79" s="127">
        <f t="shared" si="103"/>
        <v>66552</v>
      </c>
      <c r="CP79" s="127">
        <f t="shared" si="104"/>
        <v>-58233</v>
      </c>
      <c r="CQ79" s="127">
        <f t="shared" si="105"/>
        <v>0</v>
      </c>
      <c r="CR79" s="127">
        <f t="shared" si="106"/>
        <v>0</v>
      </c>
      <c r="CS79" s="127">
        <f t="shared" si="107"/>
        <v>8319</v>
      </c>
      <c r="CT79" s="127" t="s">
        <v>361</v>
      </c>
      <c r="CU79" s="127" t="s">
        <v>361</v>
      </c>
      <c r="CV79" s="142" t="str">
        <f t="shared" si="108"/>
        <v>AAMCB5608A</v>
      </c>
      <c r="CW79" s="142" t="str">
        <f t="shared" si="109"/>
        <v>AEDFS4100C</v>
      </c>
    </row>
    <row r="80" spans="2:101" s="149" customFormat="1" ht="11.85" customHeight="1" x14ac:dyDescent="0.25">
      <c r="B80" s="120" t="str">
        <f t="shared" si="39"/>
        <v>Q1</v>
      </c>
      <c r="C80" s="121" t="str">
        <f t="shared" si="40"/>
        <v>Apr-26</v>
      </c>
      <c r="D80" s="122">
        <v>46136</v>
      </c>
      <c r="E80" s="123" t="s">
        <v>3376</v>
      </c>
      <c r="F80" s="123" t="s">
        <v>196</v>
      </c>
      <c r="G80" s="123" t="s">
        <v>198</v>
      </c>
      <c r="H80" s="124" t="s">
        <v>3377</v>
      </c>
      <c r="I80" s="122">
        <v>46136</v>
      </c>
      <c r="J80" s="123" t="s">
        <v>3378</v>
      </c>
      <c r="K80" s="122">
        <v>46136</v>
      </c>
      <c r="L80" s="123" t="s">
        <v>199</v>
      </c>
      <c r="M80" s="123" t="s">
        <v>2331</v>
      </c>
      <c r="N80" s="124" t="s">
        <v>205</v>
      </c>
      <c r="O80" s="123">
        <v>1560</v>
      </c>
      <c r="P80" s="124">
        <v>12</v>
      </c>
      <c r="Q80" s="125">
        <f t="shared" si="41"/>
        <v>18720</v>
      </c>
      <c r="R80" s="126">
        <v>0</v>
      </c>
      <c r="S80" s="125">
        <f t="shared" si="42"/>
        <v>1560</v>
      </c>
      <c r="T80" s="126">
        <v>0</v>
      </c>
      <c r="U80" s="127">
        <v>0</v>
      </c>
      <c r="V80" s="128">
        <v>0</v>
      </c>
      <c r="W80" s="127">
        <v>0</v>
      </c>
      <c r="X80" s="129">
        <v>0</v>
      </c>
      <c r="Y80" s="127">
        <v>0</v>
      </c>
      <c r="Z80" s="127">
        <v>0</v>
      </c>
      <c r="AA80" s="126">
        <v>0</v>
      </c>
      <c r="AB80" s="130">
        <f t="shared" si="43"/>
        <v>0</v>
      </c>
      <c r="AC80" s="129">
        <v>0</v>
      </c>
      <c r="AD80" s="125">
        <f t="shared" si="44"/>
        <v>12</v>
      </c>
      <c r="AE80" s="144">
        <v>0</v>
      </c>
      <c r="AF80" s="127">
        <v>0</v>
      </c>
      <c r="AG80" s="131">
        <v>0</v>
      </c>
      <c r="AH80" s="127">
        <v>0</v>
      </c>
      <c r="AI80" s="128">
        <v>0</v>
      </c>
      <c r="AJ80" s="127">
        <v>0</v>
      </c>
      <c r="AK80" s="127">
        <v>0</v>
      </c>
      <c r="AL80" s="127">
        <v>0</v>
      </c>
      <c r="AM80" s="132">
        <f t="shared" si="45"/>
        <v>18720</v>
      </c>
      <c r="AN80" s="133">
        <v>46136</v>
      </c>
      <c r="AO80" s="134" t="s">
        <v>3401</v>
      </c>
      <c r="AP80" s="135" t="s">
        <v>234</v>
      </c>
      <c r="AQ80" s="136" t="s">
        <v>235</v>
      </c>
      <c r="AR80" s="136" t="s">
        <v>236</v>
      </c>
      <c r="AS80" s="123" t="s">
        <v>239</v>
      </c>
      <c r="AT80" s="137" t="s">
        <v>238</v>
      </c>
      <c r="AU80" s="137" t="s">
        <v>197</v>
      </c>
      <c r="AV80" s="138" t="s">
        <v>329</v>
      </c>
      <c r="AW80" s="136">
        <v>1560</v>
      </c>
      <c r="AX80" s="138">
        <v>14</v>
      </c>
      <c r="AY80" s="136">
        <f t="shared" si="78"/>
        <v>21840</v>
      </c>
      <c r="AZ80" s="139" t="b">
        <f t="shared" si="79"/>
        <v>1</v>
      </c>
      <c r="BA80" s="125">
        <v>0</v>
      </c>
      <c r="BB80" s="140">
        <f t="shared" si="80"/>
        <v>1560</v>
      </c>
      <c r="BC80" s="141">
        <v>0</v>
      </c>
      <c r="BD80" s="140" t="s">
        <v>107</v>
      </c>
      <c r="BE80" s="141">
        <v>0</v>
      </c>
      <c r="BF80" s="140">
        <v>0</v>
      </c>
      <c r="BG80" s="141">
        <v>0</v>
      </c>
      <c r="BH80" s="127">
        <v>0</v>
      </c>
      <c r="BI80" s="130">
        <v>0</v>
      </c>
      <c r="BJ80" s="128">
        <v>0</v>
      </c>
      <c r="BK80" s="125">
        <v>0</v>
      </c>
      <c r="BL80" s="136">
        <v>0</v>
      </c>
      <c r="BM80" s="127">
        <v>0</v>
      </c>
      <c r="BN80" s="142">
        <f t="shared" si="81"/>
        <v>0</v>
      </c>
      <c r="BO80" s="126">
        <f t="shared" si="82"/>
        <v>21840</v>
      </c>
      <c r="BP80" s="132">
        <f t="shared" si="83"/>
        <v>3120</v>
      </c>
      <c r="BQ80" s="141" t="str">
        <f t="shared" si="84"/>
        <v>Positive Margin</v>
      </c>
      <c r="BR80" s="143" t="s">
        <v>119</v>
      </c>
      <c r="BS80" s="125">
        <f t="shared" si="85"/>
        <v>3120</v>
      </c>
      <c r="BT80" s="144" t="str">
        <f t="shared" si="86"/>
        <v>Positive Margin at Inception</v>
      </c>
      <c r="BU80" s="145">
        <f t="shared" si="87"/>
        <v>0.14285714285714285</v>
      </c>
      <c r="BV80" s="144" t="str">
        <f t="shared" si="88"/>
        <v>More than 2%</v>
      </c>
      <c r="BW80" s="125">
        <f t="shared" si="89"/>
        <v>0</v>
      </c>
      <c r="BX80" s="126">
        <f t="shared" si="90"/>
        <v>0</v>
      </c>
      <c r="BY80" s="125">
        <f t="shared" si="91"/>
        <v>0</v>
      </c>
      <c r="BZ80" s="146">
        <f t="shared" si="92"/>
        <v>0</v>
      </c>
      <c r="CA80" s="146">
        <f t="shared" si="93"/>
        <v>0</v>
      </c>
      <c r="CB80" s="127">
        <f t="shared" si="94"/>
        <v>0</v>
      </c>
      <c r="CC80" s="146" t="s">
        <v>397</v>
      </c>
      <c r="CD80" s="127">
        <v>0</v>
      </c>
      <c r="CE80" s="127" t="str">
        <f t="shared" si="95"/>
        <v>Apr-26</v>
      </c>
      <c r="CF80" s="127">
        <f t="shared" si="96"/>
        <v>18720</v>
      </c>
      <c r="CG80" s="127">
        <f t="shared" si="97"/>
        <v>21840</v>
      </c>
      <c r="CH80" s="127">
        <f t="shared" si="98"/>
        <v>4</v>
      </c>
      <c r="CI80" s="147" t="str">
        <f t="shared" si="99"/>
        <v>BG AHD</v>
      </c>
      <c r="CJ80" s="127">
        <v>0</v>
      </c>
      <c r="CK80" s="127">
        <v>0</v>
      </c>
      <c r="CL80" s="127">
        <f t="shared" si="100"/>
        <v>3120</v>
      </c>
      <c r="CM80" s="127">
        <f t="shared" si="101"/>
        <v>3120</v>
      </c>
      <c r="CN80" s="127">
        <f t="shared" si="102"/>
        <v>3120</v>
      </c>
      <c r="CO80" s="127">
        <f t="shared" si="103"/>
        <v>25771.199999999997</v>
      </c>
      <c r="CP80" s="127">
        <f t="shared" si="104"/>
        <v>-22089.599999999999</v>
      </c>
      <c r="CQ80" s="127">
        <f t="shared" si="105"/>
        <v>0</v>
      </c>
      <c r="CR80" s="127">
        <f t="shared" si="106"/>
        <v>0</v>
      </c>
      <c r="CS80" s="127">
        <f t="shared" si="107"/>
        <v>3681.5999999999985</v>
      </c>
      <c r="CT80" s="127" t="s">
        <v>361</v>
      </c>
      <c r="CU80" s="127" t="s">
        <v>361</v>
      </c>
      <c r="CV80" s="142" t="str">
        <f t="shared" si="108"/>
        <v>AAMCB5608A</v>
      </c>
      <c r="CW80" s="142" t="str">
        <f t="shared" si="109"/>
        <v>BJHPB3107J</v>
      </c>
    </row>
    <row r="81" spans="2:101" s="149" customFormat="1" ht="11.85" customHeight="1" x14ac:dyDescent="0.25">
      <c r="B81" s="120" t="str">
        <f t="shared" si="39"/>
        <v>Q1</v>
      </c>
      <c r="C81" s="121" t="str">
        <f t="shared" si="40"/>
        <v>Apr-26</v>
      </c>
      <c r="D81" s="122">
        <v>46136</v>
      </c>
      <c r="E81" s="123" t="s">
        <v>3376</v>
      </c>
      <c r="F81" s="123" t="s">
        <v>196</v>
      </c>
      <c r="G81" s="123" t="s">
        <v>198</v>
      </c>
      <c r="H81" s="124" t="s">
        <v>3377</v>
      </c>
      <c r="I81" s="122">
        <v>46136</v>
      </c>
      <c r="J81" s="123" t="s">
        <v>3378</v>
      </c>
      <c r="K81" s="122">
        <v>46136</v>
      </c>
      <c r="L81" s="123" t="s">
        <v>199</v>
      </c>
      <c r="M81" s="123" t="s">
        <v>2331</v>
      </c>
      <c r="N81" s="124" t="s">
        <v>207</v>
      </c>
      <c r="O81" s="123">
        <v>190</v>
      </c>
      <c r="P81" s="124">
        <v>6.5</v>
      </c>
      <c r="Q81" s="125">
        <f t="shared" si="41"/>
        <v>1235</v>
      </c>
      <c r="R81" s="126">
        <v>0</v>
      </c>
      <c r="S81" s="125">
        <f t="shared" si="42"/>
        <v>190</v>
      </c>
      <c r="T81" s="126">
        <v>0</v>
      </c>
      <c r="U81" s="127">
        <v>0</v>
      </c>
      <c r="V81" s="128">
        <v>0</v>
      </c>
      <c r="W81" s="127">
        <v>0</v>
      </c>
      <c r="X81" s="129">
        <v>0</v>
      </c>
      <c r="Y81" s="127">
        <v>0</v>
      </c>
      <c r="Z81" s="127">
        <v>0</v>
      </c>
      <c r="AA81" s="126">
        <v>0</v>
      </c>
      <c r="AB81" s="130">
        <f t="shared" si="43"/>
        <v>0</v>
      </c>
      <c r="AC81" s="129">
        <v>0</v>
      </c>
      <c r="AD81" s="125">
        <f t="shared" si="44"/>
        <v>6.5</v>
      </c>
      <c r="AE81" s="144">
        <v>0</v>
      </c>
      <c r="AF81" s="127">
        <v>0</v>
      </c>
      <c r="AG81" s="131">
        <v>0</v>
      </c>
      <c r="AH81" s="127">
        <v>0</v>
      </c>
      <c r="AI81" s="128">
        <v>0</v>
      </c>
      <c r="AJ81" s="127">
        <v>0</v>
      </c>
      <c r="AK81" s="127">
        <v>0</v>
      </c>
      <c r="AL81" s="127">
        <v>0</v>
      </c>
      <c r="AM81" s="132">
        <f t="shared" si="45"/>
        <v>1235</v>
      </c>
      <c r="AN81" s="133">
        <v>46136</v>
      </c>
      <c r="AO81" s="134" t="s">
        <v>3401</v>
      </c>
      <c r="AP81" s="135" t="s">
        <v>234</v>
      </c>
      <c r="AQ81" s="136" t="s">
        <v>235</v>
      </c>
      <c r="AR81" s="136" t="s">
        <v>236</v>
      </c>
      <c r="AS81" s="123" t="s">
        <v>239</v>
      </c>
      <c r="AT81" s="137" t="s">
        <v>238</v>
      </c>
      <c r="AU81" s="137" t="s">
        <v>197</v>
      </c>
      <c r="AV81" s="138" t="s">
        <v>329</v>
      </c>
      <c r="AW81" s="136">
        <v>190</v>
      </c>
      <c r="AX81" s="138">
        <v>8</v>
      </c>
      <c r="AY81" s="136">
        <f t="shared" si="78"/>
        <v>1520</v>
      </c>
      <c r="AZ81" s="139" t="b">
        <f t="shared" si="79"/>
        <v>1</v>
      </c>
      <c r="BA81" s="125">
        <v>0</v>
      </c>
      <c r="BB81" s="140">
        <f t="shared" si="80"/>
        <v>190</v>
      </c>
      <c r="BC81" s="141">
        <v>0</v>
      </c>
      <c r="BD81" s="140" t="s">
        <v>107</v>
      </c>
      <c r="BE81" s="141">
        <v>0</v>
      </c>
      <c r="BF81" s="140">
        <v>0</v>
      </c>
      <c r="BG81" s="141">
        <v>0</v>
      </c>
      <c r="BH81" s="127">
        <v>0</v>
      </c>
      <c r="BI81" s="130">
        <v>0</v>
      </c>
      <c r="BJ81" s="128">
        <v>0</v>
      </c>
      <c r="BK81" s="125">
        <v>0</v>
      </c>
      <c r="BL81" s="136">
        <v>0</v>
      </c>
      <c r="BM81" s="127">
        <v>0</v>
      </c>
      <c r="BN81" s="142">
        <f t="shared" si="81"/>
        <v>0</v>
      </c>
      <c r="BO81" s="126">
        <f t="shared" si="82"/>
        <v>1520</v>
      </c>
      <c r="BP81" s="132">
        <f t="shared" si="83"/>
        <v>285</v>
      </c>
      <c r="BQ81" s="141" t="str">
        <f t="shared" si="84"/>
        <v>Positive Margin</v>
      </c>
      <c r="BR81" s="143" t="s">
        <v>119</v>
      </c>
      <c r="BS81" s="125">
        <f t="shared" si="85"/>
        <v>285</v>
      </c>
      <c r="BT81" s="144" t="str">
        <f t="shared" si="86"/>
        <v>Positive Margin at Inception</v>
      </c>
      <c r="BU81" s="145">
        <f t="shared" si="87"/>
        <v>0.1875</v>
      </c>
      <c r="BV81" s="144" t="str">
        <f t="shared" si="88"/>
        <v>More than 2%</v>
      </c>
      <c r="BW81" s="125">
        <f t="shared" si="89"/>
        <v>0</v>
      </c>
      <c r="BX81" s="126">
        <f t="shared" si="90"/>
        <v>0</v>
      </c>
      <c r="BY81" s="125">
        <f t="shared" si="91"/>
        <v>0</v>
      </c>
      <c r="BZ81" s="146">
        <f t="shared" si="92"/>
        <v>0</v>
      </c>
      <c r="CA81" s="146">
        <f t="shared" si="93"/>
        <v>0</v>
      </c>
      <c r="CB81" s="127">
        <f t="shared" si="94"/>
        <v>0</v>
      </c>
      <c r="CC81" s="146" t="s">
        <v>397</v>
      </c>
      <c r="CD81" s="127">
        <v>0</v>
      </c>
      <c r="CE81" s="127" t="str">
        <f t="shared" si="95"/>
        <v>Apr-26</v>
      </c>
      <c r="CF81" s="127">
        <f t="shared" si="96"/>
        <v>1235</v>
      </c>
      <c r="CG81" s="127">
        <f t="shared" si="97"/>
        <v>1520</v>
      </c>
      <c r="CH81" s="127">
        <f t="shared" si="98"/>
        <v>4</v>
      </c>
      <c r="CI81" s="147" t="str">
        <f t="shared" si="99"/>
        <v>BG AHD</v>
      </c>
      <c r="CJ81" s="127">
        <v>0</v>
      </c>
      <c r="CK81" s="127">
        <v>0</v>
      </c>
      <c r="CL81" s="127">
        <f t="shared" si="100"/>
        <v>285</v>
      </c>
      <c r="CM81" s="127">
        <f t="shared" si="101"/>
        <v>285</v>
      </c>
      <c r="CN81" s="127">
        <f t="shared" si="102"/>
        <v>285</v>
      </c>
      <c r="CO81" s="127">
        <f t="shared" si="103"/>
        <v>1793.6</v>
      </c>
      <c r="CP81" s="127">
        <f t="shared" si="104"/>
        <v>-1457.3</v>
      </c>
      <c r="CQ81" s="127">
        <f t="shared" si="105"/>
        <v>0</v>
      </c>
      <c r="CR81" s="127">
        <f t="shared" si="106"/>
        <v>0</v>
      </c>
      <c r="CS81" s="127">
        <f t="shared" si="107"/>
        <v>336.29999999999995</v>
      </c>
      <c r="CT81" s="127" t="s">
        <v>361</v>
      </c>
      <c r="CU81" s="127" t="s">
        <v>361</v>
      </c>
      <c r="CV81" s="142" t="str">
        <f t="shared" si="108"/>
        <v>AAMCB5608A</v>
      </c>
      <c r="CW81" s="142" t="str">
        <f t="shared" si="109"/>
        <v>BJHPB3107J</v>
      </c>
    </row>
    <row r="82" spans="2:101" s="149" customFormat="1" ht="11.85" customHeight="1" x14ac:dyDescent="0.25">
      <c r="B82" s="120" t="str">
        <f t="shared" si="39"/>
        <v>Q1</v>
      </c>
      <c r="C82" s="121" t="str">
        <f t="shared" si="40"/>
        <v>Apr-26</v>
      </c>
      <c r="D82" s="122">
        <v>46137</v>
      </c>
      <c r="E82" s="123" t="s">
        <v>3379</v>
      </c>
      <c r="F82" s="123" t="s">
        <v>196</v>
      </c>
      <c r="G82" s="123" t="s">
        <v>198</v>
      </c>
      <c r="H82" s="124" t="s">
        <v>3380</v>
      </c>
      <c r="I82" s="122">
        <v>46137</v>
      </c>
      <c r="J82" s="123" t="s">
        <v>3381</v>
      </c>
      <c r="K82" s="122">
        <v>46137</v>
      </c>
      <c r="L82" s="123" t="s">
        <v>199</v>
      </c>
      <c r="M82" s="123" t="s">
        <v>399</v>
      </c>
      <c r="N82" s="124" t="s">
        <v>3382</v>
      </c>
      <c r="O82" s="123">
        <v>2500</v>
      </c>
      <c r="P82" s="124">
        <v>82</v>
      </c>
      <c r="Q82" s="125">
        <f t="shared" si="41"/>
        <v>205000</v>
      </c>
      <c r="R82" s="126">
        <v>0</v>
      </c>
      <c r="S82" s="125">
        <f t="shared" si="42"/>
        <v>2500</v>
      </c>
      <c r="T82" s="126">
        <v>0</v>
      </c>
      <c r="U82" s="127">
        <v>0</v>
      </c>
      <c r="V82" s="128">
        <v>0</v>
      </c>
      <c r="W82" s="127">
        <v>0</v>
      </c>
      <c r="X82" s="129">
        <v>0</v>
      </c>
      <c r="Y82" s="127">
        <v>0</v>
      </c>
      <c r="Z82" s="127">
        <v>0</v>
      </c>
      <c r="AA82" s="126">
        <v>0</v>
      </c>
      <c r="AB82" s="130">
        <f t="shared" si="43"/>
        <v>0</v>
      </c>
      <c r="AC82" s="129">
        <v>0</v>
      </c>
      <c r="AD82" s="125">
        <f t="shared" si="44"/>
        <v>82</v>
      </c>
      <c r="AE82" s="144">
        <v>0</v>
      </c>
      <c r="AF82" s="127">
        <v>0</v>
      </c>
      <c r="AG82" s="131">
        <v>0</v>
      </c>
      <c r="AH82" s="127">
        <v>0</v>
      </c>
      <c r="AI82" s="128">
        <v>0</v>
      </c>
      <c r="AJ82" s="127">
        <v>0</v>
      </c>
      <c r="AK82" s="127">
        <v>0</v>
      </c>
      <c r="AL82" s="127">
        <v>0</v>
      </c>
      <c r="AM82" s="132">
        <f t="shared" si="45"/>
        <v>205000</v>
      </c>
      <c r="AN82" s="133">
        <v>46137</v>
      </c>
      <c r="AO82" s="134" t="s">
        <v>3400</v>
      </c>
      <c r="AP82" s="135" t="s">
        <v>234</v>
      </c>
      <c r="AQ82" s="136" t="s">
        <v>235</v>
      </c>
      <c r="AR82" s="136" t="s">
        <v>236</v>
      </c>
      <c r="AS82" s="123" t="s">
        <v>237</v>
      </c>
      <c r="AT82" s="137" t="s">
        <v>238</v>
      </c>
      <c r="AU82" s="137" t="s">
        <v>197</v>
      </c>
      <c r="AV82" s="138" t="s">
        <v>329</v>
      </c>
      <c r="AW82" s="136">
        <v>2500</v>
      </c>
      <c r="AX82" s="138">
        <v>87</v>
      </c>
      <c r="AY82" s="136">
        <f t="shared" si="78"/>
        <v>217500</v>
      </c>
      <c r="AZ82" s="139" t="b">
        <f t="shared" si="79"/>
        <v>1</v>
      </c>
      <c r="BA82" s="125">
        <v>0</v>
      </c>
      <c r="BB82" s="140">
        <f t="shared" si="80"/>
        <v>2500</v>
      </c>
      <c r="BC82" s="141">
        <v>0</v>
      </c>
      <c r="BD82" s="140" t="s">
        <v>107</v>
      </c>
      <c r="BE82" s="141">
        <v>0</v>
      </c>
      <c r="BF82" s="140">
        <v>0</v>
      </c>
      <c r="BG82" s="141">
        <v>0</v>
      </c>
      <c r="BH82" s="127">
        <v>0</v>
      </c>
      <c r="BI82" s="130">
        <v>0</v>
      </c>
      <c r="BJ82" s="128">
        <v>0</v>
      </c>
      <c r="BK82" s="125">
        <v>0</v>
      </c>
      <c r="BL82" s="136">
        <v>0</v>
      </c>
      <c r="BM82" s="127">
        <v>0</v>
      </c>
      <c r="BN82" s="142">
        <f t="shared" si="81"/>
        <v>0</v>
      </c>
      <c r="BO82" s="126">
        <f t="shared" si="82"/>
        <v>217500</v>
      </c>
      <c r="BP82" s="132">
        <f t="shared" si="83"/>
        <v>12500</v>
      </c>
      <c r="BQ82" s="141" t="str">
        <f t="shared" si="84"/>
        <v>Positive Margin</v>
      </c>
      <c r="BR82" s="143" t="s">
        <v>119</v>
      </c>
      <c r="BS82" s="125">
        <f t="shared" si="85"/>
        <v>12500</v>
      </c>
      <c r="BT82" s="144" t="str">
        <f t="shared" si="86"/>
        <v>Positive Margin at Inception</v>
      </c>
      <c r="BU82" s="145">
        <f t="shared" si="87"/>
        <v>5.7471264367816091E-2</v>
      </c>
      <c r="BV82" s="144" t="str">
        <f t="shared" si="88"/>
        <v>More than 2%</v>
      </c>
      <c r="BW82" s="125">
        <f t="shared" si="89"/>
        <v>0</v>
      </c>
      <c r="BX82" s="126">
        <f t="shared" si="90"/>
        <v>0</v>
      </c>
      <c r="BY82" s="125">
        <f t="shared" si="91"/>
        <v>0</v>
      </c>
      <c r="BZ82" s="146">
        <f t="shared" si="92"/>
        <v>0</v>
      </c>
      <c r="CA82" s="146">
        <f t="shared" si="93"/>
        <v>0</v>
      </c>
      <c r="CB82" s="127">
        <f t="shared" si="94"/>
        <v>0</v>
      </c>
      <c r="CC82" s="146" t="s">
        <v>397</v>
      </c>
      <c r="CD82" s="127">
        <v>0</v>
      </c>
      <c r="CE82" s="127" t="str">
        <f t="shared" si="95"/>
        <v>Apr-26</v>
      </c>
      <c r="CF82" s="127">
        <f t="shared" si="96"/>
        <v>205000</v>
      </c>
      <c r="CG82" s="127">
        <f t="shared" si="97"/>
        <v>217500</v>
      </c>
      <c r="CH82" s="127">
        <f t="shared" si="98"/>
        <v>4</v>
      </c>
      <c r="CI82" s="147" t="str">
        <f t="shared" si="99"/>
        <v>BG AHD</v>
      </c>
      <c r="CJ82" s="127">
        <v>0</v>
      </c>
      <c r="CK82" s="127">
        <v>0</v>
      </c>
      <c r="CL82" s="127">
        <f t="shared" si="100"/>
        <v>12500</v>
      </c>
      <c r="CM82" s="127">
        <f t="shared" si="101"/>
        <v>12500</v>
      </c>
      <c r="CN82" s="127">
        <f t="shared" si="102"/>
        <v>12500</v>
      </c>
      <c r="CO82" s="127">
        <f t="shared" si="103"/>
        <v>256650</v>
      </c>
      <c r="CP82" s="127">
        <f t="shared" si="104"/>
        <v>-241900</v>
      </c>
      <c r="CQ82" s="127">
        <f t="shared" si="105"/>
        <v>0</v>
      </c>
      <c r="CR82" s="127">
        <f t="shared" si="106"/>
        <v>0</v>
      </c>
      <c r="CS82" s="127">
        <f t="shared" si="107"/>
        <v>14750</v>
      </c>
      <c r="CT82" s="127" t="s">
        <v>361</v>
      </c>
      <c r="CU82" s="127" t="s">
        <v>361</v>
      </c>
      <c r="CV82" s="142" t="str">
        <f t="shared" si="108"/>
        <v>AAMCB5608A</v>
      </c>
      <c r="CW82" s="142" t="str">
        <f t="shared" si="109"/>
        <v>BJHPB3107J</v>
      </c>
    </row>
    <row r="83" spans="2:101" s="149" customFormat="1" ht="11.85" customHeight="1" x14ac:dyDescent="0.25">
      <c r="B83" s="120" t="str">
        <f t="shared" si="39"/>
        <v>Q1</v>
      </c>
      <c r="C83" s="121" t="str">
        <f t="shared" si="40"/>
        <v>Apr-26</v>
      </c>
      <c r="D83" s="122">
        <v>46137</v>
      </c>
      <c r="E83" s="123" t="s">
        <v>3379</v>
      </c>
      <c r="F83" s="123" t="s">
        <v>196</v>
      </c>
      <c r="G83" s="123" t="s">
        <v>198</v>
      </c>
      <c r="H83" s="124" t="s">
        <v>3380</v>
      </c>
      <c r="I83" s="122">
        <v>46137</v>
      </c>
      <c r="J83" s="123" t="s">
        <v>3381</v>
      </c>
      <c r="K83" s="122">
        <v>46137</v>
      </c>
      <c r="L83" s="123" t="s">
        <v>199</v>
      </c>
      <c r="M83" s="123" t="s">
        <v>399</v>
      </c>
      <c r="N83" s="124" t="s">
        <v>3383</v>
      </c>
      <c r="O83" s="123">
        <v>530</v>
      </c>
      <c r="P83" s="124">
        <v>23</v>
      </c>
      <c r="Q83" s="125">
        <f t="shared" si="41"/>
        <v>12190</v>
      </c>
      <c r="R83" s="126">
        <v>0</v>
      </c>
      <c r="S83" s="125">
        <f t="shared" si="42"/>
        <v>530</v>
      </c>
      <c r="T83" s="126">
        <v>0</v>
      </c>
      <c r="U83" s="127">
        <v>0</v>
      </c>
      <c r="V83" s="128">
        <v>0</v>
      </c>
      <c r="W83" s="127">
        <v>0</v>
      </c>
      <c r="X83" s="129">
        <v>0</v>
      </c>
      <c r="Y83" s="127">
        <v>0</v>
      </c>
      <c r="Z83" s="127">
        <v>0</v>
      </c>
      <c r="AA83" s="126">
        <v>0</v>
      </c>
      <c r="AB83" s="130">
        <f t="shared" si="43"/>
        <v>0</v>
      </c>
      <c r="AC83" s="129">
        <v>0</v>
      </c>
      <c r="AD83" s="125">
        <f t="shared" si="44"/>
        <v>23</v>
      </c>
      <c r="AE83" s="144">
        <v>0</v>
      </c>
      <c r="AF83" s="127">
        <v>0</v>
      </c>
      <c r="AG83" s="131">
        <v>0</v>
      </c>
      <c r="AH83" s="127">
        <v>0</v>
      </c>
      <c r="AI83" s="128">
        <v>0</v>
      </c>
      <c r="AJ83" s="127">
        <v>0</v>
      </c>
      <c r="AK83" s="127">
        <v>0</v>
      </c>
      <c r="AL83" s="127">
        <v>0</v>
      </c>
      <c r="AM83" s="132">
        <f t="shared" si="45"/>
        <v>12190</v>
      </c>
      <c r="AN83" s="133">
        <v>46137</v>
      </c>
      <c r="AO83" s="134" t="s">
        <v>3400</v>
      </c>
      <c r="AP83" s="135" t="s">
        <v>234</v>
      </c>
      <c r="AQ83" s="136" t="s">
        <v>235</v>
      </c>
      <c r="AR83" s="136" t="s">
        <v>236</v>
      </c>
      <c r="AS83" s="123" t="s">
        <v>237</v>
      </c>
      <c r="AT83" s="137" t="s">
        <v>238</v>
      </c>
      <c r="AU83" s="137" t="s">
        <v>197</v>
      </c>
      <c r="AV83" s="138" t="s">
        <v>329</v>
      </c>
      <c r="AW83" s="136">
        <v>530</v>
      </c>
      <c r="AX83" s="138">
        <v>24</v>
      </c>
      <c r="AY83" s="136">
        <f t="shared" si="78"/>
        <v>12720</v>
      </c>
      <c r="AZ83" s="139" t="b">
        <f t="shared" si="79"/>
        <v>1</v>
      </c>
      <c r="BA83" s="125">
        <v>0</v>
      </c>
      <c r="BB83" s="140">
        <f t="shared" si="80"/>
        <v>530</v>
      </c>
      <c r="BC83" s="141">
        <v>0</v>
      </c>
      <c r="BD83" s="140" t="s">
        <v>107</v>
      </c>
      <c r="BE83" s="141">
        <v>0</v>
      </c>
      <c r="BF83" s="140">
        <v>0</v>
      </c>
      <c r="BG83" s="141">
        <v>0</v>
      </c>
      <c r="BH83" s="127">
        <v>0</v>
      </c>
      <c r="BI83" s="130">
        <v>0</v>
      </c>
      <c r="BJ83" s="128">
        <v>0</v>
      </c>
      <c r="BK83" s="125">
        <v>0</v>
      </c>
      <c r="BL83" s="136">
        <v>0</v>
      </c>
      <c r="BM83" s="127">
        <v>0</v>
      </c>
      <c r="BN83" s="142">
        <f t="shared" si="81"/>
        <v>0</v>
      </c>
      <c r="BO83" s="126">
        <f t="shared" si="82"/>
        <v>12720</v>
      </c>
      <c r="BP83" s="132">
        <f t="shared" si="83"/>
        <v>530</v>
      </c>
      <c r="BQ83" s="141" t="str">
        <f t="shared" si="84"/>
        <v>Positive Margin</v>
      </c>
      <c r="BR83" s="143" t="s">
        <v>119</v>
      </c>
      <c r="BS83" s="125">
        <f t="shared" si="85"/>
        <v>530</v>
      </c>
      <c r="BT83" s="144" t="str">
        <f t="shared" si="86"/>
        <v>Positive Margin at Inception</v>
      </c>
      <c r="BU83" s="145">
        <f t="shared" si="87"/>
        <v>4.1666666666666664E-2</v>
      </c>
      <c r="BV83" s="144" t="str">
        <f t="shared" si="88"/>
        <v>More than 2%</v>
      </c>
      <c r="BW83" s="125">
        <f t="shared" si="89"/>
        <v>0</v>
      </c>
      <c r="BX83" s="126">
        <f t="shared" si="90"/>
        <v>0</v>
      </c>
      <c r="BY83" s="125">
        <f t="shared" si="91"/>
        <v>0</v>
      </c>
      <c r="BZ83" s="146">
        <f t="shared" si="92"/>
        <v>0</v>
      </c>
      <c r="CA83" s="146">
        <f t="shared" si="93"/>
        <v>0</v>
      </c>
      <c r="CB83" s="127">
        <f t="shared" si="94"/>
        <v>0</v>
      </c>
      <c r="CC83" s="146" t="s">
        <v>397</v>
      </c>
      <c r="CD83" s="127">
        <v>0</v>
      </c>
      <c r="CE83" s="127" t="str">
        <f t="shared" si="95"/>
        <v>Apr-26</v>
      </c>
      <c r="CF83" s="127">
        <f t="shared" si="96"/>
        <v>12190</v>
      </c>
      <c r="CG83" s="127">
        <f t="shared" si="97"/>
        <v>12720</v>
      </c>
      <c r="CH83" s="127">
        <f t="shared" si="98"/>
        <v>4</v>
      </c>
      <c r="CI83" s="147" t="str">
        <f t="shared" si="99"/>
        <v>BG AHD</v>
      </c>
      <c r="CJ83" s="127">
        <v>0</v>
      </c>
      <c r="CK83" s="127">
        <v>0</v>
      </c>
      <c r="CL83" s="127">
        <f t="shared" si="100"/>
        <v>530</v>
      </c>
      <c r="CM83" s="127">
        <f t="shared" si="101"/>
        <v>530</v>
      </c>
      <c r="CN83" s="127">
        <f t="shared" si="102"/>
        <v>530</v>
      </c>
      <c r="CO83" s="127">
        <f t="shared" si="103"/>
        <v>15009.599999999999</v>
      </c>
      <c r="CP83" s="127">
        <f t="shared" si="104"/>
        <v>-14384.199999999999</v>
      </c>
      <c r="CQ83" s="127">
        <f t="shared" si="105"/>
        <v>0</v>
      </c>
      <c r="CR83" s="127">
        <f t="shared" si="106"/>
        <v>0</v>
      </c>
      <c r="CS83" s="127">
        <f t="shared" si="107"/>
        <v>625.39999999999964</v>
      </c>
      <c r="CT83" s="127" t="s">
        <v>361</v>
      </c>
      <c r="CU83" s="127" t="s">
        <v>361</v>
      </c>
      <c r="CV83" s="142" t="str">
        <f t="shared" si="108"/>
        <v>AAMCB5608A</v>
      </c>
      <c r="CW83" s="142" t="str">
        <f t="shared" si="109"/>
        <v>BJHPB3107J</v>
      </c>
    </row>
    <row r="84" spans="2:101" s="149" customFormat="1" ht="11.85" customHeight="1" x14ac:dyDescent="0.25">
      <c r="B84" s="120" t="str">
        <f t="shared" si="39"/>
        <v>Q1</v>
      </c>
      <c r="C84" s="121" t="str">
        <f t="shared" si="40"/>
        <v>Apr-26</v>
      </c>
      <c r="D84" s="122">
        <v>46137</v>
      </c>
      <c r="E84" s="123" t="s">
        <v>3379</v>
      </c>
      <c r="F84" s="123" t="s">
        <v>196</v>
      </c>
      <c r="G84" s="123" t="s">
        <v>198</v>
      </c>
      <c r="H84" s="124" t="s">
        <v>3380</v>
      </c>
      <c r="I84" s="122">
        <v>46137</v>
      </c>
      <c r="J84" s="123" t="s">
        <v>3381</v>
      </c>
      <c r="K84" s="122">
        <v>46137</v>
      </c>
      <c r="L84" s="123" t="s">
        <v>199</v>
      </c>
      <c r="M84" s="123" t="s">
        <v>399</v>
      </c>
      <c r="N84" s="124" t="s">
        <v>3384</v>
      </c>
      <c r="O84" s="123">
        <v>2780</v>
      </c>
      <c r="P84" s="124">
        <v>27</v>
      </c>
      <c r="Q84" s="125">
        <f t="shared" si="41"/>
        <v>75060</v>
      </c>
      <c r="R84" s="126">
        <v>0</v>
      </c>
      <c r="S84" s="125">
        <f t="shared" si="42"/>
        <v>2780</v>
      </c>
      <c r="T84" s="126">
        <v>0</v>
      </c>
      <c r="U84" s="127">
        <v>0</v>
      </c>
      <c r="V84" s="128">
        <v>0</v>
      </c>
      <c r="W84" s="127">
        <v>0</v>
      </c>
      <c r="X84" s="129">
        <v>0</v>
      </c>
      <c r="Y84" s="127">
        <v>0</v>
      </c>
      <c r="Z84" s="127">
        <v>0</v>
      </c>
      <c r="AA84" s="126">
        <v>0</v>
      </c>
      <c r="AB84" s="130">
        <f t="shared" si="43"/>
        <v>0</v>
      </c>
      <c r="AC84" s="129">
        <v>0</v>
      </c>
      <c r="AD84" s="125">
        <f t="shared" si="44"/>
        <v>27</v>
      </c>
      <c r="AE84" s="144">
        <v>0</v>
      </c>
      <c r="AF84" s="127">
        <v>0</v>
      </c>
      <c r="AG84" s="131">
        <v>0</v>
      </c>
      <c r="AH84" s="127">
        <v>0</v>
      </c>
      <c r="AI84" s="128">
        <v>0</v>
      </c>
      <c r="AJ84" s="127">
        <v>0</v>
      </c>
      <c r="AK84" s="127">
        <v>0</v>
      </c>
      <c r="AL84" s="127">
        <v>0</v>
      </c>
      <c r="AM84" s="132">
        <f t="shared" si="45"/>
        <v>75060</v>
      </c>
      <c r="AN84" s="133">
        <v>46137</v>
      </c>
      <c r="AO84" s="134" t="s">
        <v>3400</v>
      </c>
      <c r="AP84" s="135" t="s">
        <v>234</v>
      </c>
      <c r="AQ84" s="136" t="s">
        <v>235</v>
      </c>
      <c r="AR84" s="136" t="s">
        <v>236</v>
      </c>
      <c r="AS84" s="123" t="s">
        <v>237</v>
      </c>
      <c r="AT84" s="137" t="s">
        <v>238</v>
      </c>
      <c r="AU84" s="137" t="s">
        <v>197</v>
      </c>
      <c r="AV84" s="138" t="s">
        <v>329</v>
      </c>
      <c r="AW84" s="136">
        <v>2780</v>
      </c>
      <c r="AX84" s="138">
        <v>28</v>
      </c>
      <c r="AY84" s="136">
        <f t="shared" si="78"/>
        <v>77840</v>
      </c>
      <c r="AZ84" s="139" t="b">
        <f t="shared" si="79"/>
        <v>1</v>
      </c>
      <c r="BA84" s="125">
        <v>0</v>
      </c>
      <c r="BB84" s="140">
        <f t="shared" si="80"/>
        <v>2780</v>
      </c>
      <c r="BC84" s="141">
        <v>0</v>
      </c>
      <c r="BD84" s="140" t="s">
        <v>107</v>
      </c>
      <c r="BE84" s="141">
        <v>0</v>
      </c>
      <c r="BF84" s="140">
        <v>0</v>
      </c>
      <c r="BG84" s="141">
        <v>0</v>
      </c>
      <c r="BH84" s="127">
        <v>0</v>
      </c>
      <c r="BI84" s="130">
        <v>0</v>
      </c>
      <c r="BJ84" s="128">
        <v>0</v>
      </c>
      <c r="BK84" s="125">
        <v>0</v>
      </c>
      <c r="BL84" s="136">
        <v>0</v>
      </c>
      <c r="BM84" s="127">
        <v>0</v>
      </c>
      <c r="BN84" s="142">
        <f t="shared" si="81"/>
        <v>0</v>
      </c>
      <c r="BO84" s="126">
        <f t="shared" si="82"/>
        <v>77840</v>
      </c>
      <c r="BP84" s="132">
        <f t="shared" si="83"/>
        <v>2780</v>
      </c>
      <c r="BQ84" s="141" t="str">
        <f t="shared" si="84"/>
        <v>Positive Margin</v>
      </c>
      <c r="BR84" s="143" t="s">
        <v>119</v>
      </c>
      <c r="BS84" s="125">
        <f t="shared" si="85"/>
        <v>2780</v>
      </c>
      <c r="BT84" s="144" t="str">
        <f t="shared" si="86"/>
        <v>Positive Margin at Inception</v>
      </c>
      <c r="BU84" s="145">
        <f t="shared" si="87"/>
        <v>3.5714285714285712E-2</v>
      </c>
      <c r="BV84" s="144" t="str">
        <f t="shared" si="88"/>
        <v>More than 2%</v>
      </c>
      <c r="BW84" s="125">
        <f t="shared" si="89"/>
        <v>0</v>
      </c>
      <c r="BX84" s="126">
        <f t="shared" si="90"/>
        <v>0</v>
      </c>
      <c r="BY84" s="125">
        <f t="shared" si="91"/>
        <v>0</v>
      </c>
      <c r="BZ84" s="146">
        <f t="shared" si="92"/>
        <v>0</v>
      </c>
      <c r="CA84" s="146">
        <f t="shared" si="93"/>
        <v>0</v>
      </c>
      <c r="CB84" s="127">
        <f t="shared" si="94"/>
        <v>0</v>
      </c>
      <c r="CC84" s="146" t="s">
        <v>397</v>
      </c>
      <c r="CD84" s="127">
        <v>0</v>
      </c>
      <c r="CE84" s="127" t="str">
        <f t="shared" si="95"/>
        <v>Apr-26</v>
      </c>
      <c r="CF84" s="127">
        <f t="shared" si="96"/>
        <v>75060</v>
      </c>
      <c r="CG84" s="127">
        <f t="shared" si="97"/>
        <v>77840</v>
      </c>
      <c r="CH84" s="127">
        <f t="shared" si="98"/>
        <v>4</v>
      </c>
      <c r="CI84" s="147" t="str">
        <f t="shared" si="99"/>
        <v>BG AHD</v>
      </c>
      <c r="CJ84" s="127">
        <v>0</v>
      </c>
      <c r="CK84" s="127">
        <v>0</v>
      </c>
      <c r="CL84" s="127">
        <f t="shared" si="100"/>
        <v>2780</v>
      </c>
      <c r="CM84" s="127">
        <f t="shared" si="101"/>
        <v>2780</v>
      </c>
      <c r="CN84" s="127">
        <f t="shared" si="102"/>
        <v>2780</v>
      </c>
      <c r="CO84" s="127">
        <f t="shared" si="103"/>
        <v>91851.199999999997</v>
      </c>
      <c r="CP84" s="127">
        <f t="shared" si="104"/>
        <v>-88570.799999999988</v>
      </c>
      <c r="CQ84" s="127">
        <f t="shared" si="105"/>
        <v>0</v>
      </c>
      <c r="CR84" s="127">
        <f t="shared" si="106"/>
        <v>0</v>
      </c>
      <c r="CS84" s="127">
        <f t="shared" si="107"/>
        <v>3280.4000000000087</v>
      </c>
      <c r="CT84" s="127" t="s">
        <v>361</v>
      </c>
      <c r="CU84" s="127" t="s">
        <v>361</v>
      </c>
      <c r="CV84" s="142" t="str">
        <f t="shared" si="108"/>
        <v>AAMCB5608A</v>
      </c>
      <c r="CW84" s="142" t="str">
        <f t="shared" si="109"/>
        <v>BJHPB3107J</v>
      </c>
    </row>
    <row r="85" spans="2:101" s="149" customFormat="1" ht="11.85" customHeight="1" x14ac:dyDescent="0.25">
      <c r="B85" s="120" t="str">
        <f t="shared" ref="B85:B98" si="110">"Q" &amp; IF(ROUNDUP(MONTH(D85)/3,0)-1=0,4,ROUNDUP(MONTH(D85)/3,0)-1)</f>
        <v>Q1</v>
      </c>
      <c r="C85" s="121" t="str">
        <f t="shared" ref="C85:C98" si="111">TEXT(AN85,"mmm-yy")</f>
        <v>Apr-26</v>
      </c>
      <c r="D85" s="122">
        <v>46139</v>
      </c>
      <c r="E85" s="123" t="s">
        <v>3442</v>
      </c>
      <c r="F85" s="123" t="s">
        <v>196</v>
      </c>
      <c r="G85" s="123" t="s">
        <v>198</v>
      </c>
      <c r="H85" s="124" t="s">
        <v>3443</v>
      </c>
      <c r="I85" s="122">
        <v>46139</v>
      </c>
      <c r="J85" s="123" t="s">
        <v>3444</v>
      </c>
      <c r="K85" s="122">
        <v>46139</v>
      </c>
      <c r="L85" s="123" t="s">
        <v>199</v>
      </c>
      <c r="M85" s="123" t="s">
        <v>3445</v>
      </c>
      <c r="N85" s="124" t="s">
        <v>204</v>
      </c>
      <c r="O85" s="123">
        <v>6880</v>
      </c>
      <c r="P85" s="124">
        <v>10</v>
      </c>
      <c r="Q85" s="125">
        <f t="shared" ref="Q85:Q98" si="112">O85*P85</f>
        <v>68800</v>
      </c>
      <c r="R85" s="126">
        <v>0</v>
      </c>
      <c r="S85" s="125">
        <f t="shared" ref="S85:S98" si="113">O85-R85</f>
        <v>6880</v>
      </c>
      <c r="T85" s="126">
        <v>0</v>
      </c>
      <c r="U85" s="127">
        <v>0</v>
      </c>
      <c r="V85" s="128">
        <v>0</v>
      </c>
      <c r="W85" s="127">
        <v>0</v>
      </c>
      <c r="X85" s="129">
        <v>0</v>
      </c>
      <c r="Y85" s="127">
        <v>0</v>
      </c>
      <c r="Z85" s="127">
        <v>0</v>
      </c>
      <c r="AA85" s="126">
        <v>0</v>
      </c>
      <c r="AB85" s="130">
        <f t="shared" ref="AB85:AB98" si="114">Y85+AA85+Z85</f>
        <v>0</v>
      </c>
      <c r="AC85" s="129">
        <v>0</v>
      </c>
      <c r="AD85" s="125">
        <f t="shared" ref="AD85:AD98" si="115">Q85/O85</f>
        <v>10</v>
      </c>
      <c r="AE85" s="144">
        <v>0</v>
      </c>
      <c r="AF85" s="127">
        <v>0</v>
      </c>
      <c r="AG85" s="131">
        <v>0</v>
      </c>
      <c r="AH85" s="127">
        <v>0</v>
      </c>
      <c r="AI85" s="128">
        <v>0</v>
      </c>
      <c r="AJ85" s="127">
        <v>0</v>
      </c>
      <c r="AK85" s="127">
        <v>0</v>
      </c>
      <c r="AL85" s="127">
        <v>0</v>
      </c>
      <c r="AM85" s="132">
        <f t="shared" ref="AM85:AM98" si="116">Q85+AB85+AL85+AK85+AJ85+T85+AE85</f>
        <v>68800</v>
      </c>
      <c r="AN85" s="133">
        <v>46139</v>
      </c>
      <c r="AO85" s="134" t="s">
        <v>3474</v>
      </c>
      <c r="AP85" s="135" t="s">
        <v>234</v>
      </c>
      <c r="AQ85" s="136" t="s">
        <v>235</v>
      </c>
      <c r="AR85" s="136" t="s">
        <v>236</v>
      </c>
      <c r="AS85" s="123" t="s">
        <v>237</v>
      </c>
      <c r="AT85" s="137" t="s">
        <v>238</v>
      </c>
      <c r="AU85" s="137" t="s">
        <v>197</v>
      </c>
      <c r="AV85" s="138" t="s">
        <v>329</v>
      </c>
      <c r="AW85" s="136">
        <v>6880</v>
      </c>
      <c r="AX85" s="138">
        <v>12</v>
      </c>
      <c r="AY85" s="136">
        <f t="shared" ref="AY85" si="117">AW85*AX85</f>
        <v>82560</v>
      </c>
      <c r="AZ85" s="139" t="b">
        <f t="shared" ref="AZ85" si="118">AW85=O85</f>
        <v>1</v>
      </c>
      <c r="BA85" s="125">
        <v>0</v>
      </c>
      <c r="BB85" s="140">
        <f t="shared" ref="BB85" si="119">AW85-BA85</f>
        <v>6880</v>
      </c>
      <c r="BC85" s="141">
        <v>0</v>
      </c>
      <c r="BD85" s="140" t="s">
        <v>107</v>
      </c>
      <c r="BE85" s="141">
        <v>0</v>
      </c>
      <c r="BF85" s="140">
        <v>0</v>
      </c>
      <c r="BG85" s="141">
        <v>0</v>
      </c>
      <c r="BH85" s="127">
        <v>0</v>
      </c>
      <c r="BI85" s="130">
        <v>0</v>
      </c>
      <c r="BJ85" s="128">
        <v>0</v>
      </c>
      <c r="BK85" s="125">
        <v>0</v>
      </c>
      <c r="BL85" s="136">
        <v>0</v>
      </c>
      <c r="BM85" s="127">
        <v>0</v>
      </c>
      <c r="BN85" s="142">
        <f t="shared" ref="BN85" si="120">AY85*$BN$3</f>
        <v>0</v>
      </c>
      <c r="BO85" s="126">
        <f t="shared" ref="BO85" si="121">AY85+BL85+BM85+BN85+BC85+BG85</f>
        <v>82560</v>
      </c>
      <c r="BP85" s="132">
        <f t="shared" ref="BP85" si="122">BO85-AM85</f>
        <v>13760</v>
      </c>
      <c r="BQ85" s="141" t="str">
        <f t="shared" ref="BQ85" si="123">IF(BP85&gt;=0,"Positive Margin","Negative Margin")</f>
        <v>Positive Margin</v>
      </c>
      <c r="BR85" s="143" t="s">
        <v>119</v>
      </c>
      <c r="BS85" s="125">
        <f t="shared" ref="BS85" si="124">AY85-Y85-Q85-AA85-T85+BC85</f>
        <v>13760</v>
      </c>
      <c r="BT85" s="144" t="str">
        <f t="shared" ref="BT85" si="125">IF(BS85&lt;0, "Negative Margin at Inception", "Positive Margin at Inception")</f>
        <v>Positive Margin at Inception</v>
      </c>
      <c r="BU85" s="145">
        <f t="shared" ref="BU85" si="126">IFERROR(BP85/BO85,"0")</f>
        <v>0.16666666666666666</v>
      </c>
      <c r="BV85" s="144" t="str">
        <f t="shared" ref="BV85" si="127">IF(BU85&lt;1%,"Less Than 1%",IF(BU85&gt;2%,"More than 2%",IF(BU85&gt;=1%,"1% - 2%")))</f>
        <v>More than 2%</v>
      </c>
      <c r="BW85" s="125">
        <f t="shared" ref="BW85" si="128">BM85+BN85</f>
        <v>0</v>
      </c>
      <c r="BX85" s="126">
        <f t="shared" ref="BX85" si="129">AL85+AK85</f>
        <v>0</v>
      </c>
      <c r="BY85" s="125">
        <f t="shared" ref="BY85" si="130">BW85-BX85</f>
        <v>0</v>
      </c>
      <c r="BZ85" s="146">
        <f t="shared" ref="BZ85" si="131">BM85</f>
        <v>0</v>
      </c>
      <c r="CA85" s="146">
        <f t="shared" ref="CA85" si="132">AK85</f>
        <v>0</v>
      </c>
      <c r="CB85" s="127">
        <f t="shared" ref="CB85" si="133">BZ85-CA85</f>
        <v>0</v>
      </c>
      <c r="CC85" s="146" t="s">
        <v>397</v>
      </c>
      <c r="CD85" s="127">
        <v>0</v>
      </c>
      <c r="CE85" s="127" t="str">
        <f t="shared" ref="CE85" si="134">TEXT(AN85,"mmm-yy")</f>
        <v>Apr-26</v>
      </c>
      <c r="CF85" s="127">
        <f t="shared" ref="CF85" si="135">AM85-AL85-AA85</f>
        <v>68800</v>
      </c>
      <c r="CG85" s="127">
        <f t="shared" ref="CG85" si="136">BO85-BN85</f>
        <v>82560</v>
      </c>
      <c r="CH85" s="127">
        <f t="shared" ref="CH85" si="137">INT((D85- IF(MONTH(D85) &gt;= 4, DATE(YEAR(D85), 4, 1), DATE(YEAR(D85)-1, 4, 1))) / 7) + 1</f>
        <v>4</v>
      </c>
      <c r="CI85" s="147" t="str">
        <f t="shared" ref="CI85" si="138">IF(F85="BLACK GOLD RECYCLING PRIVATE LIMITED", "BG AHD", "B2B")</f>
        <v>BG AHD</v>
      </c>
      <c r="CJ85" s="127">
        <v>0</v>
      </c>
      <c r="CK85" s="127">
        <v>0</v>
      </c>
      <c r="CL85" s="127">
        <f t="shared" ref="CL85" si="139">AY85-Q85</f>
        <v>13760</v>
      </c>
      <c r="CM85" s="127">
        <f t="shared" ref="CM85" si="140">CL85-Y85+Z85</f>
        <v>13760</v>
      </c>
      <c r="CN85" s="127">
        <f t="shared" ref="CN85" si="141">BO85-AM85</f>
        <v>13760</v>
      </c>
      <c r="CO85" s="127">
        <f t="shared" ref="CO85" si="142">AY85*118%</f>
        <v>97420.799999999988</v>
      </c>
      <c r="CP85" s="127">
        <f t="shared" ref="CP85" si="143">-Q85*118%</f>
        <v>-81184</v>
      </c>
      <c r="CQ85" s="127">
        <f t="shared" ref="CQ85" si="144">-BZ85*118%</f>
        <v>0</v>
      </c>
      <c r="CR85" s="127">
        <f t="shared" ref="CR85" si="145">-CA85*118%</f>
        <v>0</v>
      </c>
      <c r="CS85" s="127">
        <f t="shared" ref="CS85" si="146">SUM(CO85:CR85)</f>
        <v>16236.799999999988</v>
      </c>
      <c r="CT85" s="127" t="s">
        <v>361</v>
      </c>
      <c r="CU85" s="127" t="s">
        <v>361</v>
      </c>
      <c r="CV85" s="142" t="str">
        <f t="shared" ref="CV85" si="147">MID(G85,3,10)</f>
        <v>AAMCB5608A</v>
      </c>
      <c r="CW85" s="142" t="str">
        <f t="shared" ref="CW85" si="148">MID(AR85,3,10)</f>
        <v>BJHPB3107J</v>
      </c>
    </row>
    <row r="86" spans="2:101" s="149" customFormat="1" ht="11.85" customHeight="1" x14ac:dyDescent="0.25">
      <c r="B86" s="120" t="str">
        <f t="shared" si="110"/>
        <v>Q1</v>
      </c>
      <c r="C86" s="121" t="str">
        <f t="shared" si="111"/>
        <v>Apr-26</v>
      </c>
      <c r="D86" s="122">
        <v>46139</v>
      </c>
      <c r="E86" s="123" t="s">
        <v>3446</v>
      </c>
      <c r="F86" s="123" t="s">
        <v>196</v>
      </c>
      <c r="G86" s="123" t="s">
        <v>198</v>
      </c>
      <c r="H86" s="124" t="s">
        <v>3447</v>
      </c>
      <c r="I86" s="122">
        <v>46139</v>
      </c>
      <c r="J86" s="123" t="s">
        <v>3448</v>
      </c>
      <c r="K86" s="122">
        <v>46139</v>
      </c>
      <c r="L86" s="123" t="s">
        <v>199</v>
      </c>
      <c r="M86" s="123" t="s">
        <v>2331</v>
      </c>
      <c r="N86" s="124" t="s">
        <v>353</v>
      </c>
      <c r="O86" s="123">
        <v>1900</v>
      </c>
      <c r="P86" s="124">
        <v>7</v>
      </c>
      <c r="Q86" s="125">
        <f t="shared" si="112"/>
        <v>13300</v>
      </c>
      <c r="R86" s="126">
        <v>0</v>
      </c>
      <c r="S86" s="125">
        <f t="shared" si="113"/>
        <v>1900</v>
      </c>
      <c r="T86" s="126">
        <v>0</v>
      </c>
      <c r="U86" s="127">
        <v>0</v>
      </c>
      <c r="V86" s="128">
        <v>0</v>
      </c>
      <c r="W86" s="127">
        <v>0</v>
      </c>
      <c r="X86" s="129">
        <v>0</v>
      </c>
      <c r="Y86" s="127">
        <v>0</v>
      </c>
      <c r="Z86" s="127">
        <v>0</v>
      </c>
      <c r="AA86" s="126">
        <v>0</v>
      </c>
      <c r="AB86" s="130">
        <f t="shared" si="114"/>
        <v>0</v>
      </c>
      <c r="AC86" s="129">
        <v>0</v>
      </c>
      <c r="AD86" s="125">
        <f t="shared" si="115"/>
        <v>7</v>
      </c>
      <c r="AE86" s="144">
        <v>0</v>
      </c>
      <c r="AF86" s="127">
        <v>0</v>
      </c>
      <c r="AG86" s="131">
        <v>0</v>
      </c>
      <c r="AH86" s="127">
        <v>0</v>
      </c>
      <c r="AI86" s="128">
        <v>0</v>
      </c>
      <c r="AJ86" s="127">
        <v>0</v>
      </c>
      <c r="AK86" s="127">
        <v>0</v>
      </c>
      <c r="AL86" s="127">
        <v>0</v>
      </c>
      <c r="AM86" s="132">
        <f t="shared" si="116"/>
        <v>13300</v>
      </c>
      <c r="AN86" s="133">
        <v>46139</v>
      </c>
      <c r="AO86" s="134" t="s">
        <v>3475</v>
      </c>
      <c r="AP86" s="135" t="s">
        <v>234</v>
      </c>
      <c r="AQ86" s="136" t="s">
        <v>235</v>
      </c>
      <c r="AR86" s="136" t="s">
        <v>236</v>
      </c>
      <c r="AS86" s="123" t="s">
        <v>2006</v>
      </c>
      <c r="AT86" s="137" t="s">
        <v>238</v>
      </c>
      <c r="AU86" s="137" t="s">
        <v>197</v>
      </c>
      <c r="AV86" s="138" t="s">
        <v>329</v>
      </c>
      <c r="AW86" s="136">
        <v>1900</v>
      </c>
      <c r="AX86" s="138">
        <v>13</v>
      </c>
      <c r="AY86" s="136">
        <f t="shared" ref="AY86:AY98" si="149">AW86*AX86</f>
        <v>24700</v>
      </c>
      <c r="AZ86" s="139" t="b">
        <f t="shared" ref="AZ86:AZ98" si="150">AW86=O86</f>
        <v>1</v>
      </c>
      <c r="BA86" s="125">
        <v>0</v>
      </c>
      <c r="BB86" s="140">
        <f t="shared" ref="BB86:BB98" si="151">AW86-BA86</f>
        <v>1900</v>
      </c>
      <c r="BC86" s="141">
        <v>0</v>
      </c>
      <c r="BD86" s="140" t="s">
        <v>107</v>
      </c>
      <c r="BE86" s="141">
        <v>0</v>
      </c>
      <c r="BF86" s="140">
        <v>0</v>
      </c>
      <c r="BG86" s="141">
        <v>0</v>
      </c>
      <c r="BH86" s="127">
        <v>0</v>
      </c>
      <c r="BI86" s="130">
        <v>0</v>
      </c>
      <c r="BJ86" s="128">
        <v>0</v>
      </c>
      <c r="BK86" s="125">
        <v>0</v>
      </c>
      <c r="BL86" s="136">
        <v>0</v>
      </c>
      <c r="BM86" s="127">
        <v>0</v>
      </c>
      <c r="BN86" s="142">
        <f t="shared" ref="BN86:BN98" si="152">AY86*$BN$3</f>
        <v>0</v>
      </c>
      <c r="BO86" s="126">
        <f t="shared" ref="BO86:BO98" si="153">AY86+BL86+BM86+BN86+BC86+BG86</f>
        <v>24700</v>
      </c>
      <c r="BP86" s="132">
        <f t="shared" ref="BP86:BP98" si="154">BO86-AM86</f>
        <v>11400</v>
      </c>
      <c r="BQ86" s="141" t="str">
        <f t="shared" ref="BQ86:BQ98" si="155">IF(BP86&gt;=0,"Positive Margin","Negative Margin")</f>
        <v>Positive Margin</v>
      </c>
      <c r="BR86" s="143" t="s">
        <v>119</v>
      </c>
      <c r="BS86" s="125">
        <f t="shared" ref="BS86:BS98" si="156">AY86-Y86-Q86-AA86-T86+BC86</f>
        <v>11400</v>
      </c>
      <c r="BT86" s="144" t="str">
        <f t="shared" ref="BT86:BT98" si="157">IF(BS86&lt;0, "Negative Margin at Inception", "Positive Margin at Inception")</f>
        <v>Positive Margin at Inception</v>
      </c>
      <c r="BU86" s="145">
        <f t="shared" ref="BU86:BU98" si="158">IFERROR(BP86/BO86,"0")</f>
        <v>0.46153846153846156</v>
      </c>
      <c r="BV86" s="144" t="str">
        <f t="shared" ref="BV86:BV98" si="159">IF(BU86&lt;1%,"Less Than 1%",IF(BU86&gt;2%,"More than 2%",IF(BU86&gt;=1%,"1% - 2%")))</f>
        <v>More than 2%</v>
      </c>
      <c r="BW86" s="125">
        <f t="shared" ref="BW86:BW98" si="160">BM86+BN86</f>
        <v>0</v>
      </c>
      <c r="BX86" s="126">
        <f t="shared" ref="BX86:BX98" si="161">AL86+AK86</f>
        <v>0</v>
      </c>
      <c r="BY86" s="125">
        <f t="shared" ref="BY86:BY98" si="162">BW86-BX86</f>
        <v>0</v>
      </c>
      <c r="BZ86" s="146">
        <f t="shared" ref="BZ86:BZ98" si="163">BM86</f>
        <v>0</v>
      </c>
      <c r="CA86" s="146">
        <f t="shared" ref="CA86:CA98" si="164">AK86</f>
        <v>0</v>
      </c>
      <c r="CB86" s="127">
        <f t="shared" ref="CB86:CB98" si="165">BZ86-CA86</f>
        <v>0</v>
      </c>
      <c r="CC86" s="146" t="s">
        <v>397</v>
      </c>
      <c r="CD86" s="127">
        <v>0</v>
      </c>
      <c r="CE86" s="127" t="str">
        <f t="shared" ref="CE86:CE98" si="166">TEXT(AN86,"mmm-yy")</f>
        <v>Apr-26</v>
      </c>
      <c r="CF86" s="127">
        <f t="shared" ref="CF86:CF98" si="167">AM86-AL86-AA86</f>
        <v>13300</v>
      </c>
      <c r="CG86" s="127">
        <f t="shared" ref="CG86:CG98" si="168">BO86-BN86</f>
        <v>24700</v>
      </c>
      <c r="CH86" s="127">
        <f t="shared" ref="CH86:CH98" si="169">INT((D86- IF(MONTH(D86) &gt;= 4, DATE(YEAR(D86), 4, 1), DATE(YEAR(D86)-1, 4, 1))) / 7) + 1</f>
        <v>4</v>
      </c>
      <c r="CI86" s="147" t="str">
        <f t="shared" ref="CI86:CI98" si="170">IF(F86="BLACK GOLD RECYCLING PRIVATE LIMITED", "BG AHD", "B2B")</f>
        <v>BG AHD</v>
      </c>
      <c r="CJ86" s="127">
        <v>0</v>
      </c>
      <c r="CK86" s="127">
        <v>0</v>
      </c>
      <c r="CL86" s="127">
        <f t="shared" ref="CL86:CL98" si="171">AY86-Q86</f>
        <v>11400</v>
      </c>
      <c r="CM86" s="127">
        <f t="shared" ref="CM86:CM98" si="172">CL86-Y86+Z86</f>
        <v>11400</v>
      </c>
      <c r="CN86" s="127">
        <f t="shared" ref="CN86:CN98" si="173">BO86-AM86</f>
        <v>11400</v>
      </c>
      <c r="CO86" s="127">
        <f t="shared" ref="CO86:CO98" si="174">AY86*118%</f>
        <v>29146</v>
      </c>
      <c r="CP86" s="127">
        <f t="shared" ref="CP86:CP98" si="175">-Q86*118%</f>
        <v>-15694</v>
      </c>
      <c r="CQ86" s="127">
        <f t="shared" ref="CQ86:CQ98" si="176">-BZ86*118%</f>
        <v>0</v>
      </c>
      <c r="CR86" s="127">
        <f t="shared" ref="CR86:CR98" si="177">-CA86*118%</f>
        <v>0</v>
      </c>
      <c r="CS86" s="127">
        <f t="shared" ref="CS86:CS98" si="178">SUM(CO86:CR86)</f>
        <v>13452</v>
      </c>
      <c r="CT86" s="127" t="s">
        <v>361</v>
      </c>
      <c r="CU86" s="127" t="s">
        <v>361</v>
      </c>
      <c r="CV86" s="142" t="str">
        <f t="shared" ref="CV86:CV98" si="179">MID(G86,3,10)</f>
        <v>AAMCB5608A</v>
      </c>
      <c r="CW86" s="142" t="str">
        <f t="shared" ref="CW86:CW98" si="180">MID(AR86,3,10)</f>
        <v>BJHPB3107J</v>
      </c>
    </row>
    <row r="87" spans="2:101" s="149" customFormat="1" ht="11.85" customHeight="1" x14ac:dyDescent="0.25">
      <c r="B87" s="120" t="str">
        <f t="shared" si="110"/>
        <v>Q1</v>
      </c>
      <c r="C87" s="121" t="str">
        <f t="shared" si="111"/>
        <v>Apr-26</v>
      </c>
      <c r="D87" s="122">
        <v>46139</v>
      </c>
      <c r="E87" s="123" t="s">
        <v>3446</v>
      </c>
      <c r="F87" s="123" t="s">
        <v>196</v>
      </c>
      <c r="G87" s="123" t="s">
        <v>198</v>
      </c>
      <c r="H87" s="124" t="s">
        <v>3447</v>
      </c>
      <c r="I87" s="122">
        <v>46139</v>
      </c>
      <c r="J87" s="123" t="s">
        <v>3448</v>
      </c>
      <c r="K87" s="122">
        <v>46139</v>
      </c>
      <c r="L87" s="123" t="s">
        <v>199</v>
      </c>
      <c r="M87" s="123" t="s">
        <v>2331</v>
      </c>
      <c r="N87" s="124" t="s">
        <v>259</v>
      </c>
      <c r="O87" s="123">
        <v>900</v>
      </c>
      <c r="P87" s="124">
        <v>11.5</v>
      </c>
      <c r="Q87" s="125">
        <f t="shared" si="112"/>
        <v>10350</v>
      </c>
      <c r="R87" s="126">
        <v>0</v>
      </c>
      <c r="S87" s="125">
        <f t="shared" si="113"/>
        <v>900</v>
      </c>
      <c r="T87" s="126">
        <v>0</v>
      </c>
      <c r="U87" s="127">
        <v>0</v>
      </c>
      <c r="V87" s="128">
        <v>0</v>
      </c>
      <c r="W87" s="127">
        <v>0</v>
      </c>
      <c r="X87" s="129">
        <v>0</v>
      </c>
      <c r="Y87" s="127">
        <v>0</v>
      </c>
      <c r="Z87" s="127">
        <v>0</v>
      </c>
      <c r="AA87" s="126">
        <v>0</v>
      </c>
      <c r="AB87" s="130">
        <f t="shared" si="114"/>
        <v>0</v>
      </c>
      <c r="AC87" s="129">
        <v>0</v>
      </c>
      <c r="AD87" s="125">
        <f t="shared" si="115"/>
        <v>11.5</v>
      </c>
      <c r="AE87" s="144">
        <v>0</v>
      </c>
      <c r="AF87" s="127">
        <v>0</v>
      </c>
      <c r="AG87" s="131">
        <v>0</v>
      </c>
      <c r="AH87" s="127">
        <v>0</v>
      </c>
      <c r="AI87" s="128">
        <v>0</v>
      </c>
      <c r="AJ87" s="127">
        <v>0</v>
      </c>
      <c r="AK87" s="127">
        <v>0</v>
      </c>
      <c r="AL87" s="127">
        <v>0</v>
      </c>
      <c r="AM87" s="132">
        <f t="shared" si="116"/>
        <v>10350</v>
      </c>
      <c r="AN87" s="133">
        <v>46139</v>
      </c>
      <c r="AO87" s="134" t="s">
        <v>3475</v>
      </c>
      <c r="AP87" s="135" t="s">
        <v>234</v>
      </c>
      <c r="AQ87" s="136" t="s">
        <v>235</v>
      </c>
      <c r="AR87" s="136" t="s">
        <v>236</v>
      </c>
      <c r="AS87" s="123" t="s">
        <v>2006</v>
      </c>
      <c r="AT87" s="137" t="s">
        <v>238</v>
      </c>
      <c r="AU87" s="137" t="s">
        <v>197</v>
      </c>
      <c r="AV87" s="138" t="s">
        <v>329</v>
      </c>
      <c r="AW87" s="136">
        <v>900</v>
      </c>
      <c r="AX87" s="138">
        <v>14</v>
      </c>
      <c r="AY87" s="136">
        <f t="shared" si="149"/>
        <v>12600</v>
      </c>
      <c r="AZ87" s="139" t="b">
        <f t="shared" si="150"/>
        <v>1</v>
      </c>
      <c r="BA87" s="125">
        <v>0</v>
      </c>
      <c r="BB87" s="140">
        <f t="shared" si="151"/>
        <v>900</v>
      </c>
      <c r="BC87" s="141">
        <v>0</v>
      </c>
      <c r="BD87" s="140" t="s">
        <v>107</v>
      </c>
      <c r="BE87" s="141">
        <v>0</v>
      </c>
      <c r="BF87" s="140">
        <v>0</v>
      </c>
      <c r="BG87" s="141">
        <v>0</v>
      </c>
      <c r="BH87" s="127">
        <v>0</v>
      </c>
      <c r="BI87" s="130">
        <v>0</v>
      </c>
      <c r="BJ87" s="128">
        <v>0</v>
      </c>
      <c r="BK87" s="125">
        <v>0</v>
      </c>
      <c r="BL87" s="136">
        <v>0</v>
      </c>
      <c r="BM87" s="127">
        <v>0</v>
      </c>
      <c r="BN87" s="142">
        <f t="shared" si="152"/>
        <v>0</v>
      </c>
      <c r="BO87" s="126">
        <f t="shared" si="153"/>
        <v>12600</v>
      </c>
      <c r="BP87" s="132">
        <f t="shared" si="154"/>
        <v>2250</v>
      </c>
      <c r="BQ87" s="141" t="str">
        <f t="shared" si="155"/>
        <v>Positive Margin</v>
      </c>
      <c r="BR87" s="143" t="s">
        <v>119</v>
      </c>
      <c r="BS87" s="125">
        <f t="shared" si="156"/>
        <v>2250</v>
      </c>
      <c r="BT87" s="144" t="str">
        <f t="shared" si="157"/>
        <v>Positive Margin at Inception</v>
      </c>
      <c r="BU87" s="145">
        <f t="shared" si="158"/>
        <v>0.17857142857142858</v>
      </c>
      <c r="BV87" s="144" t="str">
        <f t="shared" si="159"/>
        <v>More than 2%</v>
      </c>
      <c r="BW87" s="125">
        <f t="shared" si="160"/>
        <v>0</v>
      </c>
      <c r="BX87" s="126">
        <f t="shared" si="161"/>
        <v>0</v>
      </c>
      <c r="BY87" s="125">
        <f t="shared" si="162"/>
        <v>0</v>
      </c>
      <c r="BZ87" s="146">
        <f t="shared" si="163"/>
        <v>0</v>
      </c>
      <c r="CA87" s="146">
        <f t="shared" si="164"/>
        <v>0</v>
      </c>
      <c r="CB87" s="127">
        <f t="shared" si="165"/>
        <v>0</v>
      </c>
      <c r="CC87" s="146" t="s">
        <v>397</v>
      </c>
      <c r="CD87" s="127">
        <v>0</v>
      </c>
      <c r="CE87" s="127" t="str">
        <f t="shared" si="166"/>
        <v>Apr-26</v>
      </c>
      <c r="CF87" s="127">
        <f t="shared" si="167"/>
        <v>10350</v>
      </c>
      <c r="CG87" s="127">
        <f t="shared" si="168"/>
        <v>12600</v>
      </c>
      <c r="CH87" s="127">
        <f t="shared" si="169"/>
        <v>4</v>
      </c>
      <c r="CI87" s="147" t="str">
        <f t="shared" si="170"/>
        <v>BG AHD</v>
      </c>
      <c r="CJ87" s="127">
        <v>0</v>
      </c>
      <c r="CK87" s="127">
        <v>0</v>
      </c>
      <c r="CL87" s="127">
        <f t="shared" si="171"/>
        <v>2250</v>
      </c>
      <c r="CM87" s="127">
        <f t="shared" si="172"/>
        <v>2250</v>
      </c>
      <c r="CN87" s="127">
        <f t="shared" si="173"/>
        <v>2250</v>
      </c>
      <c r="CO87" s="127">
        <f t="shared" si="174"/>
        <v>14868</v>
      </c>
      <c r="CP87" s="127">
        <f t="shared" si="175"/>
        <v>-12213</v>
      </c>
      <c r="CQ87" s="127">
        <f t="shared" si="176"/>
        <v>0</v>
      </c>
      <c r="CR87" s="127">
        <f t="shared" si="177"/>
        <v>0</v>
      </c>
      <c r="CS87" s="127">
        <f t="shared" si="178"/>
        <v>2655</v>
      </c>
      <c r="CT87" s="127" t="s">
        <v>361</v>
      </c>
      <c r="CU87" s="127" t="s">
        <v>361</v>
      </c>
      <c r="CV87" s="142" t="str">
        <f t="shared" si="179"/>
        <v>AAMCB5608A</v>
      </c>
      <c r="CW87" s="142" t="str">
        <f t="shared" si="180"/>
        <v>BJHPB3107J</v>
      </c>
    </row>
    <row r="88" spans="2:101" s="149" customFormat="1" ht="11.85" customHeight="1" x14ac:dyDescent="0.25">
      <c r="B88" s="120" t="str">
        <f t="shared" si="110"/>
        <v>Q1</v>
      </c>
      <c r="C88" s="121" t="str">
        <f t="shared" si="111"/>
        <v>Apr-26</v>
      </c>
      <c r="D88" s="122">
        <v>46140</v>
      </c>
      <c r="E88" s="123" t="s">
        <v>3449</v>
      </c>
      <c r="F88" s="123" t="s">
        <v>196</v>
      </c>
      <c r="G88" s="123" t="s">
        <v>198</v>
      </c>
      <c r="H88" s="124" t="s">
        <v>3450</v>
      </c>
      <c r="I88" s="122">
        <v>46140</v>
      </c>
      <c r="J88" s="123" t="s">
        <v>3451</v>
      </c>
      <c r="K88" s="122">
        <v>46140</v>
      </c>
      <c r="L88" s="123" t="s">
        <v>199</v>
      </c>
      <c r="M88" s="123" t="s">
        <v>2331</v>
      </c>
      <c r="N88" s="124" t="s">
        <v>242</v>
      </c>
      <c r="O88" s="123">
        <v>1760</v>
      </c>
      <c r="P88" s="124">
        <v>0.1</v>
      </c>
      <c r="Q88" s="125">
        <f t="shared" si="112"/>
        <v>176</v>
      </c>
      <c r="R88" s="126">
        <v>0</v>
      </c>
      <c r="S88" s="125">
        <f t="shared" si="113"/>
        <v>1760</v>
      </c>
      <c r="T88" s="126">
        <v>0</v>
      </c>
      <c r="U88" s="127">
        <v>0</v>
      </c>
      <c r="V88" s="128">
        <v>0</v>
      </c>
      <c r="W88" s="127">
        <v>0</v>
      </c>
      <c r="X88" s="129">
        <v>0</v>
      </c>
      <c r="Y88" s="127">
        <v>0</v>
      </c>
      <c r="Z88" s="127">
        <v>0</v>
      </c>
      <c r="AA88" s="126">
        <v>0</v>
      </c>
      <c r="AB88" s="130">
        <f t="shared" si="114"/>
        <v>0</v>
      </c>
      <c r="AC88" s="129">
        <v>0</v>
      </c>
      <c r="AD88" s="125">
        <f t="shared" si="115"/>
        <v>0.1</v>
      </c>
      <c r="AE88" s="144">
        <v>0</v>
      </c>
      <c r="AF88" s="127">
        <v>0</v>
      </c>
      <c r="AG88" s="131">
        <v>0</v>
      </c>
      <c r="AH88" s="127">
        <v>0</v>
      </c>
      <c r="AI88" s="128">
        <v>0</v>
      </c>
      <c r="AJ88" s="127">
        <v>0</v>
      </c>
      <c r="AK88" s="127">
        <v>0</v>
      </c>
      <c r="AL88" s="127">
        <v>0</v>
      </c>
      <c r="AM88" s="132">
        <f t="shared" si="116"/>
        <v>176</v>
      </c>
      <c r="AN88" s="133">
        <v>46140</v>
      </c>
      <c r="AO88" s="134" t="s">
        <v>3477</v>
      </c>
      <c r="AP88" s="135" t="s">
        <v>234</v>
      </c>
      <c r="AQ88" s="136" t="s">
        <v>235</v>
      </c>
      <c r="AR88" s="136" t="s">
        <v>236</v>
      </c>
      <c r="AS88" s="123" t="s">
        <v>237</v>
      </c>
      <c r="AT88" s="137" t="s">
        <v>238</v>
      </c>
      <c r="AU88" s="137" t="s">
        <v>197</v>
      </c>
      <c r="AV88" s="138" t="s">
        <v>329</v>
      </c>
      <c r="AW88" s="136">
        <v>1760</v>
      </c>
      <c r="AX88" s="138">
        <v>1.1000000000000001</v>
      </c>
      <c r="AY88" s="136">
        <f t="shared" si="149"/>
        <v>1936.0000000000002</v>
      </c>
      <c r="AZ88" s="139" t="b">
        <f t="shared" si="150"/>
        <v>1</v>
      </c>
      <c r="BA88" s="125">
        <v>0</v>
      </c>
      <c r="BB88" s="140">
        <f t="shared" si="151"/>
        <v>1760</v>
      </c>
      <c r="BC88" s="141">
        <v>0</v>
      </c>
      <c r="BD88" s="140" t="s">
        <v>107</v>
      </c>
      <c r="BE88" s="141">
        <v>0</v>
      </c>
      <c r="BF88" s="140">
        <v>0</v>
      </c>
      <c r="BG88" s="141">
        <v>0</v>
      </c>
      <c r="BH88" s="127">
        <v>0</v>
      </c>
      <c r="BI88" s="130">
        <v>0</v>
      </c>
      <c r="BJ88" s="128">
        <v>0</v>
      </c>
      <c r="BK88" s="125">
        <v>0</v>
      </c>
      <c r="BL88" s="136">
        <v>0</v>
      </c>
      <c r="BM88" s="127">
        <v>0</v>
      </c>
      <c r="BN88" s="142">
        <f t="shared" si="152"/>
        <v>0</v>
      </c>
      <c r="BO88" s="126">
        <f t="shared" si="153"/>
        <v>1936.0000000000002</v>
      </c>
      <c r="BP88" s="132">
        <f t="shared" si="154"/>
        <v>1760.0000000000002</v>
      </c>
      <c r="BQ88" s="141" t="str">
        <f t="shared" si="155"/>
        <v>Positive Margin</v>
      </c>
      <c r="BR88" s="143" t="s">
        <v>119</v>
      </c>
      <c r="BS88" s="125">
        <f t="shared" si="156"/>
        <v>1760.0000000000002</v>
      </c>
      <c r="BT88" s="144" t="str">
        <f t="shared" si="157"/>
        <v>Positive Margin at Inception</v>
      </c>
      <c r="BU88" s="145">
        <f t="shared" si="158"/>
        <v>0.90909090909090906</v>
      </c>
      <c r="BV88" s="144" t="str">
        <f t="shared" si="159"/>
        <v>More than 2%</v>
      </c>
      <c r="BW88" s="125">
        <f t="shared" si="160"/>
        <v>0</v>
      </c>
      <c r="BX88" s="126">
        <f t="shared" si="161"/>
        <v>0</v>
      </c>
      <c r="BY88" s="125">
        <f t="shared" si="162"/>
        <v>0</v>
      </c>
      <c r="BZ88" s="146">
        <f t="shared" si="163"/>
        <v>0</v>
      </c>
      <c r="CA88" s="146">
        <f t="shared" si="164"/>
        <v>0</v>
      </c>
      <c r="CB88" s="127">
        <f t="shared" si="165"/>
        <v>0</v>
      </c>
      <c r="CC88" s="146" t="s">
        <v>397</v>
      </c>
      <c r="CD88" s="127">
        <v>0</v>
      </c>
      <c r="CE88" s="127" t="str">
        <f t="shared" si="166"/>
        <v>Apr-26</v>
      </c>
      <c r="CF88" s="127">
        <f t="shared" si="167"/>
        <v>176</v>
      </c>
      <c r="CG88" s="127">
        <f t="shared" si="168"/>
        <v>1936.0000000000002</v>
      </c>
      <c r="CH88" s="127">
        <f t="shared" si="169"/>
        <v>4</v>
      </c>
      <c r="CI88" s="147" t="str">
        <f t="shared" si="170"/>
        <v>BG AHD</v>
      </c>
      <c r="CJ88" s="127">
        <v>0</v>
      </c>
      <c r="CK88" s="127">
        <v>0</v>
      </c>
      <c r="CL88" s="127">
        <f t="shared" si="171"/>
        <v>1760.0000000000002</v>
      </c>
      <c r="CM88" s="127">
        <f t="shared" si="172"/>
        <v>1760.0000000000002</v>
      </c>
      <c r="CN88" s="127">
        <f t="shared" si="173"/>
        <v>1760.0000000000002</v>
      </c>
      <c r="CO88" s="127">
        <f t="shared" si="174"/>
        <v>2284.48</v>
      </c>
      <c r="CP88" s="127">
        <f t="shared" si="175"/>
        <v>-207.67999999999998</v>
      </c>
      <c r="CQ88" s="127">
        <f t="shared" si="176"/>
        <v>0</v>
      </c>
      <c r="CR88" s="127">
        <f t="shared" si="177"/>
        <v>0</v>
      </c>
      <c r="CS88" s="127">
        <f t="shared" si="178"/>
        <v>2076.8000000000002</v>
      </c>
      <c r="CT88" s="127" t="s">
        <v>361</v>
      </c>
      <c r="CU88" s="127" t="s">
        <v>361</v>
      </c>
      <c r="CV88" s="142" t="str">
        <f t="shared" si="179"/>
        <v>AAMCB5608A</v>
      </c>
      <c r="CW88" s="142" t="str">
        <f t="shared" si="180"/>
        <v>BJHPB3107J</v>
      </c>
    </row>
    <row r="89" spans="2:101" s="149" customFormat="1" ht="11.85" customHeight="1" x14ac:dyDescent="0.25">
      <c r="B89" s="120" t="str">
        <f t="shared" si="110"/>
        <v>Q1</v>
      </c>
      <c r="C89" s="121" t="str">
        <f t="shared" si="111"/>
        <v>Apr-26</v>
      </c>
      <c r="D89" s="122">
        <v>46140</v>
      </c>
      <c r="E89" s="123" t="s">
        <v>3449</v>
      </c>
      <c r="F89" s="123" t="s">
        <v>196</v>
      </c>
      <c r="G89" s="123" t="s">
        <v>198</v>
      </c>
      <c r="H89" s="124" t="s">
        <v>3450</v>
      </c>
      <c r="I89" s="122">
        <v>46140</v>
      </c>
      <c r="J89" s="123" t="s">
        <v>3451</v>
      </c>
      <c r="K89" s="122">
        <v>46140</v>
      </c>
      <c r="L89" s="123" t="s">
        <v>199</v>
      </c>
      <c r="M89" s="123" t="s">
        <v>2331</v>
      </c>
      <c r="N89" s="124" t="s">
        <v>243</v>
      </c>
      <c r="O89" s="123">
        <v>33</v>
      </c>
      <c r="P89" s="124">
        <v>60</v>
      </c>
      <c r="Q89" s="125">
        <f t="shared" si="112"/>
        <v>1980</v>
      </c>
      <c r="R89" s="126">
        <v>0</v>
      </c>
      <c r="S89" s="125">
        <f t="shared" si="113"/>
        <v>33</v>
      </c>
      <c r="T89" s="126">
        <v>0</v>
      </c>
      <c r="U89" s="127">
        <v>0</v>
      </c>
      <c r="V89" s="128">
        <v>0</v>
      </c>
      <c r="W89" s="127">
        <v>0</v>
      </c>
      <c r="X89" s="129">
        <v>0</v>
      </c>
      <c r="Y89" s="127">
        <v>0</v>
      </c>
      <c r="Z89" s="127">
        <v>0</v>
      </c>
      <c r="AA89" s="126">
        <v>0</v>
      </c>
      <c r="AB89" s="130">
        <f t="shared" si="114"/>
        <v>0</v>
      </c>
      <c r="AC89" s="129">
        <v>0</v>
      </c>
      <c r="AD89" s="125">
        <f t="shared" si="115"/>
        <v>60</v>
      </c>
      <c r="AE89" s="144">
        <v>0</v>
      </c>
      <c r="AF89" s="127">
        <v>0</v>
      </c>
      <c r="AG89" s="131">
        <v>0</v>
      </c>
      <c r="AH89" s="127">
        <v>0</v>
      </c>
      <c r="AI89" s="128">
        <v>0</v>
      </c>
      <c r="AJ89" s="127">
        <v>0</v>
      </c>
      <c r="AK89" s="127">
        <v>0</v>
      </c>
      <c r="AL89" s="127">
        <v>0</v>
      </c>
      <c r="AM89" s="132">
        <f t="shared" si="116"/>
        <v>1980</v>
      </c>
      <c r="AN89" s="133">
        <v>46140</v>
      </c>
      <c r="AO89" s="134" t="s">
        <v>3477</v>
      </c>
      <c r="AP89" s="135" t="s">
        <v>234</v>
      </c>
      <c r="AQ89" s="136" t="s">
        <v>235</v>
      </c>
      <c r="AR89" s="136" t="s">
        <v>236</v>
      </c>
      <c r="AS89" s="123" t="s">
        <v>237</v>
      </c>
      <c r="AT89" s="137" t="s">
        <v>238</v>
      </c>
      <c r="AU89" s="137" t="s">
        <v>197</v>
      </c>
      <c r="AV89" s="138" t="s">
        <v>329</v>
      </c>
      <c r="AW89" s="136">
        <v>33</v>
      </c>
      <c r="AX89" s="138">
        <v>80</v>
      </c>
      <c r="AY89" s="136">
        <f t="shared" si="149"/>
        <v>2640</v>
      </c>
      <c r="AZ89" s="139" t="b">
        <f t="shared" si="150"/>
        <v>1</v>
      </c>
      <c r="BA89" s="125">
        <v>0</v>
      </c>
      <c r="BB89" s="140">
        <f t="shared" si="151"/>
        <v>33</v>
      </c>
      <c r="BC89" s="141">
        <v>0</v>
      </c>
      <c r="BD89" s="140" t="s">
        <v>107</v>
      </c>
      <c r="BE89" s="141">
        <v>0</v>
      </c>
      <c r="BF89" s="140">
        <v>0</v>
      </c>
      <c r="BG89" s="141">
        <v>0</v>
      </c>
      <c r="BH89" s="127">
        <v>0</v>
      </c>
      <c r="BI89" s="130">
        <v>0</v>
      </c>
      <c r="BJ89" s="128">
        <v>0</v>
      </c>
      <c r="BK89" s="125">
        <v>0</v>
      </c>
      <c r="BL89" s="136">
        <v>0</v>
      </c>
      <c r="BM89" s="127">
        <v>0</v>
      </c>
      <c r="BN89" s="142">
        <f t="shared" si="152"/>
        <v>0</v>
      </c>
      <c r="BO89" s="126">
        <f t="shared" si="153"/>
        <v>2640</v>
      </c>
      <c r="BP89" s="132">
        <f t="shared" si="154"/>
        <v>660</v>
      </c>
      <c r="BQ89" s="141" t="str">
        <f t="shared" si="155"/>
        <v>Positive Margin</v>
      </c>
      <c r="BR89" s="143" t="s">
        <v>119</v>
      </c>
      <c r="BS89" s="125">
        <f t="shared" si="156"/>
        <v>660</v>
      </c>
      <c r="BT89" s="144" t="str">
        <f t="shared" si="157"/>
        <v>Positive Margin at Inception</v>
      </c>
      <c r="BU89" s="145">
        <f t="shared" si="158"/>
        <v>0.25</v>
      </c>
      <c r="BV89" s="144" t="str">
        <f t="shared" si="159"/>
        <v>More than 2%</v>
      </c>
      <c r="BW89" s="125">
        <f t="shared" si="160"/>
        <v>0</v>
      </c>
      <c r="BX89" s="126">
        <f t="shared" si="161"/>
        <v>0</v>
      </c>
      <c r="BY89" s="125">
        <f t="shared" si="162"/>
        <v>0</v>
      </c>
      <c r="BZ89" s="146">
        <f t="shared" si="163"/>
        <v>0</v>
      </c>
      <c r="CA89" s="146">
        <f t="shared" si="164"/>
        <v>0</v>
      </c>
      <c r="CB89" s="127">
        <f t="shared" si="165"/>
        <v>0</v>
      </c>
      <c r="CC89" s="146" t="s">
        <v>397</v>
      </c>
      <c r="CD89" s="127">
        <v>0</v>
      </c>
      <c r="CE89" s="127" t="str">
        <f t="shared" si="166"/>
        <v>Apr-26</v>
      </c>
      <c r="CF89" s="127">
        <f t="shared" si="167"/>
        <v>1980</v>
      </c>
      <c r="CG89" s="127">
        <f t="shared" si="168"/>
        <v>2640</v>
      </c>
      <c r="CH89" s="127">
        <f t="shared" si="169"/>
        <v>4</v>
      </c>
      <c r="CI89" s="147" t="str">
        <f t="shared" si="170"/>
        <v>BG AHD</v>
      </c>
      <c r="CJ89" s="127">
        <v>0</v>
      </c>
      <c r="CK89" s="127">
        <v>0</v>
      </c>
      <c r="CL89" s="127">
        <f t="shared" si="171"/>
        <v>660</v>
      </c>
      <c r="CM89" s="127">
        <f t="shared" si="172"/>
        <v>660</v>
      </c>
      <c r="CN89" s="127">
        <f t="shared" si="173"/>
        <v>660</v>
      </c>
      <c r="CO89" s="127">
        <f t="shared" si="174"/>
        <v>3115.2</v>
      </c>
      <c r="CP89" s="127">
        <f t="shared" si="175"/>
        <v>-2336.4</v>
      </c>
      <c r="CQ89" s="127">
        <f t="shared" si="176"/>
        <v>0</v>
      </c>
      <c r="CR89" s="127">
        <f t="shared" si="177"/>
        <v>0</v>
      </c>
      <c r="CS89" s="127">
        <f t="shared" si="178"/>
        <v>778.79999999999973</v>
      </c>
      <c r="CT89" s="127" t="s">
        <v>361</v>
      </c>
      <c r="CU89" s="127" t="s">
        <v>361</v>
      </c>
      <c r="CV89" s="142" t="str">
        <f t="shared" si="179"/>
        <v>AAMCB5608A</v>
      </c>
      <c r="CW89" s="142" t="str">
        <f t="shared" si="180"/>
        <v>BJHPB3107J</v>
      </c>
    </row>
    <row r="90" spans="2:101" s="149" customFormat="1" ht="11.85" customHeight="1" x14ac:dyDescent="0.25">
      <c r="B90" s="120" t="str">
        <f t="shared" si="110"/>
        <v>Q1</v>
      </c>
      <c r="C90" s="121" t="str">
        <f t="shared" si="111"/>
        <v>Apr-26</v>
      </c>
      <c r="D90" s="122">
        <v>46140</v>
      </c>
      <c r="E90" s="123" t="s">
        <v>3452</v>
      </c>
      <c r="F90" s="123" t="s">
        <v>196</v>
      </c>
      <c r="G90" s="123" t="s">
        <v>198</v>
      </c>
      <c r="H90" s="124" t="s">
        <v>3453</v>
      </c>
      <c r="I90" s="122">
        <v>46140</v>
      </c>
      <c r="J90" s="123" t="s">
        <v>3454</v>
      </c>
      <c r="K90" s="122">
        <v>46141</v>
      </c>
      <c r="L90" s="123" t="s">
        <v>199</v>
      </c>
      <c r="M90" s="123" t="s">
        <v>244</v>
      </c>
      <c r="N90" s="124" t="s">
        <v>258</v>
      </c>
      <c r="O90" s="123">
        <v>1910</v>
      </c>
      <c r="P90" s="124">
        <v>1.1000000000000001</v>
      </c>
      <c r="Q90" s="125">
        <f t="shared" si="112"/>
        <v>2101</v>
      </c>
      <c r="R90" s="126">
        <v>0</v>
      </c>
      <c r="S90" s="125">
        <f t="shared" si="113"/>
        <v>1910</v>
      </c>
      <c r="T90" s="126">
        <v>0</v>
      </c>
      <c r="U90" s="127">
        <v>0</v>
      </c>
      <c r="V90" s="128">
        <v>0</v>
      </c>
      <c r="W90" s="127">
        <v>0</v>
      </c>
      <c r="X90" s="129">
        <v>0</v>
      </c>
      <c r="Y90" s="127">
        <v>0</v>
      </c>
      <c r="Z90" s="127">
        <v>0</v>
      </c>
      <c r="AA90" s="126">
        <v>0</v>
      </c>
      <c r="AB90" s="130">
        <f t="shared" si="114"/>
        <v>0</v>
      </c>
      <c r="AC90" s="129">
        <v>0</v>
      </c>
      <c r="AD90" s="125">
        <f t="shared" si="115"/>
        <v>1.1000000000000001</v>
      </c>
      <c r="AE90" s="144">
        <v>0</v>
      </c>
      <c r="AF90" s="127">
        <v>0</v>
      </c>
      <c r="AG90" s="131">
        <v>0</v>
      </c>
      <c r="AH90" s="127">
        <v>0</v>
      </c>
      <c r="AI90" s="128">
        <v>0</v>
      </c>
      <c r="AJ90" s="127">
        <v>0</v>
      </c>
      <c r="AK90" s="127">
        <v>0</v>
      </c>
      <c r="AL90" s="127">
        <v>0</v>
      </c>
      <c r="AM90" s="132">
        <f t="shared" si="116"/>
        <v>2101</v>
      </c>
      <c r="AN90" s="133">
        <v>46141</v>
      </c>
      <c r="AO90" s="134" t="s">
        <v>3478</v>
      </c>
      <c r="AP90" s="135" t="s">
        <v>234</v>
      </c>
      <c r="AQ90" s="136" t="s">
        <v>235</v>
      </c>
      <c r="AR90" s="136" t="s">
        <v>236</v>
      </c>
      <c r="AS90" s="123" t="s">
        <v>237</v>
      </c>
      <c r="AT90" s="137" t="s">
        <v>238</v>
      </c>
      <c r="AU90" s="137" t="s">
        <v>197</v>
      </c>
      <c r="AV90" s="138" t="s">
        <v>329</v>
      </c>
      <c r="AW90" s="136">
        <v>1910</v>
      </c>
      <c r="AX90" s="138">
        <v>2.1</v>
      </c>
      <c r="AY90" s="136">
        <f t="shared" si="149"/>
        <v>4011</v>
      </c>
      <c r="AZ90" s="139" t="b">
        <f t="shared" si="150"/>
        <v>1</v>
      </c>
      <c r="BA90" s="125">
        <v>0</v>
      </c>
      <c r="BB90" s="140">
        <f t="shared" si="151"/>
        <v>1910</v>
      </c>
      <c r="BC90" s="141">
        <v>0</v>
      </c>
      <c r="BD90" s="140" t="s">
        <v>107</v>
      </c>
      <c r="BE90" s="141">
        <v>0</v>
      </c>
      <c r="BF90" s="140">
        <v>0</v>
      </c>
      <c r="BG90" s="141">
        <v>0</v>
      </c>
      <c r="BH90" s="127">
        <v>0</v>
      </c>
      <c r="BI90" s="130">
        <v>0</v>
      </c>
      <c r="BJ90" s="128">
        <v>0</v>
      </c>
      <c r="BK90" s="125">
        <v>0</v>
      </c>
      <c r="BL90" s="136">
        <v>0</v>
      </c>
      <c r="BM90" s="127">
        <v>0</v>
      </c>
      <c r="BN90" s="142">
        <f t="shared" si="152"/>
        <v>0</v>
      </c>
      <c r="BO90" s="126">
        <f t="shared" si="153"/>
        <v>4011</v>
      </c>
      <c r="BP90" s="132">
        <f t="shared" si="154"/>
        <v>1910</v>
      </c>
      <c r="BQ90" s="141" t="str">
        <f t="shared" si="155"/>
        <v>Positive Margin</v>
      </c>
      <c r="BR90" s="143" t="s">
        <v>119</v>
      </c>
      <c r="BS90" s="125">
        <f t="shared" si="156"/>
        <v>1910</v>
      </c>
      <c r="BT90" s="144" t="str">
        <f t="shared" si="157"/>
        <v>Positive Margin at Inception</v>
      </c>
      <c r="BU90" s="145">
        <f t="shared" si="158"/>
        <v>0.47619047619047616</v>
      </c>
      <c r="BV90" s="144" t="str">
        <f t="shared" si="159"/>
        <v>More than 2%</v>
      </c>
      <c r="BW90" s="125">
        <f t="shared" si="160"/>
        <v>0</v>
      </c>
      <c r="BX90" s="126">
        <f t="shared" si="161"/>
        <v>0</v>
      </c>
      <c r="BY90" s="125">
        <f t="shared" si="162"/>
        <v>0</v>
      </c>
      <c r="BZ90" s="146">
        <f t="shared" si="163"/>
        <v>0</v>
      </c>
      <c r="CA90" s="146">
        <f t="shared" si="164"/>
        <v>0</v>
      </c>
      <c r="CB90" s="127">
        <f t="shared" si="165"/>
        <v>0</v>
      </c>
      <c r="CC90" s="146" t="s">
        <v>397</v>
      </c>
      <c r="CD90" s="127">
        <v>0</v>
      </c>
      <c r="CE90" s="127" t="str">
        <f t="shared" si="166"/>
        <v>Apr-26</v>
      </c>
      <c r="CF90" s="127">
        <f t="shared" si="167"/>
        <v>2101</v>
      </c>
      <c r="CG90" s="127">
        <f t="shared" si="168"/>
        <v>4011</v>
      </c>
      <c r="CH90" s="127">
        <f t="shared" si="169"/>
        <v>4</v>
      </c>
      <c r="CI90" s="147" t="str">
        <f t="shared" si="170"/>
        <v>BG AHD</v>
      </c>
      <c r="CJ90" s="127">
        <v>0</v>
      </c>
      <c r="CK90" s="127">
        <v>0</v>
      </c>
      <c r="CL90" s="127">
        <f t="shared" si="171"/>
        <v>1910</v>
      </c>
      <c r="CM90" s="127">
        <f t="shared" si="172"/>
        <v>1910</v>
      </c>
      <c r="CN90" s="127">
        <f t="shared" si="173"/>
        <v>1910</v>
      </c>
      <c r="CO90" s="127">
        <f t="shared" si="174"/>
        <v>4732.9799999999996</v>
      </c>
      <c r="CP90" s="127">
        <f t="shared" si="175"/>
        <v>-2479.1799999999998</v>
      </c>
      <c r="CQ90" s="127">
        <f t="shared" si="176"/>
        <v>0</v>
      </c>
      <c r="CR90" s="127">
        <f t="shared" si="177"/>
        <v>0</v>
      </c>
      <c r="CS90" s="127">
        <f t="shared" si="178"/>
        <v>2253.7999999999997</v>
      </c>
      <c r="CT90" s="127" t="s">
        <v>361</v>
      </c>
      <c r="CU90" s="127" t="s">
        <v>361</v>
      </c>
      <c r="CV90" s="142" t="str">
        <f t="shared" si="179"/>
        <v>AAMCB5608A</v>
      </c>
      <c r="CW90" s="142" t="str">
        <f t="shared" si="180"/>
        <v>BJHPB3107J</v>
      </c>
    </row>
    <row r="91" spans="2:101" s="149" customFormat="1" ht="11.85" customHeight="1" x14ac:dyDescent="0.25">
      <c r="B91" s="120" t="str">
        <f t="shared" si="110"/>
        <v>Q1</v>
      </c>
      <c r="C91" s="121" t="str">
        <f t="shared" si="111"/>
        <v>Apr-26</v>
      </c>
      <c r="D91" s="122">
        <v>46140</v>
      </c>
      <c r="E91" s="123" t="s">
        <v>3452</v>
      </c>
      <c r="F91" s="123" t="s">
        <v>196</v>
      </c>
      <c r="G91" s="123" t="s">
        <v>198</v>
      </c>
      <c r="H91" s="124" t="s">
        <v>3453</v>
      </c>
      <c r="I91" s="122">
        <v>46140</v>
      </c>
      <c r="J91" s="123" t="s">
        <v>3454</v>
      </c>
      <c r="K91" s="122">
        <v>46141</v>
      </c>
      <c r="L91" s="123" t="s">
        <v>199</v>
      </c>
      <c r="M91" s="123" t="s">
        <v>244</v>
      </c>
      <c r="N91" s="124" t="s">
        <v>206</v>
      </c>
      <c r="O91" s="123">
        <v>408</v>
      </c>
      <c r="P91" s="124">
        <v>50</v>
      </c>
      <c r="Q91" s="125">
        <f t="shared" si="112"/>
        <v>20400</v>
      </c>
      <c r="R91" s="126">
        <v>0</v>
      </c>
      <c r="S91" s="125">
        <f t="shared" si="113"/>
        <v>408</v>
      </c>
      <c r="T91" s="126">
        <v>0</v>
      </c>
      <c r="U91" s="127">
        <v>0</v>
      </c>
      <c r="V91" s="128">
        <v>0</v>
      </c>
      <c r="W91" s="127">
        <v>0</v>
      </c>
      <c r="X91" s="129">
        <v>0</v>
      </c>
      <c r="Y91" s="127">
        <v>0</v>
      </c>
      <c r="Z91" s="127">
        <v>0</v>
      </c>
      <c r="AA91" s="126">
        <v>0</v>
      </c>
      <c r="AB91" s="130">
        <f t="shared" si="114"/>
        <v>0</v>
      </c>
      <c r="AC91" s="129">
        <v>0</v>
      </c>
      <c r="AD91" s="125">
        <f t="shared" si="115"/>
        <v>50</v>
      </c>
      <c r="AE91" s="144">
        <v>0</v>
      </c>
      <c r="AF91" s="127">
        <v>0</v>
      </c>
      <c r="AG91" s="131">
        <v>0</v>
      </c>
      <c r="AH91" s="127">
        <v>0</v>
      </c>
      <c r="AI91" s="128">
        <v>0</v>
      </c>
      <c r="AJ91" s="127">
        <v>0</v>
      </c>
      <c r="AK91" s="127">
        <v>0</v>
      </c>
      <c r="AL91" s="127">
        <v>0</v>
      </c>
      <c r="AM91" s="132">
        <f t="shared" si="116"/>
        <v>20400</v>
      </c>
      <c r="AN91" s="133">
        <v>46141</v>
      </c>
      <c r="AO91" s="134" t="s">
        <v>3478</v>
      </c>
      <c r="AP91" s="135" t="s">
        <v>234</v>
      </c>
      <c r="AQ91" s="136" t="s">
        <v>235</v>
      </c>
      <c r="AR91" s="136" t="s">
        <v>236</v>
      </c>
      <c r="AS91" s="123" t="s">
        <v>237</v>
      </c>
      <c r="AT91" s="137" t="s">
        <v>238</v>
      </c>
      <c r="AU91" s="137" t="s">
        <v>197</v>
      </c>
      <c r="AV91" s="138" t="s">
        <v>329</v>
      </c>
      <c r="AW91" s="136">
        <v>408</v>
      </c>
      <c r="AX91" s="138">
        <v>70</v>
      </c>
      <c r="AY91" s="136">
        <f t="shared" si="149"/>
        <v>28560</v>
      </c>
      <c r="AZ91" s="139" t="b">
        <f t="shared" si="150"/>
        <v>1</v>
      </c>
      <c r="BA91" s="125">
        <v>0</v>
      </c>
      <c r="BB91" s="140">
        <f t="shared" si="151"/>
        <v>408</v>
      </c>
      <c r="BC91" s="141">
        <v>0</v>
      </c>
      <c r="BD91" s="140" t="s">
        <v>107</v>
      </c>
      <c r="BE91" s="141">
        <v>0</v>
      </c>
      <c r="BF91" s="140">
        <v>0</v>
      </c>
      <c r="BG91" s="141">
        <v>0</v>
      </c>
      <c r="BH91" s="127">
        <v>0</v>
      </c>
      <c r="BI91" s="130">
        <v>0</v>
      </c>
      <c r="BJ91" s="128">
        <v>0</v>
      </c>
      <c r="BK91" s="125">
        <v>0</v>
      </c>
      <c r="BL91" s="136">
        <v>0</v>
      </c>
      <c r="BM91" s="127">
        <v>0</v>
      </c>
      <c r="BN91" s="142">
        <f t="shared" si="152"/>
        <v>0</v>
      </c>
      <c r="BO91" s="126">
        <f t="shared" si="153"/>
        <v>28560</v>
      </c>
      <c r="BP91" s="132">
        <f t="shared" si="154"/>
        <v>8160</v>
      </c>
      <c r="BQ91" s="141" t="str">
        <f t="shared" si="155"/>
        <v>Positive Margin</v>
      </c>
      <c r="BR91" s="143" t="s">
        <v>119</v>
      </c>
      <c r="BS91" s="125">
        <f t="shared" si="156"/>
        <v>8160</v>
      </c>
      <c r="BT91" s="144" t="str">
        <f t="shared" si="157"/>
        <v>Positive Margin at Inception</v>
      </c>
      <c r="BU91" s="145">
        <f t="shared" si="158"/>
        <v>0.2857142857142857</v>
      </c>
      <c r="BV91" s="144" t="str">
        <f t="shared" si="159"/>
        <v>More than 2%</v>
      </c>
      <c r="BW91" s="125">
        <f t="shared" si="160"/>
        <v>0</v>
      </c>
      <c r="BX91" s="126">
        <f t="shared" si="161"/>
        <v>0</v>
      </c>
      <c r="BY91" s="125">
        <f t="shared" si="162"/>
        <v>0</v>
      </c>
      <c r="BZ91" s="146">
        <f t="shared" si="163"/>
        <v>0</v>
      </c>
      <c r="CA91" s="146">
        <f t="shared" si="164"/>
        <v>0</v>
      </c>
      <c r="CB91" s="127">
        <f t="shared" si="165"/>
        <v>0</v>
      </c>
      <c r="CC91" s="146" t="s">
        <v>397</v>
      </c>
      <c r="CD91" s="127">
        <v>0</v>
      </c>
      <c r="CE91" s="127" t="str">
        <f t="shared" si="166"/>
        <v>Apr-26</v>
      </c>
      <c r="CF91" s="127">
        <f t="shared" si="167"/>
        <v>20400</v>
      </c>
      <c r="CG91" s="127">
        <f t="shared" si="168"/>
        <v>28560</v>
      </c>
      <c r="CH91" s="127">
        <f t="shared" si="169"/>
        <v>4</v>
      </c>
      <c r="CI91" s="147" t="str">
        <f t="shared" si="170"/>
        <v>BG AHD</v>
      </c>
      <c r="CJ91" s="127">
        <v>0</v>
      </c>
      <c r="CK91" s="127">
        <v>0</v>
      </c>
      <c r="CL91" s="127">
        <f t="shared" si="171"/>
        <v>8160</v>
      </c>
      <c r="CM91" s="127">
        <f t="shared" si="172"/>
        <v>8160</v>
      </c>
      <c r="CN91" s="127">
        <f t="shared" si="173"/>
        <v>8160</v>
      </c>
      <c r="CO91" s="127">
        <f t="shared" si="174"/>
        <v>33700.799999999996</v>
      </c>
      <c r="CP91" s="127">
        <f t="shared" si="175"/>
        <v>-24072</v>
      </c>
      <c r="CQ91" s="127">
        <f t="shared" si="176"/>
        <v>0</v>
      </c>
      <c r="CR91" s="127">
        <f t="shared" si="177"/>
        <v>0</v>
      </c>
      <c r="CS91" s="127">
        <f t="shared" si="178"/>
        <v>9628.7999999999956</v>
      </c>
      <c r="CT91" s="127" t="s">
        <v>361</v>
      </c>
      <c r="CU91" s="127" t="s">
        <v>361</v>
      </c>
      <c r="CV91" s="142" t="str">
        <f t="shared" si="179"/>
        <v>AAMCB5608A</v>
      </c>
      <c r="CW91" s="142" t="str">
        <f t="shared" si="180"/>
        <v>BJHPB3107J</v>
      </c>
    </row>
    <row r="92" spans="2:101" s="149" customFormat="1" ht="11.85" customHeight="1" x14ac:dyDescent="0.25">
      <c r="B92" s="120" t="str">
        <f t="shared" si="110"/>
        <v>Q1</v>
      </c>
      <c r="C92" s="121" t="str">
        <f t="shared" si="111"/>
        <v>Apr-26</v>
      </c>
      <c r="D92" s="122">
        <v>46141</v>
      </c>
      <c r="E92" s="123" t="s">
        <v>3455</v>
      </c>
      <c r="F92" s="123" t="s">
        <v>196</v>
      </c>
      <c r="G92" s="123" t="s">
        <v>198</v>
      </c>
      <c r="H92" s="124" t="s">
        <v>3456</v>
      </c>
      <c r="I92" s="122">
        <v>46141</v>
      </c>
      <c r="J92" s="123" t="s">
        <v>3457</v>
      </c>
      <c r="K92" s="122">
        <v>46141</v>
      </c>
      <c r="L92" s="123" t="s">
        <v>199</v>
      </c>
      <c r="M92" s="123" t="s">
        <v>3458</v>
      </c>
      <c r="N92" s="124" t="s">
        <v>203</v>
      </c>
      <c r="O92" s="123">
        <v>4480</v>
      </c>
      <c r="P92" s="124">
        <v>16.100000000000001</v>
      </c>
      <c r="Q92" s="125">
        <f t="shared" si="112"/>
        <v>72128</v>
      </c>
      <c r="R92" s="126">
        <v>0</v>
      </c>
      <c r="S92" s="125">
        <f t="shared" si="113"/>
        <v>4480</v>
      </c>
      <c r="T92" s="126">
        <v>0</v>
      </c>
      <c r="U92" s="127">
        <v>0</v>
      </c>
      <c r="V92" s="128">
        <v>0</v>
      </c>
      <c r="W92" s="127">
        <v>0</v>
      </c>
      <c r="X92" s="129">
        <v>0</v>
      </c>
      <c r="Y92" s="127">
        <v>0</v>
      </c>
      <c r="Z92" s="127">
        <v>0</v>
      </c>
      <c r="AA92" s="126">
        <v>0</v>
      </c>
      <c r="AB92" s="130">
        <f t="shared" si="114"/>
        <v>0</v>
      </c>
      <c r="AC92" s="129">
        <v>0</v>
      </c>
      <c r="AD92" s="125">
        <f t="shared" si="115"/>
        <v>16.100000000000001</v>
      </c>
      <c r="AE92" s="144">
        <v>0</v>
      </c>
      <c r="AF92" s="127">
        <v>0</v>
      </c>
      <c r="AG92" s="131">
        <v>0</v>
      </c>
      <c r="AH92" s="127">
        <v>0</v>
      </c>
      <c r="AI92" s="128">
        <v>0</v>
      </c>
      <c r="AJ92" s="127">
        <v>0</v>
      </c>
      <c r="AK92" s="127">
        <v>0</v>
      </c>
      <c r="AL92" s="127">
        <v>0</v>
      </c>
      <c r="AM92" s="132">
        <f t="shared" si="116"/>
        <v>72128</v>
      </c>
      <c r="AN92" s="133">
        <v>46141</v>
      </c>
      <c r="AO92" s="134" t="s">
        <v>3480</v>
      </c>
      <c r="AP92" s="135" t="s">
        <v>234</v>
      </c>
      <c r="AQ92" s="136" t="s">
        <v>235</v>
      </c>
      <c r="AR92" s="136" t="s">
        <v>236</v>
      </c>
      <c r="AS92" s="123" t="s">
        <v>2006</v>
      </c>
      <c r="AT92" s="137" t="s">
        <v>238</v>
      </c>
      <c r="AU92" s="137" t="s">
        <v>197</v>
      </c>
      <c r="AV92" s="138" t="s">
        <v>329</v>
      </c>
      <c r="AW92" s="136">
        <v>4480</v>
      </c>
      <c r="AX92" s="138">
        <v>20</v>
      </c>
      <c r="AY92" s="136">
        <f t="shared" si="149"/>
        <v>89600</v>
      </c>
      <c r="AZ92" s="139" t="b">
        <f t="shared" si="150"/>
        <v>1</v>
      </c>
      <c r="BA92" s="125">
        <v>0</v>
      </c>
      <c r="BB92" s="140">
        <f t="shared" si="151"/>
        <v>4480</v>
      </c>
      <c r="BC92" s="141">
        <v>0</v>
      </c>
      <c r="BD92" s="140" t="s">
        <v>107</v>
      </c>
      <c r="BE92" s="141">
        <v>0</v>
      </c>
      <c r="BF92" s="140">
        <v>0</v>
      </c>
      <c r="BG92" s="141">
        <v>0</v>
      </c>
      <c r="BH92" s="127">
        <v>0</v>
      </c>
      <c r="BI92" s="130">
        <v>0</v>
      </c>
      <c r="BJ92" s="128">
        <v>0</v>
      </c>
      <c r="BK92" s="125">
        <v>0</v>
      </c>
      <c r="BL92" s="136">
        <v>0</v>
      </c>
      <c r="BM92" s="127">
        <v>0</v>
      </c>
      <c r="BN92" s="142">
        <f t="shared" si="152"/>
        <v>0</v>
      </c>
      <c r="BO92" s="126">
        <f t="shared" si="153"/>
        <v>89600</v>
      </c>
      <c r="BP92" s="132">
        <f t="shared" si="154"/>
        <v>17472</v>
      </c>
      <c r="BQ92" s="141" t="str">
        <f t="shared" si="155"/>
        <v>Positive Margin</v>
      </c>
      <c r="BR92" s="143" t="s">
        <v>119</v>
      </c>
      <c r="BS92" s="125">
        <f t="shared" si="156"/>
        <v>17472</v>
      </c>
      <c r="BT92" s="144" t="str">
        <f t="shared" si="157"/>
        <v>Positive Margin at Inception</v>
      </c>
      <c r="BU92" s="145">
        <f t="shared" si="158"/>
        <v>0.19500000000000001</v>
      </c>
      <c r="BV92" s="144" t="str">
        <f t="shared" si="159"/>
        <v>More than 2%</v>
      </c>
      <c r="BW92" s="125">
        <f t="shared" si="160"/>
        <v>0</v>
      </c>
      <c r="BX92" s="126">
        <f t="shared" si="161"/>
        <v>0</v>
      </c>
      <c r="BY92" s="125">
        <f t="shared" si="162"/>
        <v>0</v>
      </c>
      <c r="BZ92" s="146">
        <f t="shared" si="163"/>
        <v>0</v>
      </c>
      <c r="CA92" s="146">
        <f t="shared" si="164"/>
        <v>0</v>
      </c>
      <c r="CB92" s="127">
        <f t="shared" si="165"/>
        <v>0</v>
      </c>
      <c r="CC92" s="146" t="s">
        <v>397</v>
      </c>
      <c r="CD92" s="127">
        <v>0</v>
      </c>
      <c r="CE92" s="127" t="str">
        <f t="shared" si="166"/>
        <v>Apr-26</v>
      </c>
      <c r="CF92" s="127">
        <f t="shared" si="167"/>
        <v>72128</v>
      </c>
      <c r="CG92" s="127">
        <f t="shared" si="168"/>
        <v>89600</v>
      </c>
      <c r="CH92" s="127">
        <f t="shared" si="169"/>
        <v>5</v>
      </c>
      <c r="CI92" s="147" t="str">
        <f t="shared" si="170"/>
        <v>BG AHD</v>
      </c>
      <c r="CJ92" s="127">
        <v>0</v>
      </c>
      <c r="CK92" s="127">
        <v>0</v>
      </c>
      <c r="CL92" s="127">
        <f t="shared" si="171"/>
        <v>17472</v>
      </c>
      <c r="CM92" s="127">
        <f t="shared" si="172"/>
        <v>17472</v>
      </c>
      <c r="CN92" s="127">
        <f t="shared" si="173"/>
        <v>17472</v>
      </c>
      <c r="CO92" s="127">
        <f t="shared" si="174"/>
        <v>105728</v>
      </c>
      <c r="CP92" s="127">
        <f t="shared" si="175"/>
        <v>-85111.039999999994</v>
      </c>
      <c r="CQ92" s="127">
        <f t="shared" si="176"/>
        <v>0</v>
      </c>
      <c r="CR92" s="127">
        <f t="shared" si="177"/>
        <v>0</v>
      </c>
      <c r="CS92" s="127">
        <f t="shared" si="178"/>
        <v>20616.960000000006</v>
      </c>
      <c r="CT92" s="127" t="s">
        <v>361</v>
      </c>
      <c r="CU92" s="127" t="s">
        <v>361</v>
      </c>
      <c r="CV92" s="142" t="str">
        <f t="shared" si="179"/>
        <v>AAMCB5608A</v>
      </c>
      <c r="CW92" s="142" t="str">
        <f t="shared" si="180"/>
        <v>BJHPB3107J</v>
      </c>
    </row>
    <row r="93" spans="2:101" s="149" customFormat="1" ht="11.85" customHeight="1" x14ac:dyDescent="0.25">
      <c r="B93" s="120" t="str">
        <f t="shared" si="110"/>
        <v>Q1</v>
      </c>
      <c r="C93" s="121" t="str">
        <f t="shared" si="111"/>
        <v>Apr-26</v>
      </c>
      <c r="D93" s="122">
        <v>46141</v>
      </c>
      <c r="E93" s="123" t="s">
        <v>3459</v>
      </c>
      <c r="F93" s="123" t="s">
        <v>196</v>
      </c>
      <c r="G93" s="123" t="s">
        <v>198</v>
      </c>
      <c r="H93" s="124" t="s">
        <v>3460</v>
      </c>
      <c r="I93" s="122">
        <v>46141</v>
      </c>
      <c r="J93" s="123" t="s">
        <v>3461</v>
      </c>
      <c r="K93" s="122">
        <v>46141</v>
      </c>
      <c r="L93" s="123" t="s">
        <v>199</v>
      </c>
      <c r="M93" s="123" t="s">
        <v>3462</v>
      </c>
      <c r="N93" s="124" t="s">
        <v>241</v>
      </c>
      <c r="O93" s="123">
        <v>780</v>
      </c>
      <c r="P93" s="124">
        <v>30</v>
      </c>
      <c r="Q93" s="125">
        <f t="shared" si="112"/>
        <v>23400</v>
      </c>
      <c r="R93" s="126">
        <v>0</v>
      </c>
      <c r="S93" s="125">
        <f t="shared" si="113"/>
        <v>780</v>
      </c>
      <c r="T93" s="126">
        <v>0</v>
      </c>
      <c r="U93" s="127">
        <v>0</v>
      </c>
      <c r="V93" s="128">
        <v>0</v>
      </c>
      <c r="W93" s="127">
        <v>0</v>
      </c>
      <c r="X93" s="129">
        <v>0</v>
      </c>
      <c r="Y93" s="127">
        <v>0</v>
      </c>
      <c r="Z93" s="127">
        <v>0</v>
      </c>
      <c r="AA93" s="126">
        <v>0</v>
      </c>
      <c r="AB93" s="130">
        <f t="shared" si="114"/>
        <v>0</v>
      </c>
      <c r="AC93" s="129">
        <v>0</v>
      </c>
      <c r="AD93" s="125">
        <f t="shared" si="115"/>
        <v>30</v>
      </c>
      <c r="AE93" s="144">
        <v>0</v>
      </c>
      <c r="AF93" s="127">
        <v>0</v>
      </c>
      <c r="AG93" s="131">
        <v>0</v>
      </c>
      <c r="AH93" s="127">
        <v>0</v>
      </c>
      <c r="AI93" s="128">
        <v>0</v>
      </c>
      <c r="AJ93" s="127">
        <v>0</v>
      </c>
      <c r="AK93" s="127">
        <v>0</v>
      </c>
      <c r="AL93" s="127">
        <v>0</v>
      </c>
      <c r="AM93" s="132">
        <f t="shared" si="116"/>
        <v>23400</v>
      </c>
      <c r="AN93" s="133">
        <v>46141</v>
      </c>
      <c r="AO93" s="134" t="s">
        <v>3476</v>
      </c>
      <c r="AP93" s="135" t="s">
        <v>234</v>
      </c>
      <c r="AQ93" s="136" t="s">
        <v>235</v>
      </c>
      <c r="AR93" s="136" t="s">
        <v>236</v>
      </c>
      <c r="AS93" s="123" t="s">
        <v>2006</v>
      </c>
      <c r="AT93" s="137" t="s">
        <v>238</v>
      </c>
      <c r="AU93" s="137" t="s">
        <v>197</v>
      </c>
      <c r="AV93" s="138" t="s">
        <v>329</v>
      </c>
      <c r="AW93" s="136">
        <v>780</v>
      </c>
      <c r="AX93" s="138">
        <v>35</v>
      </c>
      <c r="AY93" s="136">
        <f t="shared" si="149"/>
        <v>27300</v>
      </c>
      <c r="AZ93" s="139" t="b">
        <f t="shared" si="150"/>
        <v>1</v>
      </c>
      <c r="BA93" s="125">
        <v>0</v>
      </c>
      <c r="BB93" s="140">
        <f t="shared" si="151"/>
        <v>780</v>
      </c>
      <c r="BC93" s="141">
        <v>0</v>
      </c>
      <c r="BD93" s="140" t="s">
        <v>107</v>
      </c>
      <c r="BE93" s="141">
        <v>0</v>
      </c>
      <c r="BF93" s="140">
        <v>0</v>
      </c>
      <c r="BG93" s="141">
        <v>0</v>
      </c>
      <c r="BH93" s="127">
        <v>0</v>
      </c>
      <c r="BI93" s="130">
        <v>0</v>
      </c>
      <c r="BJ93" s="128">
        <v>0</v>
      </c>
      <c r="BK93" s="125">
        <v>0</v>
      </c>
      <c r="BL93" s="136">
        <v>0</v>
      </c>
      <c r="BM93" s="127">
        <v>0</v>
      </c>
      <c r="BN93" s="142">
        <f t="shared" si="152"/>
        <v>0</v>
      </c>
      <c r="BO93" s="126">
        <f t="shared" si="153"/>
        <v>27300</v>
      </c>
      <c r="BP93" s="132">
        <f t="shared" si="154"/>
        <v>3900</v>
      </c>
      <c r="BQ93" s="141" t="str">
        <f t="shared" si="155"/>
        <v>Positive Margin</v>
      </c>
      <c r="BR93" s="143" t="s">
        <v>119</v>
      </c>
      <c r="BS93" s="125">
        <f t="shared" si="156"/>
        <v>3900</v>
      </c>
      <c r="BT93" s="144" t="str">
        <f t="shared" si="157"/>
        <v>Positive Margin at Inception</v>
      </c>
      <c r="BU93" s="145">
        <f t="shared" si="158"/>
        <v>0.14285714285714285</v>
      </c>
      <c r="BV93" s="144" t="str">
        <f t="shared" si="159"/>
        <v>More than 2%</v>
      </c>
      <c r="BW93" s="125">
        <f t="shared" si="160"/>
        <v>0</v>
      </c>
      <c r="BX93" s="126">
        <f t="shared" si="161"/>
        <v>0</v>
      </c>
      <c r="BY93" s="125">
        <f t="shared" si="162"/>
        <v>0</v>
      </c>
      <c r="BZ93" s="146">
        <f t="shared" si="163"/>
        <v>0</v>
      </c>
      <c r="CA93" s="146">
        <f t="shared" si="164"/>
        <v>0</v>
      </c>
      <c r="CB93" s="127">
        <f t="shared" si="165"/>
        <v>0</v>
      </c>
      <c r="CC93" s="146" t="s">
        <v>397</v>
      </c>
      <c r="CD93" s="127">
        <v>0</v>
      </c>
      <c r="CE93" s="127" t="str">
        <f t="shared" si="166"/>
        <v>Apr-26</v>
      </c>
      <c r="CF93" s="127">
        <f t="shared" si="167"/>
        <v>23400</v>
      </c>
      <c r="CG93" s="127">
        <f t="shared" si="168"/>
        <v>27300</v>
      </c>
      <c r="CH93" s="127">
        <f t="shared" si="169"/>
        <v>5</v>
      </c>
      <c r="CI93" s="147" t="str">
        <f t="shared" si="170"/>
        <v>BG AHD</v>
      </c>
      <c r="CJ93" s="127">
        <v>0</v>
      </c>
      <c r="CK93" s="127">
        <v>0</v>
      </c>
      <c r="CL93" s="127">
        <f t="shared" si="171"/>
        <v>3900</v>
      </c>
      <c r="CM93" s="127">
        <f t="shared" si="172"/>
        <v>3900</v>
      </c>
      <c r="CN93" s="127">
        <f t="shared" si="173"/>
        <v>3900</v>
      </c>
      <c r="CO93" s="127">
        <f t="shared" si="174"/>
        <v>32214</v>
      </c>
      <c r="CP93" s="127">
        <f t="shared" si="175"/>
        <v>-27612</v>
      </c>
      <c r="CQ93" s="127">
        <f t="shared" si="176"/>
        <v>0</v>
      </c>
      <c r="CR93" s="127">
        <f t="shared" si="177"/>
        <v>0</v>
      </c>
      <c r="CS93" s="127">
        <f t="shared" si="178"/>
        <v>4602</v>
      </c>
      <c r="CT93" s="127" t="s">
        <v>361</v>
      </c>
      <c r="CU93" s="127" t="s">
        <v>361</v>
      </c>
      <c r="CV93" s="142" t="str">
        <f t="shared" si="179"/>
        <v>AAMCB5608A</v>
      </c>
      <c r="CW93" s="142" t="str">
        <f t="shared" si="180"/>
        <v>BJHPB3107J</v>
      </c>
    </row>
    <row r="94" spans="2:101" s="149" customFormat="1" ht="11.85" customHeight="1" x14ac:dyDescent="0.25">
      <c r="B94" s="120" t="str">
        <f t="shared" si="110"/>
        <v>Q1</v>
      </c>
      <c r="C94" s="121" t="str">
        <f t="shared" si="111"/>
        <v>Apr-26</v>
      </c>
      <c r="D94" s="122">
        <v>46141</v>
      </c>
      <c r="E94" s="123" t="s">
        <v>3459</v>
      </c>
      <c r="F94" s="123" t="s">
        <v>196</v>
      </c>
      <c r="G94" s="123" t="s">
        <v>198</v>
      </c>
      <c r="H94" s="124" t="s">
        <v>3460</v>
      </c>
      <c r="I94" s="122">
        <v>46141</v>
      </c>
      <c r="J94" s="123" t="s">
        <v>3461</v>
      </c>
      <c r="K94" s="122">
        <v>46141</v>
      </c>
      <c r="L94" s="123" t="s">
        <v>199</v>
      </c>
      <c r="M94" s="123" t="s">
        <v>3462</v>
      </c>
      <c r="N94" s="124" t="s">
        <v>1436</v>
      </c>
      <c r="O94" s="123">
        <v>680</v>
      </c>
      <c r="P94" s="124">
        <v>33</v>
      </c>
      <c r="Q94" s="125">
        <f t="shared" si="112"/>
        <v>22440</v>
      </c>
      <c r="R94" s="126">
        <v>0</v>
      </c>
      <c r="S94" s="125">
        <f t="shared" si="113"/>
        <v>680</v>
      </c>
      <c r="T94" s="126">
        <v>0</v>
      </c>
      <c r="U94" s="127">
        <v>0</v>
      </c>
      <c r="V94" s="128">
        <v>0</v>
      </c>
      <c r="W94" s="127">
        <v>0</v>
      </c>
      <c r="X94" s="129">
        <v>0</v>
      </c>
      <c r="Y94" s="127">
        <v>0</v>
      </c>
      <c r="Z94" s="127">
        <v>0</v>
      </c>
      <c r="AA94" s="126">
        <v>0</v>
      </c>
      <c r="AB94" s="130">
        <f t="shared" si="114"/>
        <v>0</v>
      </c>
      <c r="AC94" s="129">
        <v>0</v>
      </c>
      <c r="AD94" s="125">
        <f t="shared" si="115"/>
        <v>33</v>
      </c>
      <c r="AE94" s="144">
        <v>0</v>
      </c>
      <c r="AF94" s="127">
        <v>0</v>
      </c>
      <c r="AG94" s="131">
        <v>0</v>
      </c>
      <c r="AH94" s="127">
        <v>0</v>
      </c>
      <c r="AI94" s="128">
        <v>0</v>
      </c>
      <c r="AJ94" s="127">
        <v>0</v>
      </c>
      <c r="AK94" s="127">
        <v>0</v>
      </c>
      <c r="AL94" s="127">
        <v>0</v>
      </c>
      <c r="AM94" s="132">
        <f t="shared" si="116"/>
        <v>22440</v>
      </c>
      <c r="AN94" s="133">
        <v>46141</v>
      </c>
      <c r="AO94" s="134" t="s">
        <v>3476</v>
      </c>
      <c r="AP94" s="135" t="s">
        <v>234</v>
      </c>
      <c r="AQ94" s="136" t="s">
        <v>235</v>
      </c>
      <c r="AR94" s="136" t="s">
        <v>236</v>
      </c>
      <c r="AS94" s="123" t="s">
        <v>2006</v>
      </c>
      <c r="AT94" s="137" t="s">
        <v>238</v>
      </c>
      <c r="AU94" s="137" t="s">
        <v>197</v>
      </c>
      <c r="AV94" s="138" t="s">
        <v>329</v>
      </c>
      <c r="AW94" s="136">
        <v>680</v>
      </c>
      <c r="AX94" s="138">
        <v>38</v>
      </c>
      <c r="AY94" s="136">
        <f t="shared" si="149"/>
        <v>25840</v>
      </c>
      <c r="AZ94" s="139" t="b">
        <f t="shared" si="150"/>
        <v>1</v>
      </c>
      <c r="BA94" s="125">
        <v>0</v>
      </c>
      <c r="BB94" s="140">
        <f t="shared" si="151"/>
        <v>680</v>
      </c>
      <c r="BC94" s="141">
        <v>0</v>
      </c>
      <c r="BD94" s="140" t="s">
        <v>107</v>
      </c>
      <c r="BE94" s="141">
        <v>0</v>
      </c>
      <c r="BF94" s="140">
        <v>0</v>
      </c>
      <c r="BG94" s="141">
        <v>0</v>
      </c>
      <c r="BH94" s="127">
        <v>0</v>
      </c>
      <c r="BI94" s="130">
        <v>0</v>
      </c>
      <c r="BJ94" s="128">
        <v>0</v>
      </c>
      <c r="BK94" s="125">
        <v>0</v>
      </c>
      <c r="BL94" s="136">
        <v>0</v>
      </c>
      <c r="BM94" s="127">
        <v>0</v>
      </c>
      <c r="BN94" s="142">
        <f t="shared" si="152"/>
        <v>0</v>
      </c>
      <c r="BO94" s="126">
        <f t="shared" si="153"/>
        <v>25840</v>
      </c>
      <c r="BP94" s="132">
        <f t="shared" si="154"/>
        <v>3400</v>
      </c>
      <c r="BQ94" s="141" t="str">
        <f t="shared" si="155"/>
        <v>Positive Margin</v>
      </c>
      <c r="BR94" s="143" t="s">
        <v>119</v>
      </c>
      <c r="BS94" s="125">
        <f t="shared" si="156"/>
        <v>3400</v>
      </c>
      <c r="BT94" s="144" t="str">
        <f t="shared" si="157"/>
        <v>Positive Margin at Inception</v>
      </c>
      <c r="BU94" s="145">
        <f t="shared" si="158"/>
        <v>0.13157894736842105</v>
      </c>
      <c r="BV94" s="144" t="str">
        <f t="shared" si="159"/>
        <v>More than 2%</v>
      </c>
      <c r="BW94" s="125">
        <f t="shared" si="160"/>
        <v>0</v>
      </c>
      <c r="BX94" s="126">
        <f t="shared" si="161"/>
        <v>0</v>
      </c>
      <c r="BY94" s="125">
        <f t="shared" si="162"/>
        <v>0</v>
      </c>
      <c r="BZ94" s="146">
        <f t="shared" si="163"/>
        <v>0</v>
      </c>
      <c r="CA94" s="146">
        <f t="shared" si="164"/>
        <v>0</v>
      </c>
      <c r="CB94" s="127">
        <f t="shared" si="165"/>
        <v>0</v>
      </c>
      <c r="CC94" s="146" t="s">
        <v>397</v>
      </c>
      <c r="CD94" s="127">
        <v>0</v>
      </c>
      <c r="CE94" s="127" t="str">
        <f t="shared" si="166"/>
        <v>Apr-26</v>
      </c>
      <c r="CF94" s="127">
        <f t="shared" si="167"/>
        <v>22440</v>
      </c>
      <c r="CG94" s="127">
        <f t="shared" si="168"/>
        <v>25840</v>
      </c>
      <c r="CH94" s="127">
        <f t="shared" si="169"/>
        <v>5</v>
      </c>
      <c r="CI94" s="147" t="str">
        <f t="shared" si="170"/>
        <v>BG AHD</v>
      </c>
      <c r="CJ94" s="127">
        <v>0</v>
      </c>
      <c r="CK94" s="127">
        <v>0</v>
      </c>
      <c r="CL94" s="127">
        <f t="shared" si="171"/>
        <v>3400</v>
      </c>
      <c r="CM94" s="127">
        <f t="shared" si="172"/>
        <v>3400</v>
      </c>
      <c r="CN94" s="127">
        <f t="shared" si="173"/>
        <v>3400</v>
      </c>
      <c r="CO94" s="127">
        <f t="shared" si="174"/>
        <v>30491.199999999997</v>
      </c>
      <c r="CP94" s="127">
        <f t="shared" si="175"/>
        <v>-26479.199999999997</v>
      </c>
      <c r="CQ94" s="127">
        <f t="shared" si="176"/>
        <v>0</v>
      </c>
      <c r="CR94" s="127">
        <f t="shared" si="177"/>
        <v>0</v>
      </c>
      <c r="CS94" s="127">
        <f t="shared" si="178"/>
        <v>4012</v>
      </c>
      <c r="CT94" s="127" t="s">
        <v>361</v>
      </c>
      <c r="CU94" s="127" t="s">
        <v>361</v>
      </c>
      <c r="CV94" s="142" t="str">
        <f t="shared" si="179"/>
        <v>AAMCB5608A</v>
      </c>
      <c r="CW94" s="142" t="str">
        <f t="shared" si="180"/>
        <v>BJHPB3107J</v>
      </c>
    </row>
    <row r="95" spans="2:101" s="149" customFormat="1" ht="11.85" customHeight="1" x14ac:dyDescent="0.25">
      <c r="B95" s="120" t="str">
        <f t="shared" si="110"/>
        <v>Q1</v>
      </c>
      <c r="C95" s="121" t="str">
        <f t="shared" si="111"/>
        <v>Apr-26</v>
      </c>
      <c r="D95" s="122">
        <v>46141</v>
      </c>
      <c r="E95" s="123" t="s">
        <v>3463</v>
      </c>
      <c r="F95" s="123" t="s">
        <v>196</v>
      </c>
      <c r="G95" s="123" t="s">
        <v>198</v>
      </c>
      <c r="H95" s="124" t="s">
        <v>3464</v>
      </c>
      <c r="I95" s="122">
        <v>46141</v>
      </c>
      <c r="J95" s="123" t="s">
        <v>3465</v>
      </c>
      <c r="K95" s="122">
        <v>46141</v>
      </c>
      <c r="L95" s="123" t="s">
        <v>199</v>
      </c>
      <c r="M95" s="123" t="s">
        <v>244</v>
      </c>
      <c r="N95" s="124" t="s">
        <v>252</v>
      </c>
      <c r="O95" s="123">
        <v>2310</v>
      </c>
      <c r="P95" s="124">
        <v>2</v>
      </c>
      <c r="Q95" s="125">
        <f t="shared" si="112"/>
        <v>4620</v>
      </c>
      <c r="R95" s="126">
        <v>0</v>
      </c>
      <c r="S95" s="125">
        <f t="shared" si="113"/>
        <v>2310</v>
      </c>
      <c r="T95" s="126">
        <v>0</v>
      </c>
      <c r="U95" s="127">
        <v>0</v>
      </c>
      <c r="V95" s="128">
        <v>0</v>
      </c>
      <c r="W95" s="127">
        <v>0</v>
      </c>
      <c r="X95" s="129">
        <v>0</v>
      </c>
      <c r="Y95" s="127">
        <v>0</v>
      </c>
      <c r="Z95" s="127">
        <v>0</v>
      </c>
      <c r="AA95" s="126">
        <v>0</v>
      </c>
      <c r="AB95" s="130">
        <f t="shared" si="114"/>
        <v>0</v>
      </c>
      <c r="AC95" s="129">
        <v>0</v>
      </c>
      <c r="AD95" s="125">
        <f t="shared" si="115"/>
        <v>2</v>
      </c>
      <c r="AE95" s="144">
        <v>0</v>
      </c>
      <c r="AF95" s="127">
        <v>0</v>
      </c>
      <c r="AG95" s="131">
        <v>0</v>
      </c>
      <c r="AH95" s="127">
        <v>0</v>
      </c>
      <c r="AI95" s="128">
        <v>0</v>
      </c>
      <c r="AJ95" s="127">
        <v>0</v>
      </c>
      <c r="AK95" s="127">
        <v>0</v>
      </c>
      <c r="AL95" s="127">
        <v>0</v>
      </c>
      <c r="AM95" s="132">
        <f t="shared" si="116"/>
        <v>4620</v>
      </c>
      <c r="AN95" s="133">
        <v>46141</v>
      </c>
      <c r="AO95" s="134" t="s">
        <v>3481</v>
      </c>
      <c r="AP95" s="135" t="s">
        <v>234</v>
      </c>
      <c r="AQ95" s="136" t="s">
        <v>235</v>
      </c>
      <c r="AR95" s="136" t="s">
        <v>236</v>
      </c>
      <c r="AS95" s="123" t="s">
        <v>237</v>
      </c>
      <c r="AT95" s="137" t="s">
        <v>238</v>
      </c>
      <c r="AU95" s="137" t="s">
        <v>197</v>
      </c>
      <c r="AV95" s="138" t="s">
        <v>329</v>
      </c>
      <c r="AW95" s="136">
        <v>2310</v>
      </c>
      <c r="AX95" s="138">
        <v>2.1</v>
      </c>
      <c r="AY95" s="136">
        <f t="shared" si="149"/>
        <v>4851</v>
      </c>
      <c r="AZ95" s="139" t="b">
        <f t="shared" si="150"/>
        <v>1</v>
      </c>
      <c r="BA95" s="125">
        <v>0</v>
      </c>
      <c r="BB95" s="140">
        <f t="shared" si="151"/>
        <v>2310</v>
      </c>
      <c r="BC95" s="141">
        <v>0</v>
      </c>
      <c r="BD95" s="140" t="s">
        <v>107</v>
      </c>
      <c r="BE95" s="141">
        <v>0</v>
      </c>
      <c r="BF95" s="140">
        <v>0</v>
      </c>
      <c r="BG95" s="141">
        <v>0</v>
      </c>
      <c r="BH95" s="127">
        <v>0</v>
      </c>
      <c r="BI95" s="130">
        <v>0</v>
      </c>
      <c r="BJ95" s="128">
        <v>0</v>
      </c>
      <c r="BK95" s="125">
        <v>0</v>
      </c>
      <c r="BL95" s="136">
        <v>0</v>
      </c>
      <c r="BM95" s="127">
        <v>0</v>
      </c>
      <c r="BN95" s="142">
        <f t="shared" si="152"/>
        <v>0</v>
      </c>
      <c r="BO95" s="126">
        <f t="shared" si="153"/>
        <v>4851</v>
      </c>
      <c r="BP95" s="132">
        <f t="shared" si="154"/>
        <v>231</v>
      </c>
      <c r="BQ95" s="141" t="str">
        <f t="shared" si="155"/>
        <v>Positive Margin</v>
      </c>
      <c r="BR95" s="143" t="s">
        <v>119</v>
      </c>
      <c r="BS95" s="125">
        <f t="shared" si="156"/>
        <v>231</v>
      </c>
      <c r="BT95" s="144" t="str">
        <f t="shared" si="157"/>
        <v>Positive Margin at Inception</v>
      </c>
      <c r="BU95" s="145">
        <f t="shared" si="158"/>
        <v>4.7619047619047616E-2</v>
      </c>
      <c r="BV95" s="144" t="str">
        <f t="shared" si="159"/>
        <v>More than 2%</v>
      </c>
      <c r="BW95" s="125">
        <f t="shared" si="160"/>
        <v>0</v>
      </c>
      <c r="BX95" s="126">
        <f t="shared" si="161"/>
        <v>0</v>
      </c>
      <c r="BY95" s="125">
        <f t="shared" si="162"/>
        <v>0</v>
      </c>
      <c r="BZ95" s="146">
        <f t="shared" si="163"/>
        <v>0</v>
      </c>
      <c r="CA95" s="146">
        <f t="shared" si="164"/>
        <v>0</v>
      </c>
      <c r="CB95" s="127">
        <f t="shared" si="165"/>
        <v>0</v>
      </c>
      <c r="CC95" s="146" t="s">
        <v>397</v>
      </c>
      <c r="CD95" s="127">
        <v>0</v>
      </c>
      <c r="CE95" s="127" t="str">
        <f t="shared" si="166"/>
        <v>Apr-26</v>
      </c>
      <c r="CF95" s="127">
        <f t="shared" si="167"/>
        <v>4620</v>
      </c>
      <c r="CG95" s="127">
        <f t="shared" si="168"/>
        <v>4851</v>
      </c>
      <c r="CH95" s="127">
        <f t="shared" si="169"/>
        <v>5</v>
      </c>
      <c r="CI95" s="147" t="str">
        <f t="shared" si="170"/>
        <v>BG AHD</v>
      </c>
      <c r="CJ95" s="127">
        <v>0</v>
      </c>
      <c r="CK95" s="127">
        <v>0</v>
      </c>
      <c r="CL95" s="127">
        <f t="shared" si="171"/>
        <v>231</v>
      </c>
      <c r="CM95" s="127">
        <f t="shared" si="172"/>
        <v>231</v>
      </c>
      <c r="CN95" s="127">
        <f t="shared" si="173"/>
        <v>231</v>
      </c>
      <c r="CO95" s="127">
        <f t="shared" si="174"/>
        <v>5724.1799999999994</v>
      </c>
      <c r="CP95" s="127">
        <f t="shared" si="175"/>
        <v>-5451.5999999999995</v>
      </c>
      <c r="CQ95" s="127">
        <f t="shared" si="176"/>
        <v>0</v>
      </c>
      <c r="CR95" s="127">
        <f t="shared" si="177"/>
        <v>0</v>
      </c>
      <c r="CS95" s="127">
        <f t="shared" si="178"/>
        <v>272.57999999999993</v>
      </c>
      <c r="CT95" s="127" t="s">
        <v>361</v>
      </c>
      <c r="CU95" s="127" t="s">
        <v>361</v>
      </c>
      <c r="CV95" s="142" t="str">
        <f t="shared" si="179"/>
        <v>AAMCB5608A</v>
      </c>
      <c r="CW95" s="142" t="str">
        <f t="shared" si="180"/>
        <v>BJHPB3107J</v>
      </c>
    </row>
    <row r="96" spans="2:101" s="149" customFormat="1" ht="11.85" customHeight="1" x14ac:dyDescent="0.25">
      <c r="B96" s="120" t="str">
        <f t="shared" si="110"/>
        <v>Q1</v>
      </c>
      <c r="C96" s="121" t="str">
        <f t="shared" si="111"/>
        <v>Apr-26</v>
      </c>
      <c r="D96" s="122">
        <v>46142</v>
      </c>
      <c r="E96" s="123" t="s">
        <v>3466</v>
      </c>
      <c r="F96" s="123" t="s">
        <v>196</v>
      </c>
      <c r="G96" s="123" t="s">
        <v>198</v>
      </c>
      <c r="H96" s="124" t="s">
        <v>3467</v>
      </c>
      <c r="I96" s="122">
        <v>46142</v>
      </c>
      <c r="J96" s="123" t="s">
        <v>3468</v>
      </c>
      <c r="K96" s="122">
        <v>46142</v>
      </c>
      <c r="L96" s="123" t="s">
        <v>199</v>
      </c>
      <c r="M96" s="123" t="s">
        <v>3469</v>
      </c>
      <c r="N96" s="124" t="s">
        <v>204</v>
      </c>
      <c r="O96" s="123">
        <v>5460</v>
      </c>
      <c r="P96" s="124">
        <v>10</v>
      </c>
      <c r="Q96" s="125">
        <f t="shared" si="112"/>
        <v>54600</v>
      </c>
      <c r="R96" s="126">
        <v>0</v>
      </c>
      <c r="S96" s="125">
        <f t="shared" si="113"/>
        <v>5460</v>
      </c>
      <c r="T96" s="126">
        <v>0</v>
      </c>
      <c r="U96" s="127">
        <v>0</v>
      </c>
      <c r="V96" s="128">
        <v>0</v>
      </c>
      <c r="W96" s="127">
        <v>0</v>
      </c>
      <c r="X96" s="129">
        <v>0</v>
      </c>
      <c r="Y96" s="127">
        <v>0</v>
      </c>
      <c r="Z96" s="127">
        <v>0</v>
      </c>
      <c r="AA96" s="126">
        <v>0</v>
      </c>
      <c r="AB96" s="130">
        <f t="shared" si="114"/>
        <v>0</v>
      </c>
      <c r="AC96" s="129">
        <v>0</v>
      </c>
      <c r="AD96" s="125">
        <f t="shared" si="115"/>
        <v>10</v>
      </c>
      <c r="AE96" s="144">
        <v>0</v>
      </c>
      <c r="AF96" s="127">
        <v>0</v>
      </c>
      <c r="AG96" s="131">
        <v>0</v>
      </c>
      <c r="AH96" s="127">
        <v>0</v>
      </c>
      <c r="AI96" s="128">
        <v>0</v>
      </c>
      <c r="AJ96" s="127">
        <v>0</v>
      </c>
      <c r="AK96" s="127">
        <v>0</v>
      </c>
      <c r="AL96" s="127">
        <v>0</v>
      </c>
      <c r="AM96" s="132">
        <f t="shared" si="116"/>
        <v>54600</v>
      </c>
      <c r="AN96" s="133">
        <v>46142</v>
      </c>
      <c r="AO96" s="134" t="s">
        <v>3479</v>
      </c>
      <c r="AP96" s="135" t="s">
        <v>234</v>
      </c>
      <c r="AQ96" s="136" t="s">
        <v>235</v>
      </c>
      <c r="AR96" s="136" t="s">
        <v>236</v>
      </c>
      <c r="AS96" s="123" t="s">
        <v>237</v>
      </c>
      <c r="AT96" s="137" t="s">
        <v>238</v>
      </c>
      <c r="AU96" s="137" t="s">
        <v>197</v>
      </c>
      <c r="AV96" s="138" t="s">
        <v>329</v>
      </c>
      <c r="AW96" s="136">
        <v>5460</v>
      </c>
      <c r="AX96" s="138">
        <v>12</v>
      </c>
      <c r="AY96" s="136">
        <f t="shared" si="149"/>
        <v>65520</v>
      </c>
      <c r="AZ96" s="139" t="b">
        <f t="shared" si="150"/>
        <v>1</v>
      </c>
      <c r="BA96" s="125">
        <v>0</v>
      </c>
      <c r="BB96" s="140">
        <f t="shared" si="151"/>
        <v>5460</v>
      </c>
      <c r="BC96" s="141">
        <v>0</v>
      </c>
      <c r="BD96" s="140" t="s">
        <v>107</v>
      </c>
      <c r="BE96" s="141">
        <v>0</v>
      </c>
      <c r="BF96" s="140">
        <v>0</v>
      </c>
      <c r="BG96" s="141">
        <v>0</v>
      </c>
      <c r="BH96" s="127">
        <v>0</v>
      </c>
      <c r="BI96" s="130">
        <v>0</v>
      </c>
      <c r="BJ96" s="128">
        <v>0</v>
      </c>
      <c r="BK96" s="125">
        <v>0</v>
      </c>
      <c r="BL96" s="136">
        <v>0</v>
      </c>
      <c r="BM96" s="127">
        <v>0</v>
      </c>
      <c r="BN96" s="142">
        <f t="shared" si="152"/>
        <v>0</v>
      </c>
      <c r="BO96" s="126">
        <f t="shared" si="153"/>
        <v>65520</v>
      </c>
      <c r="BP96" s="132">
        <f t="shared" si="154"/>
        <v>10920</v>
      </c>
      <c r="BQ96" s="141" t="str">
        <f t="shared" si="155"/>
        <v>Positive Margin</v>
      </c>
      <c r="BR96" s="143" t="s">
        <v>119</v>
      </c>
      <c r="BS96" s="125">
        <f t="shared" si="156"/>
        <v>10920</v>
      </c>
      <c r="BT96" s="144" t="str">
        <f t="shared" si="157"/>
        <v>Positive Margin at Inception</v>
      </c>
      <c r="BU96" s="145">
        <f t="shared" si="158"/>
        <v>0.16666666666666666</v>
      </c>
      <c r="BV96" s="144" t="str">
        <f t="shared" si="159"/>
        <v>More than 2%</v>
      </c>
      <c r="BW96" s="125">
        <f t="shared" si="160"/>
        <v>0</v>
      </c>
      <c r="BX96" s="126">
        <f t="shared" si="161"/>
        <v>0</v>
      </c>
      <c r="BY96" s="125">
        <f t="shared" si="162"/>
        <v>0</v>
      </c>
      <c r="BZ96" s="146">
        <f t="shared" si="163"/>
        <v>0</v>
      </c>
      <c r="CA96" s="146">
        <f t="shared" si="164"/>
        <v>0</v>
      </c>
      <c r="CB96" s="127">
        <f t="shared" si="165"/>
        <v>0</v>
      </c>
      <c r="CC96" s="146" t="s">
        <v>397</v>
      </c>
      <c r="CD96" s="127">
        <v>0</v>
      </c>
      <c r="CE96" s="127" t="str">
        <f t="shared" si="166"/>
        <v>Apr-26</v>
      </c>
      <c r="CF96" s="127">
        <f t="shared" si="167"/>
        <v>54600</v>
      </c>
      <c r="CG96" s="127">
        <f t="shared" si="168"/>
        <v>65520</v>
      </c>
      <c r="CH96" s="127">
        <f t="shared" si="169"/>
        <v>5</v>
      </c>
      <c r="CI96" s="147" t="str">
        <f t="shared" si="170"/>
        <v>BG AHD</v>
      </c>
      <c r="CJ96" s="127">
        <v>0</v>
      </c>
      <c r="CK96" s="127">
        <v>0</v>
      </c>
      <c r="CL96" s="127">
        <f t="shared" si="171"/>
        <v>10920</v>
      </c>
      <c r="CM96" s="127">
        <f t="shared" si="172"/>
        <v>10920</v>
      </c>
      <c r="CN96" s="127">
        <f t="shared" si="173"/>
        <v>10920</v>
      </c>
      <c r="CO96" s="127">
        <f t="shared" si="174"/>
        <v>77313.599999999991</v>
      </c>
      <c r="CP96" s="127">
        <f t="shared" si="175"/>
        <v>-64428</v>
      </c>
      <c r="CQ96" s="127">
        <f t="shared" si="176"/>
        <v>0</v>
      </c>
      <c r="CR96" s="127">
        <f t="shared" si="177"/>
        <v>0</v>
      </c>
      <c r="CS96" s="127">
        <f t="shared" si="178"/>
        <v>12885.599999999991</v>
      </c>
      <c r="CT96" s="127" t="s">
        <v>361</v>
      </c>
      <c r="CU96" s="127" t="s">
        <v>361</v>
      </c>
      <c r="CV96" s="142" t="str">
        <f t="shared" si="179"/>
        <v>AAMCB5608A</v>
      </c>
      <c r="CW96" s="142" t="str">
        <f t="shared" si="180"/>
        <v>BJHPB3107J</v>
      </c>
    </row>
    <row r="97" spans="2:101" s="149" customFormat="1" ht="11.85" customHeight="1" x14ac:dyDescent="0.25">
      <c r="B97" s="120" t="str">
        <f t="shared" si="110"/>
        <v>Q1</v>
      </c>
      <c r="C97" s="121" t="str">
        <f t="shared" si="111"/>
        <v>Apr-26</v>
      </c>
      <c r="D97" s="122">
        <v>46142</v>
      </c>
      <c r="E97" s="123" t="s">
        <v>3466</v>
      </c>
      <c r="F97" s="123" t="s">
        <v>196</v>
      </c>
      <c r="G97" s="123" t="s">
        <v>198</v>
      </c>
      <c r="H97" s="124" t="s">
        <v>3467</v>
      </c>
      <c r="I97" s="122">
        <v>46142</v>
      </c>
      <c r="J97" s="123" t="s">
        <v>3468</v>
      </c>
      <c r="K97" s="122">
        <v>46142</v>
      </c>
      <c r="L97" s="123" t="s">
        <v>199</v>
      </c>
      <c r="M97" s="123" t="s">
        <v>3469</v>
      </c>
      <c r="N97" s="124" t="s">
        <v>207</v>
      </c>
      <c r="O97" s="123">
        <v>2600</v>
      </c>
      <c r="P97" s="124">
        <v>6.5</v>
      </c>
      <c r="Q97" s="125">
        <f t="shared" si="112"/>
        <v>16900</v>
      </c>
      <c r="R97" s="126">
        <v>0</v>
      </c>
      <c r="S97" s="125">
        <f t="shared" si="113"/>
        <v>2600</v>
      </c>
      <c r="T97" s="126">
        <v>0</v>
      </c>
      <c r="U97" s="127">
        <v>0</v>
      </c>
      <c r="V97" s="128">
        <v>0</v>
      </c>
      <c r="W97" s="127">
        <v>0</v>
      </c>
      <c r="X97" s="129">
        <v>0</v>
      </c>
      <c r="Y97" s="127">
        <v>0</v>
      </c>
      <c r="Z97" s="127">
        <v>0</v>
      </c>
      <c r="AA97" s="126">
        <v>0</v>
      </c>
      <c r="AB97" s="130">
        <f t="shared" si="114"/>
        <v>0</v>
      </c>
      <c r="AC97" s="129">
        <v>0</v>
      </c>
      <c r="AD97" s="125">
        <f t="shared" si="115"/>
        <v>6.5</v>
      </c>
      <c r="AE97" s="144">
        <v>0</v>
      </c>
      <c r="AF97" s="127">
        <v>0</v>
      </c>
      <c r="AG97" s="131">
        <v>0</v>
      </c>
      <c r="AH97" s="127">
        <v>0</v>
      </c>
      <c r="AI97" s="128">
        <v>0</v>
      </c>
      <c r="AJ97" s="127">
        <v>0</v>
      </c>
      <c r="AK97" s="127">
        <v>0</v>
      </c>
      <c r="AL97" s="127">
        <v>0</v>
      </c>
      <c r="AM97" s="132">
        <f t="shared" si="116"/>
        <v>16900</v>
      </c>
      <c r="AN97" s="133">
        <v>46142</v>
      </c>
      <c r="AO97" s="134" t="s">
        <v>3479</v>
      </c>
      <c r="AP97" s="135" t="s">
        <v>234</v>
      </c>
      <c r="AQ97" s="136" t="s">
        <v>235</v>
      </c>
      <c r="AR97" s="136" t="s">
        <v>236</v>
      </c>
      <c r="AS97" s="123" t="s">
        <v>237</v>
      </c>
      <c r="AT97" s="137" t="s">
        <v>238</v>
      </c>
      <c r="AU97" s="137" t="s">
        <v>197</v>
      </c>
      <c r="AV97" s="138" t="s">
        <v>329</v>
      </c>
      <c r="AW97" s="136">
        <v>2600</v>
      </c>
      <c r="AX97" s="138">
        <v>8</v>
      </c>
      <c r="AY97" s="136">
        <f t="shared" si="149"/>
        <v>20800</v>
      </c>
      <c r="AZ97" s="139" t="b">
        <f t="shared" si="150"/>
        <v>1</v>
      </c>
      <c r="BA97" s="125">
        <v>0</v>
      </c>
      <c r="BB97" s="140">
        <f t="shared" si="151"/>
        <v>2600</v>
      </c>
      <c r="BC97" s="141">
        <v>0</v>
      </c>
      <c r="BD97" s="140" t="s">
        <v>107</v>
      </c>
      <c r="BE97" s="141">
        <v>0</v>
      </c>
      <c r="BF97" s="140">
        <v>0</v>
      </c>
      <c r="BG97" s="141">
        <v>0</v>
      </c>
      <c r="BH97" s="127">
        <v>0</v>
      </c>
      <c r="BI97" s="130">
        <v>0</v>
      </c>
      <c r="BJ97" s="128">
        <v>0</v>
      </c>
      <c r="BK97" s="125">
        <v>0</v>
      </c>
      <c r="BL97" s="136">
        <v>0</v>
      </c>
      <c r="BM97" s="127">
        <v>0</v>
      </c>
      <c r="BN97" s="142">
        <f t="shared" si="152"/>
        <v>0</v>
      </c>
      <c r="BO97" s="126">
        <f t="shared" si="153"/>
        <v>20800</v>
      </c>
      <c r="BP97" s="132">
        <f t="shared" si="154"/>
        <v>3900</v>
      </c>
      <c r="BQ97" s="141" t="str">
        <f t="shared" si="155"/>
        <v>Positive Margin</v>
      </c>
      <c r="BR97" s="143" t="s">
        <v>119</v>
      </c>
      <c r="BS97" s="125">
        <f t="shared" si="156"/>
        <v>3900</v>
      </c>
      <c r="BT97" s="144" t="str">
        <f t="shared" si="157"/>
        <v>Positive Margin at Inception</v>
      </c>
      <c r="BU97" s="145">
        <f t="shared" si="158"/>
        <v>0.1875</v>
      </c>
      <c r="BV97" s="144" t="str">
        <f t="shared" si="159"/>
        <v>More than 2%</v>
      </c>
      <c r="BW97" s="125">
        <f t="shared" si="160"/>
        <v>0</v>
      </c>
      <c r="BX97" s="126">
        <f t="shared" si="161"/>
        <v>0</v>
      </c>
      <c r="BY97" s="125">
        <f t="shared" si="162"/>
        <v>0</v>
      </c>
      <c r="BZ97" s="146">
        <f t="shared" si="163"/>
        <v>0</v>
      </c>
      <c r="CA97" s="146">
        <f t="shared" si="164"/>
        <v>0</v>
      </c>
      <c r="CB97" s="127">
        <f t="shared" si="165"/>
        <v>0</v>
      </c>
      <c r="CC97" s="146" t="s">
        <v>397</v>
      </c>
      <c r="CD97" s="127">
        <v>0</v>
      </c>
      <c r="CE97" s="127" t="str">
        <f t="shared" si="166"/>
        <v>Apr-26</v>
      </c>
      <c r="CF97" s="127">
        <f t="shared" si="167"/>
        <v>16900</v>
      </c>
      <c r="CG97" s="127">
        <f t="shared" si="168"/>
        <v>20800</v>
      </c>
      <c r="CH97" s="127">
        <f t="shared" si="169"/>
        <v>5</v>
      </c>
      <c r="CI97" s="147" t="str">
        <f t="shared" si="170"/>
        <v>BG AHD</v>
      </c>
      <c r="CJ97" s="127">
        <v>0</v>
      </c>
      <c r="CK97" s="127">
        <v>0</v>
      </c>
      <c r="CL97" s="127">
        <f t="shared" si="171"/>
        <v>3900</v>
      </c>
      <c r="CM97" s="127">
        <f t="shared" si="172"/>
        <v>3900</v>
      </c>
      <c r="CN97" s="127">
        <f t="shared" si="173"/>
        <v>3900</v>
      </c>
      <c r="CO97" s="127">
        <f t="shared" si="174"/>
        <v>24544</v>
      </c>
      <c r="CP97" s="127">
        <f t="shared" si="175"/>
        <v>-19942</v>
      </c>
      <c r="CQ97" s="127">
        <f t="shared" si="176"/>
        <v>0</v>
      </c>
      <c r="CR97" s="127">
        <f t="shared" si="177"/>
        <v>0</v>
      </c>
      <c r="CS97" s="127">
        <f t="shared" si="178"/>
        <v>4602</v>
      </c>
      <c r="CT97" s="127" t="s">
        <v>361</v>
      </c>
      <c r="CU97" s="127" t="s">
        <v>361</v>
      </c>
      <c r="CV97" s="142" t="str">
        <f t="shared" si="179"/>
        <v>AAMCB5608A</v>
      </c>
      <c r="CW97" s="142" t="str">
        <f t="shared" si="180"/>
        <v>BJHPB3107J</v>
      </c>
    </row>
    <row r="98" spans="2:101" s="149" customFormat="1" ht="11.85" customHeight="1" x14ac:dyDescent="0.25">
      <c r="B98" s="120" t="str">
        <f t="shared" si="110"/>
        <v>Q1</v>
      </c>
      <c r="C98" s="121" t="str">
        <f t="shared" si="111"/>
        <v>Apr-26</v>
      </c>
      <c r="D98" s="122">
        <v>46142</v>
      </c>
      <c r="E98" s="123" t="s">
        <v>3470</v>
      </c>
      <c r="F98" s="123" t="s">
        <v>196</v>
      </c>
      <c r="G98" s="123" t="s">
        <v>198</v>
      </c>
      <c r="H98" s="124" t="s">
        <v>3471</v>
      </c>
      <c r="I98" s="122">
        <v>46142</v>
      </c>
      <c r="J98" s="123" t="s">
        <v>3472</v>
      </c>
      <c r="K98" s="122">
        <v>46142</v>
      </c>
      <c r="L98" s="123" t="s">
        <v>199</v>
      </c>
      <c r="M98" s="123" t="s">
        <v>3462</v>
      </c>
      <c r="N98" s="124" t="s">
        <v>3473</v>
      </c>
      <c r="O98" s="123">
        <v>4880</v>
      </c>
      <c r="P98" s="124">
        <v>7</v>
      </c>
      <c r="Q98" s="125">
        <f t="shared" si="112"/>
        <v>34160</v>
      </c>
      <c r="R98" s="126">
        <v>0</v>
      </c>
      <c r="S98" s="125">
        <f t="shared" si="113"/>
        <v>4880</v>
      </c>
      <c r="T98" s="126">
        <v>0</v>
      </c>
      <c r="U98" s="127">
        <v>0</v>
      </c>
      <c r="V98" s="128">
        <v>0</v>
      </c>
      <c r="W98" s="127">
        <v>0</v>
      </c>
      <c r="X98" s="129">
        <v>0</v>
      </c>
      <c r="Y98" s="127">
        <v>0</v>
      </c>
      <c r="Z98" s="127">
        <v>0</v>
      </c>
      <c r="AA98" s="126">
        <v>0</v>
      </c>
      <c r="AB98" s="130">
        <f t="shared" si="114"/>
        <v>0</v>
      </c>
      <c r="AC98" s="129">
        <v>0</v>
      </c>
      <c r="AD98" s="125">
        <f t="shared" si="115"/>
        <v>7</v>
      </c>
      <c r="AE98" s="144">
        <v>0</v>
      </c>
      <c r="AF98" s="127">
        <v>0</v>
      </c>
      <c r="AG98" s="131">
        <v>0</v>
      </c>
      <c r="AH98" s="127">
        <v>0</v>
      </c>
      <c r="AI98" s="128">
        <v>0</v>
      </c>
      <c r="AJ98" s="127">
        <v>0</v>
      </c>
      <c r="AK98" s="127">
        <v>0</v>
      </c>
      <c r="AL98" s="127">
        <v>0</v>
      </c>
      <c r="AM98" s="132">
        <f t="shared" si="116"/>
        <v>34160</v>
      </c>
      <c r="AN98" s="133">
        <v>46142</v>
      </c>
      <c r="AO98" s="134" t="s">
        <v>3482</v>
      </c>
      <c r="AP98" s="135" t="s">
        <v>234</v>
      </c>
      <c r="AQ98" s="136" t="s">
        <v>235</v>
      </c>
      <c r="AR98" s="136" t="s">
        <v>236</v>
      </c>
      <c r="AS98" s="123" t="s">
        <v>2006</v>
      </c>
      <c r="AT98" s="137" t="s">
        <v>238</v>
      </c>
      <c r="AU98" s="137" t="s">
        <v>197</v>
      </c>
      <c r="AV98" s="138" t="s">
        <v>329</v>
      </c>
      <c r="AW98" s="136">
        <v>4880</v>
      </c>
      <c r="AX98" s="138">
        <v>8</v>
      </c>
      <c r="AY98" s="136">
        <f t="shared" si="149"/>
        <v>39040</v>
      </c>
      <c r="AZ98" s="139" t="b">
        <f t="shared" si="150"/>
        <v>1</v>
      </c>
      <c r="BA98" s="125">
        <v>0</v>
      </c>
      <c r="BB98" s="140">
        <f t="shared" si="151"/>
        <v>4880</v>
      </c>
      <c r="BC98" s="141">
        <v>0</v>
      </c>
      <c r="BD98" s="140" t="s">
        <v>107</v>
      </c>
      <c r="BE98" s="141">
        <v>0</v>
      </c>
      <c r="BF98" s="140">
        <v>0</v>
      </c>
      <c r="BG98" s="141">
        <v>0</v>
      </c>
      <c r="BH98" s="127">
        <v>0</v>
      </c>
      <c r="BI98" s="130">
        <v>0</v>
      </c>
      <c r="BJ98" s="128">
        <v>0</v>
      </c>
      <c r="BK98" s="125">
        <v>0</v>
      </c>
      <c r="BL98" s="136">
        <v>0</v>
      </c>
      <c r="BM98" s="127">
        <v>0</v>
      </c>
      <c r="BN98" s="142">
        <f t="shared" si="152"/>
        <v>0</v>
      </c>
      <c r="BO98" s="126">
        <f t="shared" si="153"/>
        <v>39040</v>
      </c>
      <c r="BP98" s="132">
        <f t="shared" si="154"/>
        <v>4880</v>
      </c>
      <c r="BQ98" s="141" t="str">
        <f t="shared" si="155"/>
        <v>Positive Margin</v>
      </c>
      <c r="BR98" s="143" t="s">
        <v>119</v>
      </c>
      <c r="BS98" s="125">
        <f t="shared" si="156"/>
        <v>4880</v>
      </c>
      <c r="BT98" s="144" t="str">
        <f t="shared" si="157"/>
        <v>Positive Margin at Inception</v>
      </c>
      <c r="BU98" s="145">
        <f t="shared" si="158"/>
        <v>0.125</v>
      </c>
      <c r="BV98" s="144" t="str">
        <f t="shared" si="159"/>
        <v>More than 2%</v>
      </c>
      <c r="BW98" s="125">
        <f t="shared" si="160"/>
        <v>0</v>
      </c>
      <c r="BX98" s="126">
        <f t="shared" si="161"/>
        <v>0</v>
      </c>
      <c r="BY98" s="125">
        <f t="shared" si="162"/>
        <v>0</v>
      </c>
      <c r="BZ98" s="146">
        <f t="shared" si="163"/>
        <v>0</v>
      </c>
      <c r="CA98" s="146">
        <f t="shared" si="164"/>
        <v>0</v>
      </c>
      <c r="CB98" s="127">
        <f t="shared" si="165"/>
        <v>0</v>
      </c>
      <c r="CC98" s="146" t="s">
        <v>397</v>
      </c>
      <c r="CD98" s="127">
        <v>0</v>
      </c>
      <c r="CE98" s="127" t="str">
        <f t="shared" si="166"/>
        <v>Apr-26</v>
      </c>
      <c r="CF98" s="127">
        <f t="shared" si="167"/>
        <v>34160</v>
      </c>
      <c r="CG98" s="127">
        <f t="shared" si="168"/>
        <v>39040</v>
      </c>
      <c r="CH98" s="127">
        <f t="shared" si="169"/>
        <v>5</v>
      </c>
      <c r="CI98" s="147" t="str">
        <f t="shared" si="170"/>
        <v>BG AHD</v>
      </c>
      <c r="CJ98" s="127">
        <v>0</v>
      </c>
      <c r="CK98" s="127">
        <v>0</v>
      </c>
      <c r="CL98" s="127">
        <f t="shared" si="171"/>
        <v>4880</v>
      </c>
      <c r="CM98" s="127">
        <f t="shared" si="172"/>
        <v>4880</v>
      </c>
      <c r="CN98" s="127">
        <f t="shared" si="173"/>
        <v>4880</v>
      </c>
      <c r="CO98" s="127">
        <f t="shared" si="174"/>
        <v>46067.199999999997</v>
      </c>
      <c r="CP98" s="127">
        <f t="shared" si="175"/>
        <v>-40308.799999999996</v>
      </c>
      <c r="CQ98" s="127">
        <f t="shared" si="176"/>
        <v>0</v>
      </c>
      <c r="CR98" s="127">
        <f t="shared" si="177"/>
        <v>0</v>
      </c>
      <c r="CS98" s="127">
        <f t="shared" si="178"/>
        <v>5758.4000000000015</v>
      </c>
      <c r="CT98" s="127" t="s">
        <v>361</v>
      </c>
      <c r="CU98" s="127" t="s">
        <v>361</v>
      </c>
      <c r="CV98" s="142" t="str">
        <f t="shared" si="179"/>
        <v>AAMCB5608A</v>
      </c>
      <c r="CW98" s="142" t="str">
        <f t="shared" si="180"/>
        <v>BJHPB3107J</v>
      </c>
    </row>
    <row r="99" spans="2:101" s="149" customFormat="1" ht="11.85" customHeight="1" x14ac:dyDescent="0.25">
      <c r="B99" s="120" t="str">
        <f t="shared" ref="B99:B103" si="181">"Q" &amp; IF(ROUNDUP(MONTH(D99)/3,0)-1=0,4,ROUNDUP(MONTH(D99)/3,0)-1)</f>
        <v>Q1</v>
      </c>
      <c r="C99" s="121" t="str">
        <f t="shared" ref="C99:C103" si="182">TEXT(AN99,"mmm-yy")</f>
        <v>May-26</v>
      </c>
      <c r="D99" s="122">
        <v>46142</v>
      </c>
      <c r="E99" s="123" t="s">
        <v>3489</v>
      </c>
      <c r="F99" s="123" t="s">
        <v>196</v>
      </c>
      <c r="G99" s="123" t="s">
        <v>198</v>
      </c>
      <c r="H99" s="124" t="s">
        <v>3505</v>
      </c>
      <c r="I99" s="122">
        <v>46142</v>
      </c>
      <c r="J99" s="123" t="s">
        <v>3506</v>
      </c>
      <c r="K99" s="122">
        <v>46143</v>
      </c>
      <c r="L99" s="123" t="s">
        <v>199</v>
      </c>
      <c r="M99" s="123" t="s">
        <v>244</v>
      </c>
      <c r="N99" s="124" t="s">
        <v>271</v>
      </c>
      <c r="O99" s="123">
        <v>504</v>
      </c>
      <c r="P99" s="124">
        <v>100</v>
      </c>
      <c r="Q99" s="125">
        <f t="shared" ref="Q99:Q103" si="183">O99*P99</f>
        <v>50400</v>
      </c>
      <c r="R99" s="126">
        <v>0</v>
      </c>
      <c r="S99" s="125">
        <f t="shared" ref="S99:S103" si="184">O99-R99</f>
        <v>504</v>
      </c>
      <c r="T99" s="126">
        <v>0</v>
      </c>
      <c r="U99" s="127">
        <v>0</v>
      </c>
      <c r="V99" s="128">
        <v>0</v>
      </c>
      <c r="W99" s="127">
        <v>0</v>
      </c>
      <c r="X99" s="129">
        <v>0</v>
      </c>
      <c r="Y99" s="127">
        <v>0</v>
      </c>
      <c r="Z99" s="127">
        <v>0</v>
      </c>
      <c r="AA99" s="126">
        <v>0</v>
      </c>
      <c r="AB99" s="130">
        <f t="shared" ref="AB99:AB103" si="185">Y99+AA99+Z99</f>
        <v>0</v>
      </c>
      <c r="AC99" s="129">
        <v>0</v>
      </c>
      <c r="AD99" s="125">
        <f t="shared" ref="AD99:AD103" si="186">Q99/O99</f>
        <v>100</v>
      </c>
      <c r="AE99" s="144">
        <v>0</v>
      </c>
      <c r="AF99" s="127">
        <v>0</v>
      </c>
      <c r="AG99" s="131">
        <v>0</v>
      </c>
      <c r="AH99" s="127">
        <v>0</v>
      </c>
      <c r="AI99" s="128">
        <v>0</v>
      </c>
      <c r="AJ99" s="127">
        <v>0</v>
      </c>
      <c r="AK99" s="127">
        <v>0</v>
      </c>
      <c r="AL99" s="127">
        <v>0</v>
      </c>
      <c r="AM99" s="132">
        <f t="shared" ref="AM99:AM103" si="187">Q99+AB99+AL99+AK99+AJ99+T99+AE99</f>
        <v>50400</v>
      </c>
      <c r="AN99" s="133">
        <v>46143</v>
      </c>
      <c r="AO99" s="134" t="s">
        <v>3514</v>
      </c>
      <c r="AP99" s="135" t="s">
        <v>234</v>
      </c>
      <c r="AQ99" s="136" t="s">
        <v>235</v>
      </c>
      <c r="AR99" s="136" t="s">
        <v>236</v>
      </c>
      <c r="AS99" s="123" t="s">
        <v>239</v>
      </c>
      <c r="AT99" s="137" t="s">
        <v>238</v>
      </c>
      <c r="AU99" s="137" t="s">
        <v>197</v>
      </c>
      <c r="AV99" s="138" t="s">
        <v>329</v>
      </c>
      <c r="AW99" s="136">
        <v>504</v>
      </c>
      <c r="AX99" s="138">
        <v>120</v>
      </c>
      <c r="AY99" s="136">
        <f t="shared" ref="AY99:AY103" si="188">AW99*AX99</f>
        <v>60480</v>
      </c>
      <c r="AZ99" s="139" t="b">
        <f t="shared" ref="AZ99:AZ103" si="189">AW99=O99</f>
        <v>1</v>
      </c>
      <c r="BA99" s="125">
        <v>0</v>
      </c>
      <c r="BB99" s="140">
        <f t="shared" ref="BB99:BB103" si="190">AW99-BA99</f>
        <v>504</v>
      </c>
      <c r="BC99" s="141">
        <v>0</v>
      </c>
      <c r="BD99" s="140" t="s">
        <v>107</v>
      </c>
      <c r="BE99" s="141">
        <v>0</v>
      </c>
      <c r="BF99" s="140">
        <v>0</v>
      </c>
      <c r="BG99" s="141">
        <v>0</v>
      </c>
      <c r="BH99" s="127">
        <v>0</v>
      </c>
      <c r="BI99" s="130">
        <v>0</v>
      </c>
      <c r="BJ99" s="128">
        <v>0</v>
      </c>
      <c r="BK99" s="125">
        <v>0</v>
      </c>
      <c r="BL99" s="136">
        <v>0</v>
      </c>
      <c r="BM99" s="127">
        <v>0</v>
      </c>
      <c r="BN99" s="142">
        <f t="shared" ref="BN99:BN103" si="191">AY99*$BN$3</f>
        <v>0</v>
      </c>
      <c r="BO99" s="126">
        <f t="shared" ref="BO99:BO103" si="192">AY99+BL99+BM99+BN99+BC99+BG99</f>
        <v>60480</v>
      </c>
      <c r="BP99" s="132">
        <f t="shared" ref="BP99:BP103" si="193">BO99-AM99</f>
        <v>10080</v>
      </c>
      <c r="BQ99" s="141" t="str">
        <f t="shared" ref="BQ99:BQ103" si="194">IF(BP99&gt;=0,"Positive Margin","Negative Margin")</f>
        <v>Positive Margin</v>
      </c>
      <c r="BR99" s="143" t="s">
        <v>119</v>
      </c>
      <c r="BS99" s="125">
        <f t="shared" ref="BS99:BS103" si="195">AY99-Y99-Q99-AA99-T99+BC99</f>
        <v>10080</v>
      </c>
      <c r="BT99" s="144" t="str">
        <f t="shared" ref="BT99:BT103" si="196">IF(BS99&lt;0, "Negative Margin at Inception", "Positive Margin at Inception")</f>
        <v>Positive Margin at Inception</v>
      </c>
      <c r="BU99" s="145">
        <f t="shared" ref="BU99:BU103" si="197">IFERROR(BP99/BO99,"0")</f>
        <v>0.16666666666666666</v>
      </c>
      <c r="BV99" s="144" t="str">
        <f t="shared" ref="BV99:BV103" si="198">IF(BU99&lt;1%,"Less Than 1%",IF(BU99&gt;2%,"More than 2%",IF(BU99&gt;=1%,"1% - 2%")))</f>
        <v>More than 2%</v>
      </c>
      <c r="BW99" s="125">
        <f t="shared" ref="BW99:BW103" si="199">BM99+BN99</f>
        <v>0</v>
      </c>
      <c r="BX99" s="126">
        <f t="shared" ref="BX99:BX103" si="200">AL99+AK99</f>
        <v>0</v>
      </c>
      <c r="BY99" s="125">
        <f t="shared" ref="BY99:BY103" si="201">BW99-BX99</f>
        <v>0</v>
      </c>
      <c r="BZ99" s="146">
        <f t="shared" ref="BZ99:BZ103" si="202">BM99</f>
        <v>0</v>
      </c>
      <c r="CA99" s="146">
        <f t="shared" ref="CA99:CA103" si="203">AK99</f>
        <v>0</v>
      </c>
      <c r="CB99" s="127">
        <f t="shared" ref="CB99:CB103" si="204">BZ99-CA99</f>
        <v>0</v>
      </c>
      <c r="CC99" s="146" t="s">
        <v>397</v>
      </c>
      <c r="CD99" s="127">
        <v>0</v>
      </c>
      <c r="CE99" s="127" t="str">
        <f t="shared" ref="CE99:CE103" si="205">TEXT(AN99,"mmm-yy")</f>
        <v>May-26</v>
      </c>
      <c r="CF99" s="127">
        <f t="shared" ref="CF99:CF103" si="206">AM99-AL99-AA99</f>
        <v>50400</v>
      </c>
      <c r="CG99" s="127">
        <f t="shared" ref="CG99:CG103" si="207">BO99-BN99</f>
        <v>60480</v>
      </c>
      <c r="CH99" s="127">
        <f t="shared" ref="CH99:CH103" si="208">INT((D99- IF(MONTH(D99) &gt;= 4, DATE(YEAR(D99), 4, 1), DATE(YEAR(D99)-1, 4, 1))) / 7) + 1</f>
        <v>5</v>
      </c>
      <c r="CI99" s="147" t="str">
        <f t="shared" ref="CI99:CI103" si="209">IF(F99="BLACK GOLD RECYCLING PRIVATE LIMITED", "BG AHD", "B2B")</f>
        <v>BG AHD</v>
      </c>
      <c r="CJ99" s="127">
        <v>0</v>
      </c>
      <c r="CK99" s="127">
        <v>0</v>
      </c>
      <c r="CL99" s="127">
        <f t="shared" ref="CL99:CL103" si="210">AY99-Q99</f>
        <v>10080</v>
      </c>
      <c r="CM99" s="127">
        <f t="shared" ref="CM99:CM103" si="211">CL99-Y99+Z99</f>
        <v>10080</v>
      </c>
      <c r="CN99" s="127">
        <f t="shared" ref="CN99:CN103" si="212">BO99-AM99</f>
        <v>10080</v>
      </c>
      <c r="CO99" s="127">
        <f t="shared" ref="CO99:CO103" si="213">AY99*118%</f>
        <v>71366.399999999994</v>
      </c>
      <c r="CP99" s="127">
        <f t="shared" ref="CP99:CP103" si="214">-Q99*118%</f>
        <v>-59472</v>
      </c>
      <c r="CQ99" s="127">
        <f t="shared" ref="CQ99:CQ103" si="215">-BZ99*118%</f>
        <v>0</v>
      </c>
      <c r="CR99" s="127">
        <f t="shared" ref="CR99:CR103" si="216">-CA99*118%</f>
        <v>0</v>
      </c>
      <c r="CS99" s="127">
        <f t="shared" ref="CS99:CS103" si="217">SUM(CO99:CR99)</f>
        <v>11894.399999999994</v>
      </c>
      <c r="CT99" s="127" t="s">
        <v>361</v>
      </c>
      <c r="CU99" s="127" t="s">
        <v>361</v>
      </c>
      <c r="CV99" s="142" t="str">
        <f t="shared" ref="CV99:CV103" si="218">MID(G99,3,10)</f>
        <v>AAMCB5608A</v>
      </c>
      <c r="CW99" s="142" t="str">
        <f t="shared" ref="CW99:CW103" si="219">MID(AR99,3,10)</f>
        <v>BJHPB3107J</v>
      </c>
    </row>
    <row r="100" spans="2:101" s="149" customFormat="1" ht="11.85" customHeight="1" x14ac:dyDescent="0.25">
      <c r="B100" s="120" t="str">
        <f t="shared" si="181"/>
        <v>Q1</v>
      </c>
      <c r="C100" s="121" t="str">
        <f t="shared" si="182"/>
        <v>May-26</v>
      </c>
      <c r="D100" s="122">
        <v>46143</v>
      </c>
      <c r="E100" s="123" t="s">
        <v>3507</v>
      </c>
      <c r="F100" s="123" t="s">
        <v>196</v>
      </c>
      <c r="G100" s="123" t="s">
        <v>198</v>
      </c>
      <c r="H100" s="124" t="s">
        <v>3508</v>
      </c>
      <c r="I100" s="122">
        <v>46143</v>
      </c>
      <c r="J100" s="123" t="s">
        <v>3509</v>
      </c>
      <c r="K100" s="122">
        <v>46143</v>
      </c>
      <c r="L100" s="123" t="s">
        <v>199</v>
      </c>
      <c r="M100" s="123" t="s">
        <v>3510</v>
      </c>
      <c r="N100" s="124" t="s">
        <v>3375</v>
      </c>
      <c r="O100" s="123">
        <v>105</v>
      </c>
      <c r="P100" s="124">
        <v>345</v>
      </c>
      <c r="Q100" s="125">
        <f t="shared" si="183"/>
        <v>36225</v>
      </c>
      <c r="R100" s="126">
        <v>0</v>
      </c>
      <c r="S100" s="125">
        <f t="shared" si="184"/>
        <v>105</v>
      </c>
      <c r="T100" s="126">
        <v>0</v>
      </c>
      <c r="U100" s="127">
        <v>0</v>
      </c>
      <c r="V100" s="128">
        <v>0</v>
      </c>
      <c r="W100" s="127">
        <v>0</v>
      </c>
      <c r="X100" s="129">
        <v>0</v>
      </c>
      <c r="Y100" s="127">
        <v>0</v>
      </c>
      <c r="Z100" s="127">
        <v>0</v>
      </c>
      <c r="AA100" s="126">
        <v>0</v>
      </c>
      <c r="AB100" s="130">
        <f t="shared" si="185"/>
        <v>0</v>
      </c>
      <c r="AC100" s="129">
        <v>0</v>
      </c>
      <c r="AD100" s="125">
        <f t="shared" si="186"/>
        <v>345</v>
      </c>
      <c r="AE100" s="144">
        <v>0</v>
      </c>
      <c r="AF100" s="127">
        <v>0</v>
      </c>
      <c r="AG100" s="131">
        <v>0</v>
      </c>
      <c r="AH100" s="127">
        <v>0</v>
      </c>
      <c r="AI100" s="128">
        <v>0</v>
      </c>
      <c r="AJ100" s="127">
        <v>0</v>
      </c>
      <c r="AK100" s="127">
        <v>0</v>
      </c>
      <c r="AL100" s="127">
        <v>0</v>
      </c>
      <c r="AM100" s="132">
        <f t="shared" si="187"/>
        <v>36225</v>
      </c>
      <c r="AN100" s="133">
        <v>46143</v>
      </c>
      <c r="AO100" s="134" t="s">
        <v>3515</v>
      </c>
      <c r="AP100" s="135" t="s">
        <v>3405</v>
      </c>
      <c r="AQ100" s="136" t="s">
        <v>431</v>
      </c>
      <c r="AR100" s="136" t="s">
        <v>432</v>
      </c>
      <c r="AS100" s="123" t="s">
        <v>1653</v>
      </c>
      <c r="AT100" s="137" t="s">
        <v>3407</v>
      </c>
      <c r="AU100" s="137" t="s">
        <v>197</v>
      </c>
      <c r="AV100" s="138" t="s">
        <v>329</v>
      </c>
      <c r="AW100" s="136">
        <v>105</v>
      </c>
      <c r="AX100" s="138">
        <v>400</v>
      </c>
      <c r="AY100" s="136">
        <f t="shared" si="188"/>
        <v>42000</v>
      </c>
      <c r="AZ100" s="139" t="b">
        <f t="shared" si="189"/>
        <v>1</v>
      </c>
      <c r="BA100" s="125">
        <v>0</v>
      </c>
      <c r="BB100" s="140">
        <f t="shared" si="190"/>
        <v>105</v>
      </c>
      <c r="BC100" s="141">
        <v>0</v>
      </c>
      <c r="BD100" s="140" t="s">
        <v>107</v>
      </c>
      <c r="BE100" s="141">
        <v>0</v>
      </c>
      <c r="BF100" s="140">
        <v>0</v>
      </c>
      <c r="BG100" s="141">
        <v>0</v>
      </c>
      <c r="BH100" s="127">
        <v>0</v>
      </c>
      <c r="BI100" s="130">
        <v>0</v>
      </c>
      <c r="BJ100" s="128">
        <v>0</v>
      </c>
      <c r="BK100" s="125">
        <v>0</v>
      </c>
      <c r="BL100" s="136">
        <v>0</v>
      </c>
      <c r="BM100" s="127">
        <v>0</v>
      </c>
      <c r="BN100" s="142">
        <f t="shared" si="191"/>
        <v>0</v>
      </c>
      <c r="BO100" s="126">
        <f t="shared" si="192"/>
        <v>42000</v>
      </c>
      <c r="BP100" s="132">
        <f t="shared" si="193"/>
        <v>5775</v>
      </c>
      <c r="BQ100" s="141" t="str">
        <f t="shared" si="194"/>
        <v>Positive Margin</v>
      </c>
      <c r="BR100" s="143" t="s">
        <v>119</v>
      </c>
      <c r="BS100" s="125">
        <f t="shared" si="195"/>
        <v>5775</v>
      </c>
      <c r="BT100" s="144" t="str">
        <f t="shared" si="196"/>
        <v>Positive Margin at Inception</v>
      </c>
      <c r="BU100" s="145">
        <f t="shared" si="197"/>
        <v>0.13750000000000001</v>
      </c>
      <c r="BV100" s="144" t="str">
        <f t="shared" si="198"/>
        <v>More than 2%</v>
      </c>
      <c r="BW100" s="125">
        <f t="shared" si="199"/>
        <v>0</v>
      </c>
      <c r="BX100" s="126">
        <f t="shared" si="200"/>
        <v>0</v>
      </c>
      <c r="BY100" s="125">
        <f t="shared" si="201"/>
        <v>0</v>
      </c>
      <c r="BZ100" s="146">
        <f t="shared" si="202"/>
        <v>0</v>
      </c>
      <c r="CA100" s="146">
        <f t="shared" si="203"/>
        <v>0</v>
      </c>
      <c r="CB100" s="127">
        <f t="shared" si="204"/>
        <v>0</v>
      </c>
      <c r="CC100" s="146" t="s">
        <v>397</v>
      </c>
      <c r="CD100" s="127">
        <v>0</v>
      </c>
      <c r="CE100" s="127" t="str">
        <f t="shared" si="205"/>
        <v>May-26</v>
      </c>
      <c r="CF100" s="127">
        <f t="shared" si="206"/>
        <v>36225</v>
      </c>
      <c r="CG100" s="127">
        <f t="shared" si="207"/>
        <v>42000</v>
      </c>
      <c r="CH100" s="127">
        <f t="shared" si="208"/>
        <v>5</v>
      </c>
      <c r="CI100" s="147" t="str">
        <f t="shared" si="209"/>
        <v>BG AHD</v>
      </c>
      <c r="CJ100" s="127">
        <v>0</v>
      </c>
      <c r="CK100" s="127">
        <v>0</v>
      </c>
      <c r="CL100" s="127">
        <f t="shared" si="210"/>
        <v>5775</v>
      </c>
      <c r="CM100" s="127">
        <f t="shared" si="211"/>
        <v>5775</v>
      </c>
      <c r="CN100" s="127">
        <f t="shared" si="212"/>
        <v>5775</v>
      </c>
      <c r="CO100" s="127">
        <f t="shared" si="213"/>
        <v>49560</v>
      </c>
      <c r="CP100" s="127">
        <f t="shared" si="214"/>
        <v>-42745.5</v>
      </c>
      <c r="CQ100" s="127">
        <f t="shared" si="215"/>
        <v>0</v>
      </c>
      <c r="CR100" s="127">
        <f t="shared" si="216"/>
        <v>0</v>
      </c>
      <c r="CS100" s="127">
        <f t="shared" si="217"/>
        <v>6814.5</v>
      </c>
      <c r="CT100" s="127" t="s">
        <v>361</v>
      </c>
      <c r="CU100" s="127" t="s">
        <v>361</v>
      </c>
      <c r="CV100" s="142" t="str">
        <f t="shared" si="218"/>
        <v>AAMCB5608A</v>
      </c>
      <c r="CW100" s="142" t="str">
        <f t="shared" si="219"/>
        <v>AEDFS4100C</v>
      </c>
    </row>
    <row r="101" spans="2:101" s="149" customFormat="1" ht="11.85" customHeight="1" x14ac:dyDescent="0.25">
      <c r="B101" s="120" t="str">
        <f t="shared" si="181"/>
        <v>Q1</v>
      </c>
      <c r="C101" s="121" t="str">
        <f t="shared" si="182"/>
        <v>May-26</v>
      </c>
      <c r="D101" s="122">
        <v>46144</v>
      </c>
      <c r="E101" s="123" t="s">
        <v>3511</v>
      </c>
      <c r="F101" s="123" t="s">
        <v>196</v>
      </c>
      <c r="G101" s="123" t="s">
        <v>198</v>
      </c>
      <c r="H101" s="124" t="s">
        <v>3512</v>
      </c>
      <c r="I101" s="122">
        <v>46144</v>
      </c>
      <c r="J101" s="123" t="s">
        <v>3513</v>
      </c>
      <c r="K101" s="122">
        <v>46144</v>
      </c>
      <c r="L101" s="123" t="s">
        <v>199</v>
      </c>
      <c r="M101" s="123" t="s">
        <v>244</v>
      </c>
      <c r="N101" s="124" t="s">
        <v>258</v>
      </c>
      <c r="O101" s="123">
        <v>1290</v>
      </c>
      <c r="P101" s="124">
        <v>1.1000000000000001</v>
      </c>
      <c r="Q101" s="125">
        <f t="shared" si="183"/>
        <v>1419.0000000000002</v>
      </c>
      <c r="R101" s="126">
        <v>0</v>
      </c>
      <c r="S101" s="125">
        <f t="shared" si="184"/>
        <v>1290</v>
      </c>
      <c r="T101" s="126">
        <v>0</v>
      </c>
      <c r="U101" s="127">
        <v>0</v>
      </c>
      <c r="V101" s="128">
        <v>0</v>
      </c>
      <c r="W101" s="127">
        <v>0</v>
      </c>
      <c r="X101" s="129">
        <v>0</v>
      </c>
      <c r="Y101" s="127">
        <v>0</v>
      </c>
      <c r="Z101" s="127">
        <v>0</v>
      </c>
      <c r="AA101" s="126">
        <v>0</v>
      </c>
      <c r="AB101" s="130">
        <f t="shared" si="185"/>
        <v>0</v>
      </c>
      <c r="AC101" s="129">
        <v>0</v>
      </c>
      <c r="AD101" s="125">
        <f t="shared" si="186"/>
        <v>1.1000000000000001</v>
      </c>
      <c r="AE101" s="144">
        <v>0</v>
      </c>
      <c r="AF101" s="127">
        <v>0</v>
      </c>
      <c r="AG101" s="131">
        <v>0</v>
      </c>
      <c r="AH101" s="127">
        <v>0</v>
      </c>
      <c r="AI101" s="128">
        <v>0</v>
      </c>
      <c r="AJ101" s="127">
        <v>0</v>
      </c>
      <c r="AK101" s="127">
        <v>0</v>
      </c>
      <c r="AL101" s="127">
        <v>0</v>
      </c>
      <c r="AM101" s="132">
        <f t="shared" si="187"/>
        <v>1419.0000000000002</v>
      </c>
      <c r="AN101" s="133">
        <v>46144</v>
      </c>
      <c r="AO101" s="134" t="s">
        <v>3516</v>
      </c>
      <c r="AP101" s="135" t="s">
        <v>234</v>
      </c>
      <c r="AQ101" s="136" t="s">
        <v>235</v>
      </c>
      <c r="AR101" s="136" t="s">
        <v>236</v>
      </c>
      <c r="AS101" s="123" t="s">
        <v>239</v>
      </c>
      <c r="AT101" s="137" t="s">
        <v>238</v>
      </c>
      <c r="AU101" s="137" t="s">
        <v>197</v>
      </c>
      <c r="AV101" s="138" t="s">
        <v>329</v>
      </c>
      <c r="AW101" s="136">
        <v>1290</v>
      </c>
      <c r="AX101" s="138">
        <v>2.1</v>
      </c>
      <c r="AY101" s="136">
        <f t="shared" si="188"/>
        <v>2709</v>
      </c>
      <c r="AZ101" s="139" t="b">
        <f t="shared" si="189"/>
        <v>1</v>
      </c>
      <c r="BA101" s="125">
        <v>0</v>
      </c>
      <c r="BB101" s="140">
        <f t="shared" si="190"/>
        <v>1290</v>
      </c>
      <c r="BC101" s="141">
        <v>0</v>
      </c>
      <c r="BD101" s="140" t="s">
        <v>107</v>
      </c>
      <c r="BE101" s="141">
        <v>0</v>
      </c>
      <c r="BF101" s="140">
        <v>0</v>
      </c>
      <c r="BG101" s="141">
        <v>0</v>
      </c>
      <c r="BH101" s="127">
        <v>0</v>
      </c>
      <c r="BI101" s="130">
        <v>0</v>
      </c>
      <c r="BJ101" s="128">
        <v>0</v>
      </c>
      <c r="BK101" s="125">
        <v>0</v>
      </c>
      <c r="BL101" s="136">
        <v>0</v>
      </c>
      <c r="BM101" s="127">
        <v>0</v>
      </c>
      <c r="BN101" s="142">
        <f t="shared" si="191"/>
        <v>0</v>
      </c>
      <c r="BO101" s="126">
        <f t="shared" si="192"/>
        <v>2709</v>
      </c>
      <c r="BP101" s="132">
        <f t="shared" si="193"/>
        <v>1289.9999999999998</v>
      </c>
      <c r="BQ101" s="141" t="str">
        <f t="shared" si="194"/>
        <v>Positive Margin</v>
      </c>
      <c r="BR101" s="143" t="s">
        <v>119</v>
      </c>
      <c r="BS101" s="125">
        <f t="shared" si="195"/>
        <v>1289.9999999999998</v>
      </c>
      <c r="BT101" s="144" t="str">
        <f t="shared" si="196"/>
        <v>Positive Margin at Inception</v>
      </c>
      <c r="BU101" s="145">
        <f t="shared" si="197"/>
        <v>0.47619047619047611</v>
      </c>
      <c r="BV101" s="144" t="str">
        <f t="shared" si="198"/>
        <v>More than 2%</v>
      </c>
      <c r="BW101" s="125">
        <f t="shared" si="199"/>
        <v>0</v>
      </c>
      <c r="BX101" s="126">
        <f t="shared" si="200"/>
        <v>0</v>
      </c>
      <c r="BY101" s="125">
        <f t="shared" si="201"/>
        <v>0</v>
      </c>
      <c r="BZ101" s="146">
        <f t="shared" si="202"/>
        <v>0</v>
      </c>
      <c r="CA101" s="146">
        <f t="shared" si="203"/>
        <v>0</v>
      </c>
      <c r="CB101" s="127">
        <f t="shared" si="204"/>
        <v>0</v>
      </c>
      <c r="CC101" s="146" t="s">
        <v>397</v>
      </c>
      <c r="CD101" s="127">
        <v>0</v>
      </c>
      <c r="CE101" s="127" t="str">
        <f t="shared" si="205"/>
        <v>May-26</v>
      </c>
      <c r="CF101" s="127">
        <f t="shared" si="206"/>
        <v>1419.0000000000002</v>
      </c>
      <c r="CG101" s="127">
        <f t="shared" si="207"/>
        <v>2709</v>
      </c>
      <c r="CH101" s="127">
        <f t="shared" si="208"/>
        <v>5</v>
      </c>
      <c r="CI101" s="147" t="str">
        <f t="shared" si="209"/>
        <v>BG AHD</v>
      </c>
      <c r="CJ101" s="127">
        <v>0</v>
      </c>
      <c r="CK101" s="127">
        <v>0</v>
      </c>
      <c r="CL101" s="127">
        <f t="shared" si="210"/>
        <v>1289.9999999999998</v>
      </c>
      <c r="CM101" s="127">
        <f t="shared" si="211"/>
        <v>1289.9999999999998</v>
      </c>
      <c r="CN101" s="127">
        <f t="shared" si="212"/>
        <v>1289.9999999999998</v>
      </c>
      <c r="CO101" s="127">
        <f t="shared" si="213"/>
        <v>3196.62</v>
      </c>
      <c r="CP101" s="127">
        <f t="shared" si="214"/>
        <v>-1674.42</v>
      </c>
      <c r="CQ101" s="127">
        <f t="shared" si="215"/>
        <v>0</v>
      </c>
      <c r="CR101" s="127">
        <f t="shared" si="216"/>
        <v>0</v>
      </c>
      <c r="CS101" s="127">
        <f t="shared" si="217"/>
        <v>1522.1999999999998</v>
      </c>
      <c r="CT101" s="127" t="s">
        <v>361</v>
      </c>
      <c r="CU101" s="127" t="s">
        <v>361</v>
      </c>
      <c r="CV101" s="142" t="str">
        <f t="shared" si="218"/>
        <v>AAMCB5608A</v>
      </c>
      <c r="CW101" s="142" t="str">
        <f t="shared" si="219"/>
        <v>BJHPB3107J</v>
      </c>
    </row>
    <row r="102" spans="2:101" s="149" customFormat="1" ht="11.85" customHeight="1" x14ac:dyDescent="0.25">
      <c r="B102" s="120" t="str">
        <f t="shared" si="181"/>
        <v>Q1</v>
      </c>
      <c r="C102" s="121" t="str">
        <f t="shared" si="182"/>
        <v>May-26</v>
      </c>
      <c r="D102" s="122">
        <v>46144</v>
      </c>
      <c r="E102" s="123" t="s">
        <v>3511</v>
      </c>
      <c r="F102" s="123" t="s">
        <v>196</v>
      </c>
      <c r="G102" s="123" t="s">
        <v>198</v>
      </c>
      <c r="H102" s="124" t="s">
        <v>3512</v>
      </c>
      <c r="I102" s="122">
        <v>46144</v>
      </c>
      <c r="J102" s="123" t="s">
        <v>3513</v>
      </c>
      <c r="K102" s="122">
        <v>46144</v>
      </c>
      <c r="L102" s="123" t="s">
        <v>199</v>
      </c>
      <c r="M102" s="123" t="s">
        <v>244</v>
      </c>
      <c r="N102" s="124" t="s">
        <v>243</v>
      </c>
      <c r="O102" s="123">
        <v>205</v>
      </c>
      <c r="P102" s="124">
        <v>60</v>
      </c>
      <c r="Q102" s="125">
        <f t="shared" si="183"/>
        <v>12300</v>
      </c>
      <c r="R102" s="126">
        <v>0</v>
      </c>
      <c r="S102" s="125">
        <f t="shared" si="184"/>
        <v>205</v>
      </c>
      <c r="T102" s="126">
        <v>0</v>
      </c>
      <c r="U102" s="127">
        <v>0</v>
      </c>
      <c r="V102" s="128">
        <v>0</v>
      </c>
      <c r="W102" s="127">
        <v>0</v>
      </c>
      <c r="X102" s="129">
        <v>0</v>
      </c>
      <c r="Y102" s="127">
        <v>0</v>
      </c>
      <c r="Z102" s="127">
        <v>0</v>
      </c>
      <c r="AA102" s="126">
        <v>0</v>
      </c>
      <c r="AB102" s="130">
        <f t="shared" si="185"/>
        <v>0</v>
      </c>
      <c r="AC102" s="129">
        <v>0</v>
      </c>
      <c r="AD102" s="125">
        <f t="shared" si="186"/>
        <v>60</v>
      </c>
      <c r="AE102" s="144">
        <v>0</v>
      </c>
      <c r="AF102" s="127">
        <v>0</v>
      </c>
      <c r="AG102" s="131">
        <v>0</v>
      </c>
      <c r="AH102" s="127">
        <v>0</v>
      </c>
      <c r="AI102" s="128">
        <v>0</v>
      </c>
      <c r="AJ102" s="127">
        <v>0</v>
      </c>
      <c r="AK102" s="127">
        <v>0</v>
      </c>
      <c r="AL102" s="127">
        <v>0</v>
      </c>
      <c r="AM102" s="132">
        <f t="shared" si="187"/>
        <v>12300</v>
      </c>
      <c r="AN102" s="133">
        <v>46144</v>
      </c>
      <c r="AO102" s="134" t="s">
        <v>3516</v>
      </c>
      <c r="AP102" s="135" t="s">
        <v>234</v>
      </c>
      <c r="AQ102" s="136" t="s">
        <v>235</v>
      </c>
      <c r="AR102" s="136" t="s">
        <v>236</v>
      </c>
      <c r="AS102" s="123" t="s">
        <v>239</v>
      </c>
      <c r="AT102" s="137" t="s">
        <v>238</v>
      </c>
      <c r="AU102" s="137" t="s">
        <v>197</v>
      </c>
      <c r="AV102" s="138" t="s">
        <v>329</v>
      </c>
      <c r="AW102" s="136">
        <v>205</v>
      </c>
      <c r="AX102" s="138">
        <v>80</v>
      </c>
      <c r="AY102" s="136">
        <f t="shared" si="188"/>
        <v>16400</v>
      </c>
      <c r="AZ102" s="139" t="b">
        <f t="shared" si="189"/>
        <v>1</v>
      </c>
      <c r="BA102" s="125">
        <v>0</v>
      </c>
      <c r="BB102" s="140">
        <f t="shared" si="190"/>
        <v>205</v>
      </c>
      <c r="BC102" s="141">
        <v>0</v>
      </c>
      <c r="BD102" s="140" t="s">
        <v>107</v>
      </c>
      <c r="BE102" s="141">
        <v>0</v>
      </c>
      <c r="BF102" s="140">
        <v>0</v>
      </c>
      <c r="BG102" s="141">
        <v>0</v>
      </c>
      <c r="BH102" s="127">
        <v>0</v>
      </c>
      <c r="BI102" s="130">
        <v>0</v>
      </c>
      <c r="BJ102" s="128">
        <v>0</v>
      </c>
      <c r="BK102" s="125">
        <v>0</v>
      </c>
      <c r="BL102" s="136">
        <v>0</v>
      </c>
      <c r="BM102" s="127">
        <v>0</v>
      </c>
      <c r="BN102" s="142">
        <f t="shared" si="191"/>
        <v>0</v>
      </c>
      <c r="BO102" s="126">
        <f t="shared" si="192"/>
        <v>16400</v>
      </c>
      <c r="BP102" s="132">
        <f t="shared" si="193"/>
        <v>4100</v>
      </c>
      <c r="BQ102" s="141" t="str">
        <f t="shared" si="194"/>
        <v>Positive Margin</v>
      </c>
      <c r="BR102" s="143" t="s">
        <v>119</v>
      </c>
      <c r="BS102" s="125">
        <f t="shared" si="195"/>
        <v>4100</v>
      </c>
      <c r="BT102" s="144" t="str">
        <f t="shared" si="196"/>
        <v>Positive Margin at Inception</v>
      </c>
      <c r="BU102" s="145">
        <f t="shared" si="197"/>
        <v>0.25</v>
      </c>
      <c r="BV102" s="144" t="str">
        <f t="shared" si="198"/>
        <v>More than 2%</v>
      </c>
      <c r="BW102" s="125">
        <f t="shared" si="199"/>
        <v>0</v>
      </c>
      <c r="BX102" s="126">
        <f t="shared" si="200"/>
        <v>0</v>
      </c>
      <c r="BY102" s="125">
        <f t="shared" si="201"/>
        <v>0</v>
      </c>
      <c r="BZ102" s="146">
        <f t="shared" si="202"/>
        <v>0</v>
      </c>
      <c r="CA102" s="146">
        <f t="shared" si="203"/>
        <v>0</v>
      </c>
      <c r="CB102" s="127">
        <f t="shared" si="204"/>
        <v>0</v>
      </c>
      <c r="CC102" s="146" t="s">
        <v>397</v>
      </c>
      <c r="CD102" s="127">
        <v>0</v>
      </c>
      <c r="CE102" s="127" t="str">
        <f t="shared" si="205"/>
        <v>May-26</v>
      </c>
      <c r="CF102" s="127">
        <f t="shared" si="206"/>
        <v>12300</v>
      </c>
      <c r="CG102" s="127">
        <f t="shared" si="207"/>
        <v>16400</v>
      </c>
      <c r="CH102" s="127">
        <f t="shared" si="208"/>
        <v>5</v>
      </c>
      <c r="CI102" s="147" t="str">
        <f t="shared" si="209"/>
        <v>BG AHD</v>
      </c>
      <c r="CJ102" s="127">
        <v>0</v>
      </c>
      <c r="CK102" s="127">
        <v>0</v>
      </c>
      <c r="CL102" s="127">
        <f t="shared" si="210"/>
        <v>4100</v>
      </c>
      <c r="CM102" s="127">
        <f t="shared" si="211"/>
        <v>4100</v>
      </c>
      <c r="CN102" s="127">
        <f t="shared" si="212"/>
        <v>4100</v>
      </c>
      <c r="CO102" s="127">
        <f t="shared" si="213"/>
        <v>19352</v>
      </c>
      <c r="CP102" s="127">
        <f t="shared" si="214"/>
        <v>-14514</v>
      </c>
      <c r="CQ102" s="127">
        <f t="shared" si="215"/>
        <v>0</v>
      </c>
      <c r="CR102" s="127">
        <f t="shared" si="216"/>
        <v>0</v>
      </c>
      <c r="CS102" s="127">
        <f t="shared" si="217"/>
        <v>4838</v>
      </c>
      <c r="CT102" s="127" t="s">
        <v>361</v>
      </c>
      <c r="CU102" s="127" t="s">
        <v>361</v>
      </c>
      <c r="CV102" s="142" t="str">
        <f t="shared" si="218"/>
        <v>AAMCB5608A</v>
      </c>
      <c r="CW102" s="142" t="str">
        <f t="shared" si="219"/>
        <v>BJHPB3107J</v>
      </c>
    </row>
    <row r="103" spans="2:101" s="149" customFormat="1" ht="11.85" customHeight="1" x14ac:dyDescent="0.25">
      <c r="B103" s="120" t="str">
        <f t="shared" si="181"/>
        <v>Q1</v>
      </c>
      <c r="C103" s="121" t="str">
        <f t="shared" si="182"/>
        <v>May-26</v>
      </c>
      <c r="D103" s="122">
        <v>46144</v>
      </c>
      <c r="E103" s="123" t="s">
        <v>3511</v>
      </c>
      <c r="F103" s="123" t="s">
        <v>196</v>
      </c>
      <c r="G103" s="123" t="s">
        <v>198</v>
      </c>
      <c r="H103" s="124" t="s">
        <v>3512</v>
      </c>
      <c r="I103" s="122">
        <v>46144</v>
      </c>
      <c r="J103" s="123" t="s">
        <v>3513</v>
      </c>
      <c r="K103" s="122">
        <v>46144</v>
      </c>
      <c r="L103" s="123" t="s">
        <v>199</v>
      </c>
      <c r="M103" s="123" t="s">
        <v>244</v>
      </c>
      <c r="N103" s="124" t="s">
        <v>206</v>
      </c>
      <c r="O103" s="123">
        <v>228</v>
      </c>
      <c r="P103" s="124">
        <v>50</v>
      </c>
      <c r="Q103" s="125">
        <f t="shared" si="183"/>
        <v>11400</v>
      </c>
      <c r="R103" s="126">
        <v>0</v>
      </c>
      <c r="S103" s="125">
        <f t="shared" si="184"/>
        <v>228</v>
      </c>
      <c r="T103" s="126">
        <v>0</v>
      </c>
      <c r="U103" s="127">
        <v>0</v>
      </c>
      <c r="V103" s="128">
        <v>0</v>
      </c>
      <c r="W103" s="127">
        <v>0</v>
      </c>
      <c r="X103" s="129">
        <v>0</v>
      </c>
      <c r="Y103" s="127">
        <v>0</v>
      </c>
      <c r="Z103" s="127">
        <v>0</v>
      </c>
      <c r="AA103" s="126">
        <v>0</v>
      </c>
      <c r="AB103" s="130">
        <f t="shared" si="185"/>
        <v>0</v>
      </c>
      <c r="AC103" s="129">
        <v>0</v>
      </c>
      <c r="AD103" s="125">
        <f t="shared" si="186"/>
        <v>50</v>
      </c>
      <c r="AE103" s="144">
        <v>0</v>
      </c>
      <c r="AF103" s="127">
        <v>0</v>
      </c>
      <c r="AG103" s="131">
        <v>0</v>
      </c>
      <c r="AH103" s="127">
        <v>0</v>
      </c>
      <c r="AI103" s="128">
        <v>0</v>
      </c>
      <c r="AJ103" s="127">
        <v>0</v>
      </c>
      <c r="AK103" s="127">
        <v>0</v>
      </c>
      <c r="AL103" s="127">
        <v>0</v>
      </c>
      <c r="AM103" s="132">
        <f t="shared" si="187"/>
        <v>11400</v>
      </c>
      <c r="AN103" s="133">
        <v>46144</v>
      </c>
      <c r="AO103" s="134" t="s">
        <v>3516</v>
      </c>
      <c r="AP103" s="135" t="s">
        <v>234</v>
      </c>
      <c r="AQ103" s="136" t="s">
        <v>235</v>
      </c>
      <c r="AR103" s="136" t="s">
        <v>236</v>
      </c>
      <c r="AS103" s="123" t="s">
        <v>239</v>
      </c>
      <c r="AT103" s="137" t="s">
        <v>238</v>
      </c>
      <c r="AU103" s="137" t="s">
        <v>197</v>
      </c>
      <c r="AV103" s="138" t="s">
        <v>329</v>
      </c>
      <c r="AW103" s="136">
        <v>228</v>
      </c>
      <c r="AX103" s="138">
        <v>70</v>
      </c>
      <c r="AY103" s="136">
        <f t="shared" si="188"/>
        <v>15960</v>
      </c>
      <c r="AZ103" s="139" t="b">
        <f t="shared" si="189"/>
        <v>1</v>
      </c>
      <c r="BA103" s="125">
        <v>0</v>
      </c>
      <c r="BB103" s="140">
        <f t="shared" si="190"/>
        <v>228</v>
      </c>
      <c r="BC103" s="141">
        <v>0</v>
      </c>
      <c r="BD103" s="140" t="s">
        <v>107</v>
      </c>
      <c r="BE103" s="141">
        <v>0</v>
      </c>
      <c r="BF103" s="140">
        <v>0</v>
      </c>
      <c r="BG103" s="141">
        <v>0</v>
      </c>
      <c r="BH103" s="127">
        <v>0</v>
      </c>
      <c r="BI103" s="130">
        <v>0</v>
      </c>
      <c r="BJ103" s="128">
        <v>0</v>
      </c>
      <c r="BK103" s="125">
        <v>0</v>
      </c>
      <c r="BL103" s="136">
        <v>0</v>
      </c>
      <c r="BM103" s="127">
        <v>0</v>
      </c>
      <c r="BN103" s="142">
        <f t="shared" si="191"/>
        <v>0</v>
      </c>
      <c r="BO103" s="126">
        <f t="shared" si="192"/>
        <v>15960</v>
      </c>
      <c r="BP103" s="132">
        <f t="shared" si="193"/>
        <v>4560</v>
      </c>
      <c r="BQ103" s="141" t="str">
        <f t="shared" si="194"/>
        <v>Positive Margin</v>
      </c>
      <c r="BR103" s="143" t="s">
        <v>119</v>
      </c>
      <c r="BS103" s="125">
        <f t="shared" si="195"/>
        <v>4560</v>
      </c>
      <c r="BT103" s="144" t="str">
        <f t="shared" si="196"/>
        <v>Positive Margin at Inception</v>
      </c>
      <c r="BU103" s="145">
        <f t="shared" si="197"/>
        <v>0.2857142857142857</v>
      </c>
      <c r="BV103" s="144" t="str">
        <f t="shared" si="198"/>
        <v>More than 2%</v>
      </c>
      <c r="BW103" s="125">
        <f t="shared" si="199"/>
        <v>0</v>
      </c>
      <c r="BX103" s="126">
        <f t="shared" si="200"/>
        <v>0</v>
      </c>
      <c r="BY103" s="125">
        <f t="shared" si="201"/>
        <v>0</v>
      </c>
      <c r="BZ103" s="146">
        <f t="shared" si="202"/>
        <v>0</v>
      </c>
      <c r="CA103" s="146">
        <f t="shared" si="203"/>
        <v>0</v>
      </c>
      <c r="CB103" s="127">
        <f t="shared" si="204"/>
        <v>0</v>
      </c>
      <c r="CC103" s="146" t="s">
        <v>397</v>
      </c>
      <c r="CD103" s="127">
        <v>0</v>
      </c>
      <c r="CE103" s="127" t="str">
        <f t="shared" si="205"/>
        <v>May-26</v>
      </c>
      <c r="CF103" s="127">
        <f t="shared" si="206"/>
        <v>11400</v>
      </c>
      <c r="CG103" s="127">
        <f t="shared" si="207"/>
        <v>15960</v>
      </c>
      <c r="CH103" s="127">
        <f t="shared" si="208"/>
        <v>5</v>
      </c>
      <c r="CI103" s="147" t="str">
        <f t="shared" si="209"/>
        <v>BG AHD</v>
      </c>
      <c r="CJ103" s="127">
        <v>0</v>
      </c>
      <c r="CK103" s="127">
        <v>0</v>
      </c>
      <c r="CL103" s="127">
        <f t="shared" si="210"/>
        <v>4560</v>
      </c>
      <c r="CM103" s="127">
        <f t="shared" si="211"/>
        <v>4560</v>
      </c>
      <c r="CN103" s="127">
        <f t="shared" si="212"/>
        <v>4560</v>
      </c>
      <c r="CO103" s="127">
        <f t="shared" si="213"/>
        <v>18832.8</v>
      </c>
      <c r="CP103" s="127">
        <f t="shared" si="214"/>
        <v>-13452</v>
      </c>
      <c r="CQ103" s="127">
        <f t="shared" si="215"/>
        <v>0</v>
      </c>
      <c r="CR103" s="127">
        <f t="shared" si="216"/>
        <v>0</v>
      </c>
      <c r="CS103" s="127">
        <f t="shared" si="217"/>
        <v>5380.7999999999993</v>
      </c>
      <c r="CT103" s="127" t="s">
        <v>361</v>
      </c>
      <c r="CU103" s="127" t="s">
        <v>361</v>
      </c>
      <c r="CV103" s="142" t="str">
        <f t="shared" si="218"/>
        <v>AAMCB5608A</v>
      </c>
      <c r="CW103" s="142" t="str">
        <f t="shared" si="219"/>
        <v>BJHPB3107J</v>
      </c>
    </row>
    <row r="104" spans="2:101" s="149" customFormat="1" ht="11.85" customHeight="1" x14ac:dyDescent="0.25">
      <c r="B104" s="120" t="str">
        <f t="shared" ref="B104:B110" si="220">"Q" &amp; IF(ROUNDUP(MONTH(D104)/3,0)-1=0,4,ROUNDUP(MONTH(D104)/3,0)-1)</f>
        <v>Q1</v>
      </c>
      <c r="C104" s="121" t="str">
        <f t="shared" ref="C104:C110" si="221">TEXT(AN104,"mmm-yy")</f>
        <v>May-26</v>
      </c>
      <c r="D104" s="122">
        <v>46147</v>
      </c>
      <c r="E104" s="123" t="s">
        <v>3518</v>
      </c>
      <c r="F104" s="123" t="s">
        <v>196</v>
      </c>
      <c r="G104" s="123" t="s">
        <v>198</v>
      </c>
      <c r="H104" s="124" t="s">
        <v>3519</v>
      </c>
      <c r="I104" s="122">
        <v>46147</v>
      </c>
      <c r="J104" s="123" t="s">
        <v>3520</v>
      </c>
      <c r="K104" s="122">
        <v>46147</v>
      </c>
      <c r="L104" s="123" t="s">
        <v>199</v>
      </c>
      <c r="M104" s="123" t="s">
        <v>3521</v>
      </c>
      <c r="N104" s="124" t="s">
        <v>3362</v>
      </c>
      <c r="O104" s="123">
        <v>2000</v>
      </c>
      <c r="P104" s="124">
        <v>15.05</v>
      </c>
      <c r="Q104" s="125">
        <f t="shared" ref="Q104:Q110" si="222">O104*P104</f>
        <v>30100</v>
      </c>
      <c r="R104" s="126">
        <v>0</v>
      </c>
      <c r="S104" s="125">
        <f t="shared" ref="S104:S110" si="223">O104-R104</f>
        <v>2000</v>
      </c>
      <c r="T104" s="126">
        <v>0</v>
      </c>
      <c r="U104" s="127">
        <v>0</v>
      </c>
      <c r="V104" s="128">
        <v>0</v>
      </c>
      <c r="W104" s="127">
        <v>0</v>
      </c>
      <c r="X104" s="129">
        <v>0</v>
      </c>
      <c r="Y104" s="127">
        <v>0</v>
      </c>
      <c r="Z104" s="127">
        <v>0</v>
      </c>
      <c r="AA104" s="126">
        <v>0</v>
      </c>
      <c r="AB104" s="130">
        <f t="shared" ref="AB104:AB110" si="224">Y104+AA104+Z104</f>
        <v>0</v>
      </c>
      <c r="AC104" s="129">
        <v>0</v>
      </c>
      <c r="AD104" s="125">
        <f t="shared" ref="AD104:AD110" si="225">Q104/O104</f>
        <v>15.05</v>
      </c>
      <c r="AE104" s="144">
        <v>0</v>
      </c>
      <c r="AF104" s="127">
        <v>0</v>
      </c>
      <c r="AG104" s="131">
        <v>0</v>
      </c>
      <c r="AH104" s="127">
        <v>0</v>
      </c>
      <c r="AI104" s="128">
        <v>0</v>
      </c>
      <c r="AJ104" s="127">
        <v>0</v>
      </c>
      <c r="AK104" s="127">
        <v>0</v>
      </c>
      <c r="AL104" s="127">
        <v>0</v>
      </c>
      <c r="AM104" s="132">
        <f t="shared" ref="AM104:AM110" si="226">Q104+AB104+AL104+AK104+AJ104+T104+AE104</f>
        <v>30100</v>
      </c>
      <c r="AN104" s="133">
        <v>46147</v>
      </c>
      <c r="AO104" s="134" t="s">
        <v>3540</v>
      </c>
      <c r="AP104" s="135" t="s">
        <v>1937</v>
      </c>
      <c r="AQ104" s="136" t="s">
        <v>1938</v>
      </c>
      <c r="AR104" s="136" t="s">
        <v>1939</v>
      </c>
      <c r="AS104" s="123" t="s">
        <v>3541</v>
      </c>
      <c r="AT104" s="137" t="s">
        <v>1940</v>
      </c>
      <c r="AU104" s="137" t="s">
        <v>197</v>
      </c>
      <c r="AV104" s="138" t="s">
        <v>329</v>
      </c>
      <c r="AW104" s="136">
        <v>2000</v>
      </c>
      <c r="AX104" s="138">
        <v>15.6</v>
      </c>
      <c r="AY104" s="136">
        <f t="shared" ref="AY104:AY110" si="227">AW104*AX104</f>
        <v>31200</v>
      </c>
      <c r="AZ104" s="139" t="b">
        <f t="shared" ref="AZ104:AZ110" si="228">AW104=O104</f>
        <v>1</v>
      </c>
      <c r="BA104" s="125">
        <v>0</v>
      </c>
      <c r="BB104" s="140">
        <f t="shared" ref="BB104:BB110" si="229">AW104-BA104</f>
        <v>2000</v>
      </c>
      <c r="BC104" s="141">
        <v>0</v>
      </c>
      <c r="BD104" s="140" t="s">
        <v>107</v>
      </c>
      <c r="BE104" s="141">
        <v>0</v>
      </c>
      <c r="BF104" s="140">
        <v>0</v>
      </c>
      <c r="BG104" s="141">
        <v>0</v>
      </c>
      <c r="BH104" s="127">
        <v>0</v>
      </c>
      <c r="BI104" s="130">
        <v>0</v>
      </c>
      <c r="BJ104" s="128">
        <v>0</v>
      </c>
      <c r="BK104" s="125">
        <v>0</v>
      </c>
      <c r="BL104" s="136">
        <v>0</v>
      </c>
      <c r="BM104" s="127">
        <v>0</v>
      </c>
      <c r="BN104" s="142">
        <f t="shared" ref="BN104:BN110" si="230">AY104*$BN$3</f>
        <v>0</v>
      </c>
      <c r="BO104" s="126">
        <f t="shared" ref="BO104:BO110" si="231">AY104+BL104+BM104+BN104+BC104+BG104</f>
        <v>31200</v>
      </c>
      <c r="BP104" s="132">
        <f t="shared" ref="BP104:BP110" si="232">BO104-AM104</f>
        <v>1100</v>
      </c>
      <c r="BQ104" s="141" t="str">
        <f t="shared" ref="BQ104:BQ110" si="233">IF(BP104&gt;=0,"Positive Margin","Negative Margin")</f>
        <v>Positive Margin</v>
      </c>
      <c r="BR104" s="143" t="s">
        <v>119</v>
      </c>
      <c r="BS104" s="125">
        <f t="shared" ref="BS104:BS110" si="234">AY104-Y104-Q104-AA104-T104+BC104</f>
        <v>1100</v>
      </c>
      <c r="BT104" s="144" t="str">
        <f t="shared" ref="BT104:BT110" si="235">IF(BS104&lt;0, "Negative Margin at Inception", "Positive Margin at Inception")</f>
        <v>Positive Margin at Inception</v>
      </c>
      <c r="BU104" s="145">
        <f t="shared" ref="BU104:BU110" si="236">IFERROR(BP104/BO104,"0")</f>
        <v>3.5256410256410256E-2</v>
      </c>
      <c r="BV104" s="144" t="str">
        <f t="shared" ref="BV104:BV110" si="237">IF(BU104&lt;1%,"Less Than 1%",IF(BU104&gt;2%,"More than 2%",IF(BU104&gt;=1%,"1% - 2%")))</f>
        <v>More than 2%</v>
      </c>
      <c r="BW104" s="125">
        <f t="shared" ref="BW104:BW110" si="238">BM104+BN104</f>
        <v>0</v>
      </c>
      <c r="BX104" s="126">
        <f t="shared" ref="BX104:BX110" si="239">AL104+AK104</f>
        <v>0</v>
      </c>
      <c r="BY104" s="125">
        <f t="shared" ref="BY104:BY110" si="240">BW104-BX104</f>
        <v>0</v>
      </c>
      <c r="BZ104" s="146">
        <f t="shared" ref="BZ104:BZ110" si="241">BM104</f>
        <v>0</v>
      </c>
      <c r="CA104" s="146">
        <f t="shared" ref="CA104:CA110" si="242">AK104</f>
        <v>0</v>
      </c>
      <c r="CB104" s="127">
        <f t="shared" ref="CB104:CB110" si="243">BZ104-CA104</f>
        <v>0</v>
      </c>
      <c r="CC104" s="146" t="s">
        <v>397</v>
      </c>
      <c r="CD104" s="127">
        <v>0</v>
      </c>
      <c r="CE104" s="127" t="str">
        <f t="shared" ref="CE104:CE110" si="244">TEXT(AN104,"mmm-yy")</f>
        <v>May-26</v>
      </c>
      <c r="CF104" s="127">
        <f t="shared" ref="CF104:CF110" si="245">AM104-AL104-AA104</f>
        <v>30100</v>
      </c>
      <c r="CG104" s="127">
        <f t="shared" ref="CG104:CG110" si="246">BO104-BN104</f>
        <v>31200</v>
      </c>
      <c r="CH104" s="127">
        <f t="shared" ref="CH104:CH110" si="247">INT((D104- IF(MONTH(D104) &gt;= 4, DATE(YEAR(D104), 4, 1), DATE(YEAR(D104)-1, 4, 1))) / 7) + 1</f>
        <v>5</v>
      </c>
      <c r="CI104" s="147" t="str">
        <f t="shared" ref="CI104:CI110" si="248">IF(F104="BLACK GOLD RECYCLING PRIVATE LIMITED", "BG AHD", "B2B")</f>
        <v>BG AHD</v>
      </c>
      <c r="CJ104" s="127">
        <v>0</v>
      </c>
      <c r="CK104" s="127">
        <v>0</v>
      </c>
      <c r="CL104" s="127">
        <f t="shared" ref="CL104:CL110" si="249">AY104-Q104</f>
        <v>1100</v>
      </c>
      <c r="CM104" s="127">
        <f t="shared" ref="CM104:CM110" si="250">CL104-Y104+Z104</f>
        <v>1100</v>
      </c>
      <c r="CN104" s="127">
        <f t="shared" ref="CN104:CN110" si="251">BO104-AM104</f>
        <v>1100</v>
      </c>
      <c r="CO104" s="127">
        <f t="shared" ref="CO104:CO110" si="252">AY104*118%</f>
        <v>36816</v>
      </c>
      <c r="CP104" s="127">
        <f t="shared" ref="CP104:CP110" si="253">-Q104*118%</f>
        <v>-35518</v>
      </c>
      <c r="CQ104" s="127">
        <f t="shared" ref="CQ104:CQ110" si="254">-BZ104*118%</f>
        <v>0</v>
      </c>
      <c r="CR104" s="127">
        <f t="shared" ref="CR104:CR110" si="255">-CA104*118%</f>
        <v>0</v>
      </c>
      <c r="CS104" s="127">
        <f t="shared" ref="CS104:CS110" si="256">SUM(CO104:CR104)</f>
        <v>1298</v>
      </c>
      <c r="CT104" s="127" t="s">
        <v>361</v>
      </c>
      <c r="CU104" s="127" t="s">
        <v>361</v>
      </c>
      <c r="CV104" s="142" t="str">
        <f t="shared" ref="CV104:CV110" si="257">MID(G104,3,10)</f>
        <v>AAMCB5608A</v>
      </c>
      <c r="CW104" s="142" t="str">
        <f t="shared" ref="CW104:CW110" si="258">MID(AR104,3,10)</f>
        <v>AFDPY5902R</v>
      </c>
    </row>
    <row r="105" spans="2:101" s="149" customFormat="1" ht="11.85" customHeight="1" x14ac:dyDescent="0.25">
      <c r="B105" s="120" t="str">
        <f t="shared" si="220"/>
        <v>Q1</v>
      </c>
      <c r="C105" s="121" t="str">
        <f t="shared" si="221"/>
        <v>May-26</v>
      </c>
      <c r="D105" s="122">
        <v>46147</v>
      </c>
      <c r="E105" s="123" t="s">
        <v>3522</v>
      </c>
      <c r="F105" s="123" t="s">
        <v>196</v>
      </c>
      <c r="G105" s="123" t="s">
        <v>198</v>
      </c>
      <c r="H105" s="124" t="s">
        <v>3523</v>
      </c>
      <c r="I105" s="122">
        <v>46147</v>
      </c>
      <c r="J105" s="123" t="s">
        <v>3524</v>
      </c>
      <c r="K105" s="122">
        <v>46147</v>
      </c>
      <c r="L105" s="123" t="s">
        <v>199</v>
      </c>
      <c r="M105" s="123" t="s">
        <v>2331</v>
      </c>
      <c r="N105" s="124" t="s">
        <v>258</v>
      </c>
      <c r="O105" s="123">
        <v>1770</v>
      </c>
      <c r="P105" s="124">
        <v>1.1000000000000001</v>
      </c>
      <c r="Q105" s="125">
        <f t="shared" si="222"/>
        <v>1947.0000000000002</v>
      </c>
      <c r="R105" s="126">
        <v>0</v>
      </c>
      <c r="S105" s="125">
        <f t="shared" si="223"/>
        <v>1770</v>
      </c>
      <c r="T105" s="126">
        <v>0</v>
      </c>
      <c r="U105" s="127">
        <v>0</v>
      </c>
      <c r="V105" s="128">
        <v>0</v>
      </c>
      <c r="W105" s="127">
        <v>0</v>
      </c>
      <c r="X105" s="129">
        <v>0</v>
      </c>
      <c r="Y105" s="127">
        <v>0</v>
      </c>
      <c r="Z105" s="127">
        <v>0</v>
      </c>
      <c r="AA105" s="126">
        <v>0</v>
      </c>
      <c r="AB105" s="130">
        <f t="shared" si="224"/>
        <v>0</v>
      </c>
      <c r="AC105" s="129">
        <v>0</v>
      </c>
      <c r="AD105" s="125">
        <f t="shared" si="225"/>
        <v>1.1000000000000001</v>
      </c>
      <c r="AE105" s="144">
        <v>0</v>
      </c>
      <c r="AF105" s="127">
        <v>0</v>
      </c>
      <c r="AG105" s="131">
        <v>0</v>
      </c>
      <c r="AH105" s="127">
        <v>0</v>
      </c>
      <c r="AI105" s="128">
        <v>0</v>
      </c>
      <c r="AJ105" s="127">
        <v>0</v>
      </c>
      <c r="AK105" s="127">
        <v>0</v>
      </c>
      <c r="AL105" s="127">
        <v>0</v>
      </c>
      <c r="AM105" s="132">
        <f t="shared" si="226"/>
        <v>1947.0000000000002</v>
      </c>
      <c r="AN105" s="133">
        <v>46147</v>
      </c>
      <c r="AO105" s="134" t="s">
        <v>3542</v>
      </c>
      <c r="AP105" s="135" t="s">
        <v>234</v>
      </c>
      <c r="AQ105" s="136" t="s">
        <v>235</v>
      </c>
      <c r="AR105" s="136" t="s">
        <v>236</v>
      </c>
      <c r="AS105" s="123" t="s">
        <v>239</v>
      </c>
      <c r="AT105" s="137" t="s">
        <v>238</v>
      </c>
      <c r="AU105" s="137" t="s">
        <v>197</v>
      </c>
      <c r="AV105" s="138" t="s">
        <v>329</v>
      </c>
      <c r="AW105" s="136">
        <v>1770</v>
      </c>
      <c r="AX105" s="138">
        <v>2.1</v>
      </c>
      <c r="AY105" s="136">
        <f t="shared" si="227"/>
        <v>3717</v>
      </c>
      <c r="AZ105" s="139" t="b">
        <f t="shared" si="228"/>
        <v>1</v>
      </c>
      <c r="BA105" s="125">
        <v>0</v>
      </c>
      <c r="BB105" s="140">
        <f t="shared" si="229"/>
        <v>1770</v>
      </c>
      <c r="BC105" s="141">
        <v>0</v>
      </c>
      <c r="BD105" s="140" t="s">
        <v>107</v>
      </c>
      <c r="BE105" s="141">
        <v>0</v>
      </c>
      <c r="BF105" s="140">
        <v>0</v>
      </c>
      <c r="BG105" s="141">
        <v>0</v>
      </c>
      <c r="BH105" s="127">
        <v>0</v>
      </c>
      <c r="BI105" s="130">
        <v>0</v>
      </c>
      <c r="BJ105" s="128">
        <v>0</v>
      </c>
      <c r="BK105" s="125">
        <v>0</v>
      </c>
      <c r="BL105" s="136">
        <v>0</v>
      </c>
      <c r="BM105" s="127">
        <v>0</v>
      </c>
      <c r="BN105" s="142">
        <f t="shared" si="230"/>
        <v>0</v>
      </c>
      <c r="BO105" s="126">
        <f t="shared" si="231"/>
        <v>3717</v>
      </c>
      <c r="BP105" s="132">
        <f t="shared" si="232"/>
        <v>1769.9999999999998</v>
      </c>
      <c r="BQ105" s="141" t="str">
        <f t="shared" si="233"/>
        <v>Positive Margin</v>
      </c>
      <c r="BR105" s="143" t="s">
        <v>119</v>
      </c>
      <c r="BS105" s="125">
        <f t="shared" si="234"/>
        <v>1769.9999999999998</v>
      </c>
      <c r="BT105" s="144" t="str">
        <f t="shared" si="235"/>
        <v>Positive Margin at Inception</v>
      </c>
      <c r="BU105" s="145">
        <f t="shared" si="236"/>
        <v>0.47619047619047611</v>
      </c>
      <c r="BV105" s="144" t="str">
        <f t="shared" si="237"/>
        <v>More than 2%</v>
      </c>
      <c r="BW105" s="125">
        <f t="shared" si="238"/>
        <v>0</v>
      </c>
      <c r="BX105" s="126">
        <f t="shared" si="239"/>
        <v>0</v>
      </c>
      <c r="BY105" s="125">
        <f t="shared" si="240"/>
        <v>0</v>
      </c>
      <c r="BZ105" s="146">
        <f t="shared" si="241"/>
        <v>0</v>
      </c>
      <c r="CA105" s="146">
        <f t="shared" si="242"/>
        <v>0</v>
      </c>
      <c r="CB105" s="127">
        <f t="shared" si="243"/>
        <v>0</v>
      </c>
      <c r="CC105" s="146" t="s">
        <v>397</v>
      </c>
      <c r="CD105" s="127">
        <v>0</v>
      </c>
      <c r="CE105" s="127" t="str">
        <f t="shared" si="244"/>
        <v>May-26</v>
      </c>
      <c r="CF105" s="127">
        <f t="shared" si="245"/>
        <v>1947.0000000000002</v>
      </c>
      <c r="CG105" s="127">
        <f t="shared" si="246"/>
        <v>3717</v>
      </c>
      <c r="CH105" s="127">
        <f t="shared" si="247"/>
        <v>5</v>
      </c>
      <c r="CI105" s="147" t="str">
        <f t="shared" si="248"/>
        <v>BG AHD</v>
      </c>
      <c r="CJ105" s="127">
        <v>0</v>
      </c>
      <c r="CK105" s="127">
        <v>0</v>
      </c>
      <c r="CL105" s="127">
        <f t="shared" si="249"/>
        <v>1769.9999999999998</v>
      </c>
      <c r="CM105" s="127">
        <f t="shared" si="250"/>
        <v>1769.9999999999998</v>
      </c>
      <c r="CN105" s="127">
        <f t="shared" si="251"/>
        <v>1769.9999999999998</v>
      </c>
      <c r="CO105" s="127">
        <f t="shared" si="252"/>
        <v>4386.0599999999995</v>
      </c>
      <c r="CP105" s="127">
        <f t="shared" si="253"/>
        <v>-2297.46</v>
      </c>
      <c r="CQ105" s="127">
        <f t="shared" si="254"/>
        <v>0</v>
      </c>
      <c r="CR105" s="127">
        <f t="shared" si="255"/>
        <v>0</v>
      </c>
      <c r="CS105" s="127">
        <f t="shared" si="256"/>
        <v>2088.5999999999995</v>
      </c>
      <c r="CT105" s="127" t="s">
        <v>361</v>
      </c>
      <c r="CU105" s="127" t="s">
        <v>361</v>
      </c>
      <c r="CV105" s="142" t="str">
        <f t="shared" si="257"/>
        <v>AAMCB5608A</v>
      </c>
      <c r="CW105" s="142" t="str">
        <f t="shared" si="258"/>
        <v>BJHPB3107J</v>
      </c>
    </row>
    <row r="106" spans="2:101" s="149" customFormat="1" ht="11.85" customHeight="1" x14ac:dyDescent="0.25">
      <c r="B106" s="120" t="str">
        <f t="shared" si="220"/>
        <v>Q1</v>
      </c>
      <c r="C106" s="121" t="str">
        <f t="shared" si="221"/>
        <v>May-26</v>
      </c>
      <c r="D106" s="122">
        <v>46147</v>
      </c>
      <c r="E106" s="123" t="s">
        <v>3522</v>
      </c>
      <c r="F106" s="123" t="s">
        <v>196</v>
      </c>
      <c r="G106" s="123" t="s">
        <v>198</v>
      </c>
      <c r="H106" s="124" t="s">
        <v>3523</v>
      </c>
      <c r="I106" s="122">
        <v>46147</v>
      </c>
      <c r="J106" s="123" t="s">
        <v>3524</v>
      </c>
      <c r="K106" s="122">
        <v>46147</v>
      </c>
      <c r="L106" s="123" t="s">
        <v>199</v>
      </c>
      <c r="M106" s="123" t="s">
        <v>2331</v>
      </c>
      <c r="N106" s="124" t="s">
        <v>205</v>
      </c>
      <c r="O106" s="123">
        <v>510</v>
      </c>
      <c r="P106" s="124">
        <v>12</v>
      </c>
      <c r="Q106" s="125">
        <f t="shared" si="222"/>
        <v>6120</v>
      </c>
      <c r="R106" s="126">
        <v>0</v>
      </c>
      <c r="S106" s="125">
        <f t="shared" si="223"/>
        <v>510</v>
      </c>
      <c r="T106" s="126">
        <v>0</v>
      </c>
      <c r="U106" s="127">
        <v>0</v>
      </c>
      <c r="V106" s="128">
        <v>0</v>
      </c>
      <c r="W106" s="127">
        <v>0</v>
      </c>
      <c r="X106" s="129">
        <v>0</v>
      </c>
      <c r="Y106" s="127">
        <v>0</v>
      </c>
      <c r="Z106" s="127">
        <v>0</v>
      </c>
      <c r="AA106" s="126">
        <v>0</v>
      </c>
      <c r="AB106" s="130">
        <f t="shared" si="224"/>
        <v>0</v>
      </c>
      <c r="AC106" s="129">
        <v>0</v>
      </c>
      <c r="AD106" s="125">
        <f t="shared" si="225"/>
        <v>12</v>
      </c>
      <c r="AE106" s="144">
        <v>0</v>
      </c>
      <c r="AF106" s="127">
        <v>0</v>
      </c>
      <c r="AG106" s="131">
        <v>0</v>
      </c>
      <c r="AH106" s="127">
        <v>0</v>
      </c>
      <c r="AI106" s="128">
        <v>0</v>
      </c>
      <c r="AJ106" s="127">
        <v>0</v>
      </c>
      <c r="AK106" s="127">
        <v>0</v>
      </c>
      <c r="AL106" s="127">
        <v>0</v>
      </c>
      <c r="AM106" s="132">
        <f t="shared" si="226"/>
        <v>6120</v>
      </c>
      <c r="AN106" s="133">
        <v>46147</v>
      </c>
      <c r="AO106" s="134" t="s">
        <v>3542</v>
      </c>
      <c r="AP106" s="135" t="s">
        <v>234</v>
      </c>
      <c r="AQ106" s="136" t="s">
        <v>235</v>
      </c>
      <c r="AR106" s="136" t="s">
        <v>236</v>
      </c>
      <c r="AS106" s="123" t="s">
        <v>239</v>
      </c>
      <c r="AT106" s="137" t="s">
        <v>238</v>
      </c>
      <c r="AU106" s="137" t="s">
        <v>197</v>
      </c>
      <c r="AV106" s="138" t="s">
        <v>329</v>
      </c>
      <c r="AW106" s="136">
        <v>510</v>
      </c>
      <c r="AX106" s="138">
        <v>14</v>
      </c>
      <c r="AY106" s="136">
        <f t="shared" si="227"/>
        <v>7140</v>
      </c>
      <c r="AZ106" s="139" t="b">
        <f t="shared" si="228"/>
        <v>1</v>
      </c>
      <c r="BA106" s="125">
        <v>0</v>
      </c>
      <c r="BB106" s="140">
        <f t="shared" si="229"/>
        <v>510</v>
      </c>
      <c r="BC106" s="141">
        <v>0</v>
      </c>
      <c r="BD106" s="140" t="s">
        <v>107</v>
      </c>
      <c r="BE106" s="141">
        <v>0</v>
      </c>
      <c r="BF106" s="140">
        <v>0</v>
      </c>
      <c r="BG106" s="141">
        <v>0</v>
      </c>
      <c r="BH106" s="127">
        <v>0</v>
      </c>
      <c r="BI106" s="130">
        <v>0</v>
      </c>
      <c r="BJ106" s="128">
        <v>0</v>
      </c>
      <c r="BK106" s="125">
        <v>0</v>
      </c>
      <c r="BL106" s="136">
        <v>0</v>
      </c>
      <c r="BM106" s="127">
        <v>0</v>
      </c>
      <c r="BN106" s="142">
        <f t="shared" si="230"/>
        <v>0</v>
      </c>
      <c r="BO106" s="126">
        <f t="shared" si="231"/>
        <v>7140</v>
      </c>
      <c r="BP106" s="132">
        <f t="shared" si="232"/>
        <v>1020</v>
      </c>
      <c r="BQ106" s="141" t="str">
        <f t="shared" si="233"/>
        <v>Positive Margin</v>
      </c>
      <c r="BR106" s="143" t="s">
        <v>119</v>
      </c>
      <c r="BS106" s="125">
        <f t="shared" si="234"/>
        <v>1020</v>
      </c>
      <c r="BT106" s="144" t="str">
        <f t="shared" si="235"/>
        <v>Positive Margin at Inception</v>
      </c>
      <c r="BU106" s="145">
        <f t="shared" si="236"/>
        <v>0.14285714285714285</v>
      </c>
      <c r="BV106" s="144" t="str">
        <f t="shared" si="237"/>
        <v>More than 2%</v>
      </c>
      <c r="BW106" s="125">
        <f t="shared" si="238"/>
        <v>0</v>
      </c>
      <c r="BX106" s="126">
        <f t="shared" si="239"/>
        <v>0</v>
      </c>
      <c r="BY106" s="125">
        <f t="shared" si="240"/>
        <v>0</v>
      </c>
      <c r="BZ106" s="146">
        <f t="shared" si="241"/>
        <v>0</v>
      </c>
      <c r="CA106" s="146">
        <f t="shared" si="242"/>
        <v>0</v>
      </c>
      <c r="CB106" s="127">
        <f t="shared" si="243"/>
        <v>0</v>
      </c>
      <c r="CC106" s="146" t="s">
        <v>397</v>
      </c>
      <c r="CD106" s="127">
        <v>0</v>
      </c>
      <c r="CE106" s="127" t="str">
        <f t="shared" si="244"/>
        <v>May-26</v>
      </c>
      <c r="CF106" s="127">
        <f t="shared" si="245"/>
        <v>6120</v>
      </c>
      <c r="CG106" s="127">
        <f t="shared" si="246"/>
        <v>7140</v>
      </c>
      <c r="CH106" s="127">
        <f t="shared" si="247"/>
        <v>5</v>
      </c>
      <c r="CI106" s="147" t="str">
        <f t="shared" si="248"/>
        <v>BG AHD</v>
      </c>
      <c r="CJ106" s="127">
        <v>0</v>
      </c>
      <c r="CK106" s="127">
        <v>0</v>
      </c>
      <c r="CL106" s="127">
        <f t="shared" si="249"/>
        <v>1020</v>
      </c>
      <c r="CM106" s="127">
        <f t="shared" si="250"/>
        <v>1020</v>
      </c>
      <c r="CN106" s="127">
        <f t="shared" si="251"/>
        <v>1020</v>
      </c>
      <c r="CO106" s="127">
        <f t="shared" si="252"/>
        <v>8425.1999999999989</v>
      </c>
      <c r="CP106" s="127">
        <f t="shared" si="253"/>
        <v>-7221.5999999999995</v>
      </c>
      <c r="CQ106" s="127">
        <f t="shared" si="254"/>
        <v>0</v>
      </c>
      <c r="CR106" s="127">
        <f t="shared" si="255"/>
        <v>0</v>
      </c>
      <c r="CS106" s="127">
        <f t="shared" si="256"/>
        <v>1203.5999999999995</v>
      </c>
      <c r="CT106" s="127" t="s">
        <v>361</v>
      </c>
      <c r="CU106" s="127" t="s">
        <v>361</v>
      </c>
      <c r="CV106" s="142" t="str">
        <f t="shared" si="257"/>
        <v>AAMCB5608A</v>
      </c>
      <c r="CW106" s="142" t="str">
        <f t="shared" si="258"/>
        <v>BJHPB3107J</v>
      </c>
    </row>
    <row r="107" spans="2:101" s="149" customFormat="1" ht="11.85" customHeight="1" x14ac:dyDescent="0.25">
      <c r="B107" s="120" t="str">
        <f t="shared" si="220"/>
        <v>Q1</v>
      </c>
      <c r="C107" s="121" t="str">
        <f t="shared" si="221"/>
        <v>May-26</v>
      </c>
      <c r="D107" s="122">
        <v>46147</v>
      </c>
      <c r="E107" s="123" t="s">
        <v>3525</v>
      </c>
      <c r="F107" s="123" t="s">
        <v>196</v>
      </c>
      <c r="G107" s="123" t="s">
        <v>198</v>
      </c>
      <c r="H107" s="124" t="s">
        <v>3526</v>
      </c>
      <c r="I107" s="122">
        <v>46147</v>
      </c>
      <c r="J107" s="123" t="s">
        <v>3527</v>
      </c>
      <c r="K107" s="122">
        <v>46147</v>
      </c>
      <c r="L107" s="123" t="s">
        <v>199</v>
      </c>
      <c r="M107" s="123" t="s">
        <v>3528</v>
      </c>
      <c r="N107" s="124" t="s">
        <v>203</v>
      </c>
      <c r="O107" s="123">
        <v>4620</v>
      </c>
      <c r="P107" s="124">
        <v>16.100000000000001</v>
      </c>
      <c r="Q107" s="125">
        <f t="shared" si="222"/>
        <v>74382</v>
      </c>
      <c r="R107" s="126">
        <v>0</v>
      </c>
      <c r="S107" s="125">
        <f t="shared" si="223"/>
        <v>4620</v>
      </c>
      <c r="T107" s="126">
        <v>0</v>
      </c>
      <c r="U107" s="127">
        <v>0</v>
      </c>
      <c r="V107" s="128">
        <v>0</v>
      </c>
      <c r="W107" s="127">
        <v>0</v>
      </c>
      <c r="X107" s="129">
        <v>0</v>
      </c>
      <c r="Y107" s="127">
        <v>0</v>
      </c>
      <c r="Z107" s="127">
        <v>0</v>
      </c>
      <c r="AA107" s="126">
        <v>0</v>
      </c>
      <c r="AB107" s="130">
        <f t="shared" si="224"/>
        <v>0</v>
      </c>
      <c r="AC107" s="129">
        <v>0</v>
      </c>
      <c r="AD107" s="125">
        <f t="shared" si="225"/>
        <v>16.100000000000001</v>
      </c>
      <c r="AE107" s="144">
        <v>0</v>
      </c>
      <c r="AF107" s="127">
        <v>0</v>
      </c>
      <c r="AG107" s="131">
        <v>0</v>
      </c>
      <c r="AH107" s="127">
        <v>0</v>
      </c>
      <c r="AI107" s="128">
        <v>0</v>
      </c>
      <c r="AJ107" s="127">
        <v>0</v>
      </c>
      <c r="AK107" s="127">
        <v>0</v>
      </c>
      <c r="AL107" s="127">
        <v>0</v>
      </c>
      <c r="AM107" s="132">
        <f t="shared" si="226"/>
        <v>74382</v>
      </c>
      <c r="AN107" s="133">
        <v>46147</v>
      </c>
      <c r="AO107" s="134" t="s">
        <v>3543</v>
      </c>
      <c r="AP107" s="135" t="s">
        <v>234</v>
      </c>
      <c r="AQ107" s="136" t="s">
        <v>235</v>
      </c>
      <c r="AR107" s="136" t="s">
        <v>236</v>
      </c>
      <c r="AS107" s="123" t="s">
        <v>2006</v>
      </c>
      <c r="AT107" s="137" t="s">
        <v>238</v>
      </c>
      <c r="AU107" s="137" t="s">
        <v>197</v>
      </c>
      <c r="AV107" s="138" t="s">
        <v>329</v>
      </c>
      <c r="AW107" s="136">
        <v>4620</v>
      </c>
      <c r="AX107" s="138">
        <v>20</v>
      </c>
      <c r="AY107" s="136">
        <f t="shared" si="227"/>
        <v>92400</v>
      </c>
      <c r="AZ107" s="139" t="b">
        <f t="shared" si="228"/>
        <v>1</v>
      </c>
      <c r="BA107" s="125">
        <v>0</v>
      </c>
      <c r="BB107" s="140">
        <f t="shared" si="229"/>
        <v>4620</v>
      </c>
      <c r="BC107" s="141">
        <v>0</v>
      </c>
      <c r="BD107" s="140" t="s">
        <v>107</v>
      </c>
      <c r="BE107" s="141">
        <v>0</v>
      </c>
      <c r="BF107" s="140">
        <v>0</v>
      </c>
      <c r="BG107" s="141">
        <v>0</v>
      </c>
      <c r="BH107" s="127">
        <v>0</v>
      </c>
      <c r="BI107" s="130">
        <v>0</v>
      </c>
      <c r="BJ107" s="128">
        <v>0</v>
      </c>
      <c r="BK107" s="125">
        <v>0</v>
      </c>
      <c r="BL107" s="136">
        <v>0</v>
      </c>
      <c r="BM107" s="127">
        <v>0</v>
      </c>
      <c r="BN107" s="142">
        <f t="shared" si="230"/>
        <v>0</v>
      </c>
      <c r="BO107" s="126">
        <f t="shared" si="231"/>
        <v>92400</v>
      </c>
      <c r="BP107" s="132">
        <f t="shared" si="232"/>
        <v>18018</v>
      </c>
      <c r="BQ107" s="141" t="str">
        <f t="shared" si="233"/>
        <v>Positive Margin</v>
      </c>
      <c r="BR107" s="143" t="s">
        <v>119</v>
      </c>
      <c r="BS107" s="125">
        <f t="shared" si="234"/>
        <v>18018</v>
      </c>
      <c r="BT107" s="144" t="str">
        <f t="shared" si="235"/>
        <v>Positive Margin at Inception</v>
      </c>
      <c r="BU107" s="145">
        <f t="shared" si="236"/>
        <v>0.19500000000000001</v>
      </c>
      <c r="BV107" s="144" t="str">
        <f t="shared" si="237"/>
        <v>More than 2%</v>
      </c>
      <c r="BW107" s="125">
        <f t="shared" si="238"/>
        <v>0</v>
      </c>
      <c r="BX107" s="126">
        <f t="shared" si="239"/>
        <v>0</v>
      </c>
      <c r="BY107" s="125">
        <f t="shared" si="240"/>
        <v>0</v>
      </c>
      <c r="BZ107" s="146">
        <f t="shared" si="241"/>
        <v>0</v>
      </c>
      <c r="CA107" s="146">
        <f t="shared" si="242"/>
        <v>0</v>
      </c>
      <c r="CB107" s="127">
        <f t="shared" si="243"/>
        <v>0</v>
      </c>
      <c r="CC107" s="146" t="s">
        <v>397</v>
      </c>
      <c r="CD107" s="127">
        <v>0</v>
      </c>
      <c r="CE107" s="127" t="str">
        <f t="shared" si="244"/>
        <v>May-26</v>
      </c>
      <c r="CF107" s="127">
        <f t="shared" si="245"/>
        <v>74382</v>
      </c>
      <c r="CG107" s="127">
        <f t="shared" si="246"/>
        <v>92400</v>
      </c>
      <c r="CH107" s="127">
        <f t="shared" si="247"/>
        <v>5</v>
      </c>
      <c r="CI107" s="147" t="str">
        <f t="shared" si="248"/>
        <v>BG AHD</v>
      </c>
      <c r="CJ107" s="127">
        <v>0</v>
      </c>
      <c r="CK107" s="127">
        <v>0</v>
      </c>
      <c r="CL107" s="127">
        <f t="shared" si="249"/>
        <v>18018</v>
      </c>
      <c r="CM107" s="127">
        <f t="shared" si="250"/>
        <v>18018</v>
      </c>
      <c r="CN107" s="127">
        <f t="shared" si="251"/>
        <v>18018</v>
      </c>
      <c r="CO107" s="127">
        <f t="shared" si="252"/>
        <v>109032</v>
      </c>
      <c r="CP107" s="127">
        <f t="shared" si="253"/>
        <v>-87770.76</v>
      </c>
      <c r="CQ107" s="127">
        <f t="shared" si="254"/>
        <v>0</v>
      </c>
      <c r="CR107" s="127">
        <f t="shared" si="255"/>
        <v>0</v>
      </c>
      <c r="CS107" s="127">
        <f t="shared" si="256"/>
        <v>21261.240000000005</v>
      </c>
      <c r="CT107" s="127" t="s">
        <v>361</v>
      </c>
      <c r="CU107" s="127" t="s">
        <v>361</v>
      </c>
      <c r="CV107" s="142" t="str">
        <f t="shared" si="257"/>
        <v>AAMCB5608A</v>
      </c>
      <c r="CW107" s="142" t="str">
        <f t="shared" si="258"/>
        <v>BJHPB3107J</v>
      </c>
    </row>
    <row r="108" spans="2:101" s="149" customFormat="1" ht="11.85" customHeight="1" x14ac:dyDescent="0.25">
      <c r="B108" s="120" t="str">
        <f t="shared" si="220"/>
        <v>Q1</v>
      </c>
      <c r="C108" s="121" t="str">
        <f t="shared" si="221"/>
        <v>May-26</v>
      </c>
      <c r="D108" s="122">
        <v>46147</v>
      </c>
      <c r="E108" s="123" t="s">
        <v>3529</v>
      </c>
      <c r="F108" s="123" t="s">
        <v>196</v>
      </c>
      <c r="G108" s="123" t="s">
        <v>198</v>
      </c>
      <c r="H108" s="124" t="s">
        <v>3530</v>
      </c>
      <c r="I108" s="122">
        <v>46147</v>
      </c>
      <c r="J108" s="123" t="s">
        <v>3531</v>
      </c>
      <c r="K108" s="122">
        <v>46147</v>
      </c>
      <c r="L108" s="123" t="s">
        <v>199</v>
      </c>
      <c r="M108" s="123" t="s">
        <v>3532</v>
      </c>
      <c r="N108" s="124" t="s">
        <v>204</v>
      </c>
      <c r="O108" s="123">
        <v>8210</v>
      </c>
      <c r="P108" s="124">
        <v>10</v>
      </c>
      <c r="Q108" s="125">
        <f t="shared" si="222"/>
        <v>82100</v>
      </c>
      <c r="R108" s="126">
        <v>0</v>
      </c>
      <c r="S108" s="125">
        <f t="shared" si="223"/>
        <v>8210</v>
      </c>
      <c r="T108" s="126">
        <v>0</v>
      </c>
      <c r="U108" s="127">
        <v>0</v>
      </c>
      <c r="V108" s="128">
        <v>0</v>
      </c>
      <c r="W108" s="127">
        <v>0</v>
      </c>
      <c r="X108" s="129">
        <v>0</v>
      </c>
      <c r="Y108" s="127">
        <v>0</v>
      </c>
      <c r="Z108" s="127">
        <v>0</v>
      </c>
      <c r="AA108" s="126">
        <v>0</v>
      </c>
      <c r="AB108" s="130">
        <f t="shared" si="224"/>
        <v>0</v>
      </c>
      <c r="AC108" s="129">
        <v>0</v>
      </c>
      <c r="AD108" s="125">
        <f t="shared" si="225"/>
        <v>10</v>
      </c>
      <c r="AE108" s="144">
        <v>0</v>
      </c>
      <c r="AF108" s="127">
        <v>0</v>
      </c>
      <c r="AG108" s="131">
        <v>0</v>
      </c>
      <c r="AH108" s="127">
        <v>0</v>
      </c>
      <c r="AI108" s="128">
        <v>0</v>
      </c>
      <c r="AJ108" s="127">
        <v>0</v>
      </c>
      <c r="AK108" s="127">
        <v>0</v>
      </c>
      <c r="AL108" s="127">
        <v>0</v>
      </c>
      <c r="AM108" s="132">
        <f t="shared" si="226"/>
        <v>82100</v>
      </c>
      <c r="AN108" s="133">
        <v>46147</v>
      </c>
      <c r="AO108" s="134" t="s">
        <v>3544</v>
      </c>
      <c r="AP108" s="135" t="s">
        <v>234</v>
      </c>
      <c r="AQ108" s="136" t="s">
        <v>235</v>
      </c>
      <c r="AR108" s="136" t="s">
        <v>236</v>
      </c>
      <c r="AS108" s="123" t="s">
        <v>237</v>
      </c>
      <c r="AT108" s="137" t="s">
        <v>238</v>
      </c>
      <c r="AU108" s="137" t="s">
        <v>197</v>
      </c>
      <c r="AV108" s="138" t="s">
        <v>329</v>
      </c>
      <c r="AW108" s="136">
        <v>8210</v>
      </c>
      <c r="AX108" s="138">
        <v>12</v>
      </c>
      <c r="AY108" s="136">
        <f t="shared" si="227"/>
        <v>98520</v>
      </c>
      <c r="AZ108" s="139" t="b">
        <f t="shared" si="228"/>
        <v>1</v>
      </c>
      <c r="BA108" s="125">
        <v>0</v>
      </c>
      <c r="BB108" s="140">
        <f t="shared" si="229"/>
        <v>8210</v>
      </c>
      <c r="BC108" s="141">
        <v>0</v>
      </c>
      <c r="BD108" s="140" t="s">
        <v>107</v>
      </c>
      <c r="BE108" s="141">
        <v>0</v>
      </c>
      <c r="BF108" s="140">
        <v>0</v>
      </c>
      <c r="BG108" s="141">
        <v>0</v>
      </c>
      <c r="BH108" s="127">
        <v>0</v>
      </c>
      <c r="BI108" s="130">
        <v>0</v>
      </c>
      <c r="BJ108" s="128">
        <v>0</v>
      </c>
      <c r="BK108" s="125">
        <v>0</v>
      </c>
      <c r="BL108" s="136">
        <v>0</v>
      </c>
      <c r="BM108" s="127">
        <v>0</v>
      </c>
      <c r="BN108" s="142">
        <f t="shared" si="230"/>
        <v>0</v>
      </c>
      <c r="BO108" s="126">
        <f t="shared" si="231"/>
        <v>98520</v>
      </c>
      <c r="BP108" s="132">
        <f t="shared" si="232"/>
        <v>16420</v>
      </c>
      <c r="BQ108" s="141" t="str">
        <f t="shared" si="233"/>
        <v>Positive Margin</v>
      </c>
      <c r="BR108" s="143" t="s">
        <v>119</v>
      </c>
      <c r="BS108" s="125">
        <f t="shared" si="234"/>
        <v>16420</v>
      </c>
      <c r="BT108" s="144" t="str">
        <f t="shared" si="235"/>
        <v>Positive Margin at Inception</v>
      </c>
      <c r="BU108" s="145">
        <f t="shared" si="236"/>
        <v>0.16666666666666666</v>
      </c>
      <c r="BV108" s="144" t="str">
        <f t="shared" si="237"/>
        <v>More than 2%</v>
      </c>
      <c r="BW108" s="125">
        <f t="shared" si="238"/>
        <v>0</v>
      </c>
      <c r="BX108" s="126">
        <f t="shared" si="239"/>
        <v>0</v>
      </c>
      <c r="BY108" s="125">
        <f t="shared" si="240"/>
        <v>0</v>
      </c>
      <c r="BZ108" s="146">
        <f t="shared" si="241"/>
        <v>0</v>
      </c>
      <c r="CA108" s="146">
        <f t="shared" si="242"/>
        <v>0</v>
      </c>
      <c r="CB108" s="127">
        <f t="shared" si="243"/>
        <v>0</v>
      </c>
      <c r="CC108" s="146" t="s">
        <v>397</v>
      </c>
      <c r="CD108" s="127">
        <v>0</v>
      </c>
      <c r="CE108" s="127" t="str">
        <f t="shared" si="244"/>
        <v>May-26</v>
      </c>
      <c r="CF108" s="127">
        <f t="shared" si="245"/>
        <v>82100</v>
      </c>
      <c r="CG108" s="127">
        <f t="shared" si="246"/>
        <v>98520</v>
      </c>
      <c r="CH108" s="127">
        <f t="shared" si="247"/>
        <v>5</v>
      </c>
      <c r="CI108" s="147" t="str">
        <f t="shared" si="248"/>
        <v>BG AHD</v>
      </c>
      <c r="CJ108" s="127">
        <v>0</v>
      </c>
      <c r="CK108" s="127">
        <v>0</v>
      </c>
      <c r="CL108" s="127">
        <f t="shared" si="249"/>
        <v>16420</v>
      </c>
      <c r="CM108" s="127">
        <f t="shared" si="250"/>
        <v>16420</v>
      </c>
      <c r="CN108" s="127">
        <f t="shared" si="251"/>
        <v>16420</v>
      </c>
      <c r="CO108" s="127">
        <f t="shared" si="252"/>
        <v>116253.59999999999</v>
      </c>
      <c r="CP108" s="127">
        <f t="shared" si="253"/>
        <v>-96878</v>
      </c>
      <c r="CQ108" s="127">
        <f t="shared" si="254"/>
        <v>0</v>
      </c>
      <c r="CR108" s="127">
        <f t="shared" si="255"/>
        <v>0</v>
      </c>
      <c r="CS108" s="127">
        <f t="shared" si="256"/>
        <v>19375.599999999991</v>
      </c>
      <c r="CT108" s="127" t="s">
        <v>361</v>
      </c>
      <c r="CU108" s="127" t="s">
        <v>361</v>
      </c>
      <c r="CV108" s="142" t="str">
        <f t="shared" si="257"/>
        <v>AAMCB5608A</v>
      </c>
      <c r="CW108" s="142" t="str">
        <f t="shared" si="258"/>
        <v>BJHPB3107J</v>
      </c>
    </row>
    <row r="109" spans="2:101" s="149" customFormat="1" ht="11.85" customHeight="1" x14ac:dyDescent="0.25">
      <c r="B109" s="120" t="str">
        <f t="shared" si="220"/>
        <v>Q1</v>
      </c>
      <c r="C109" s="121" t="str">
        <f t="shared" si="221"/>
        <v>May-26</v>
      </c>
      <c r="D109" s="122">
        <v>46147</v>
      </c>
      <c r="E109" s="123" t="s">
        <v>3533</v>
      </c>
      <c r="F109" s="123" t="s">
        <v>196</v>
      </c>
      <c r="G109" s="123" t="s">
        <v>198</v>
      </c>
      <c r="H109" s="124" t="s">
        <v>3534</v>
      </c>
      <c r="I109" s="122">
        <v>46147</v>
      </c>
      <c r="J109" s="123" t="s">
        <v>3535</v>
      </c>
      <c r="K109" s="122">
        <v>46147</v>
      </c>
      <c r="L109" s="123" t="s">
        <v>199</v>
      </c>
      <c r="M109" s="123" t="s">
        <v>244</v>
      </c>
      <c r="N109" s="124" t="s">
        <v>258</v>
      </c>
      <c r="O109" s="123">
        <v>830</v>
      </c>
      <c r="P109" s="124">
        <v>1.1000000000000001</v>
      </c>
      <c r="Q109" s="125">
        <f t="shared" si="222"/>
        <v>913.00000000000011</v>
      </c>
      <c r="R109" s="126">
        <v>0</v>
      </c>
      <c r="S109" s="125">
        <f t="shared" si="223"/>
        <v>830</v>
      </c>
      <c r="T109" s="126">
        <v>0</v>
      </c>
      <c r="U109" s="127">
        <v>0</v>
      </c>
      <c r="V109" s="128">
        <v>0</v>
      </c>
      <c r="W109" s="127">
        <v>0</v>
      </c>
      <c r="X109" s="129">
        <v>0</v>
      </c>
      <c r="Y109" s="127">
        <v>0</v>
      </c>
      <c r="Z109" s="127">
        <v>0</v>
      </c>
      <c r="AA109" s="126">
        <v>0</v>
      </c>
      <c r="AB109" s="130">
        <f t="shared" si="224"/>
        <v>0</v>
      </c>
      <c r="AC109" s="129">
        <v>0</v>
      </c>
      <c r="AD109" s="125">
        <f t="shared" si="225"/>
        <v>1.1000000000000001</v>
      </c>
      <c r="AE109" s="144">
        <v>0</v>
      </c>
      <c r="AF109" s="127">
        <v>0</v>
      </c>
      <c r="AG109" s="131">
        <v>0</v>
      </c>
      <c r="AH109" s="127">
        <v>0</v>
      </c>
      <c r="AI109" s="128">
        <v>0</v>
      </c>
      <c r="AJ109" s="127">
        <v>0</v>
      </c>
      <c r="AK109" s="127">
        <v>0</v>
      </c>
      <c r="AL109" s="127">
        <v>0</v>
      </c>
      <c r="AM109" s="132">
        <f t="shared" si="226"/>
        <v>913.00000000000011</v>
      </c>
      <c r="AN109" s="133">
        <v>46147</v>
      </c>
      <c r="AO109" s="134" t="s">
        <v>3545</v>
      </c>
      <c r="AP109" s="135" t="s">
        <v>234</v>
      </c>
      <c r="AQ109" s="136" t="s">
        <v>235</v>
      </c>
      <c r="AR109" s="136" t="s">
        <v>236</v>
      </c>
      <c r="AS109" s="123" t="s">
        <v>239</v>
      </c>
      <c r="AT109" s="137" t="s">
        <v>238</v>
      </c>
      <c r="AU109" s="137" t="s">
        <v>197</v>
      </c>
      <c r="AV109" s="138" t="s">
        <v>329</v>
      </c>
      <c r="AW109" s="136">
        <v>830</v>
      </c>
      <c r="AX109" s="138">
        <v>2.1</v>
      </c>
      <c r="AY109" s="136">
        <f t="shared" si="227"/>
        <v>1743</v>
      </c>
      <c r="AZ109" s="139" t="b">
        <f t="shared" si="228"/>
        <v>1</v>
      </c>
      <c r="BA109" s="125">
        <v>0</v>
      </c>
      <c r="BB109" s="140">
        <f t="shared" si="229"/>
        <v>830</v>
      </c>
      <c r="BC109" s="141">
        <v>0</v>
      </c>
      <c r="BD109" s="140" t="s">
        <v>107</v>
      </c>
      <c r="BE109" s="141">
        <v>0</v>
      </c>
      <c r="BF109" s="140">
        <v>0</v>
      </c>
      <c r="BG109" s="141">
        <v>0</v>
      </c>
      <c r="BH109" s="127">
        <v>0</v>
      </c>
      <c r="BI109" s="130">
        <v>0</v>
      </c>
      <c r="BJ109" s="128">
        <v>0</v>
      </c>
      <c r="BK109" s="125">
        <v>0</v>
      </c>
      <c r="BL109" s="136">
        <v>0</v>
      </c>
      <c r="BM109" s="127">
        <v>0</v>
      </c>
      <c r="BN109" s="142">
        <f t="shared" si="230"/>
        <v>0</v>
      </c>
      <c r="BO109" s="126">
        <f t="shared" si="231"/>
        <v>1743</v>
      </c>
      <c r="BP109" s="132">
        <f t="shared" si="232"/>
        <v>829.99999999999989</v>
      </c>
      <c r="BQ109" s="141" t="str">
        <f t="shared" si="233"/>
        <v>Positive Margin</v>
      </c>
      <c r="BR109" s="143" t="s">
        <v>119</v>
      </c>
      <c r="BS109" s="125">
        <f t="shared" si="234"/>
        <v>829.99999999999989</v>
      </c>
      <c r="BT109" s="144" t="str">
        <f t="shared" si="235"/>
        <v>Positive Margin at Inception</v>
      </c>
      <c r="BU109" s="145">
        <f t="shared" si="236"/>
        <v>0.47619047619047611</v>
      </c>
      <c r="BV109" s="144" t="str">
        <f t="shared" si="237"/>
        <v>More than 2%</v>
      </c>
      <c r="BW109" s="125">
        <f t="shared" si="238"/>
        <v>0</v>
      </c>
      <c r="BX109" s="126">
        <f t="shared" si="239"/>
        <v>0</v>
      </c>
      <c r="BY109" s="125">
        <f t="shared" si="240"/>
        <v>0</v>
      </c>
      <c r="BZ109" s="146">
        <f t="shared" si="241"/>
        <v>0</v>
      </c>
      <c r="CA109" s="146">
        <f t="shared" si="242"/>
        <v>0</v>
      </c>
      <c r="CB109" s="127">
        <f t="shared" si="243"/>
        <v>0</v>
      </c>
      <c r="CC109" s="146" t="s">
        <v>397</v>
      </c>
      <c r="CD109" s="127">
        <v>0</v>
      </c>
      <c r="CE109" s="127" t="str">
        <f t="shared" si="244"/>
        <v>May-26</v>
      </c>
      <c r="CF109" s="127">
        <f t="shared" si="245"/>
        <v>913.00000000000011</v>
      </c>
      <c r="CG109" s="127">
        <f t="shared" si="246"/>
        <v>1743</v>
      </c>
      <c r="CH109" s="127">
        <f t="shared" si="247"/>
        <v>5</v>
      </c>
      <c r="CI109" s="147" t="str">
        <f t="shared" si="248"/>
        <v>BG AHD</v>
      </c>
      <c r="CJ109" s="127">
        <v>0</v>
      </c>
      <c r="CK109" s="127">
        <v>0</v>
      </c>
      <c r="CL109" s="127">
        <f t="shared" si="249"/>
        <v>829.99999999999989</v>
      </c>
      <c r="CM109" s="127">
        <f t="shared" si="250"/>
        <v>829.99999999999989</v>
      </c>
      <c r="CN109" s="127">
        <f t="shared" si="251"/>
        <v>829.99999999999989</v>
      </c>
      <c r="CO109" s="127">
        <f t="shared" si="252"/>
        <v>2056.7399999999998</v>
      </c>
      <c r="CP109" s="127">
        <f t="shared" si="253"/>
        <v>-1077.3400000000001</v>
      </c>
      <c r="CQ109" s="127">
        <f t="shared" si="254"/>
        <v>0</v>
      </c>
      <c r="CR109" s="127">
        <f t="shared" si="255"/>
        <v>0</v>
      </c>
      <c r="CS109" s="127">
        <f t="shared" si="256"/>
        <v>979.39999999999964</v>
      </c>
      <c r="CT109" s="127" t="s">
        <v>361</v>
      </c>
      <c r="CU109" s="127" t="s">
        <v>361</v>
      </c>
      <c r="CV109" s="142" t="str">
        <f t="shared" si="257"/>
        <v>AAMCB5608A</v>
      </c>
      <c r="CW109" s="142" t="str">
        <f t="shared" si="258"/>
        <v>BJHPB3107J</v>
      </c>
    </row>
    <row r="110" spans="2:101" s="149" customFormat="1" ht="11.85" customHeight="1" x14ac:dyDescent="0.25">
      <c r="B110" s="120" t="str">
        <f t="shared" si="220"/>
        <v>Q1</v>
      </c>
      <c r="C110" s="121" t="str">
        <f t="shared" si="221"/>
        <v>May-26</v>
      </c>
      <c r="D110" s="122">
        <v>46147</v>
      </c>
      <c r="E110" s="123" t="s">
        <v>3536</v>
      </c>
      <c r="F110" s="123" t="s">
        <v>196</v>
      </c>
      <c r="G110" s="123" t="s">
        <v>198</v>
      </c>
      <c r="H110" s="124" t="s">
        <v>3537</v>
      </c>
      <c r="I110" s="122">
        <v>46147</v>
      </c>
      <c r="J110" s="123" t="s">
        <v>3538</v>
      </c>
      <c r="K110" s="122">
        <v>46148</v>
      </c>
      <c r="L110" s="123" t="s">
        <v>199</v>
      </c>
      <c r="M110" s="123" t="s">
        <v>244</v>
      </c>
      <c r="N110" s="124" t="s">
        <v>3539</v>
      </c>
      <c r="O110" s="123">
        <v>3530</v>
      </c>
      <c r="P110" s="124">
        <v>3</v>
      </c>
      <c r="Q110" s="125">
        <f t="shared" si="222"/>
        <v>10590</v>
      </c>
      <c r="R110" s="126">
        <v>0</v>
      </c>
      <c r="S110" s="125">
        <f t="shared" si="223"/>
        <v>3530</v>
      </c>
      <c r="T110" s="126">
        <v>0</v>
      </c>
      <c r="U110" s="127">
        <v>0</v>
      </c>
      <c r="V110" s="128">
        <v>0</v>
      </c>
      <c r="W110" s="127">
        <v>0</v>
      </c>
      <c r="X110" s="129">
        <v>0</v>
      </c>
      <c r="Y110" s="127">
        <v>0</v>
      </c>
      <c r="Z110" s="127">
        <v>0</v>
      </c>
      <c r="AA110" s="126">
        <v>0</v>
      </c>
      <c r="AB110" s="130">
        <f t="shared" si="224"/>
        <v>0</v>
      </c>
      <c r="AC110" s="129">
        <v>0</v>
      </c>
      <c r="AD110" s="125">
        <f t="shared" si="225"/>
        <v>3</v>
      </c>
      <c r="AE110" s="144">
        <v>0</v>
      </c>
      <c r="AF110" s="127">
        <v>0</v>
      </c>
      <c r="AG110" s="131">
        <v>0</v>
      </c>
      <c r="AH110" s="127">
        <v>0</v>
      </c>
      <c r="AI110" s="128">
        <v>0</v>
      </c>
      <c r="AJ110" s="127">
        <v>0</v>
      </c>
      <c r="AK110" s="127">
        <v>0</v>
      </c>
      <c r="AL110" s="127">
        <v>0</v>
      </c>
      <c r="AM110" s="132">
        <f t="shared" si="226"/>
        <v>10590</v>
      </c>
      <c r="AN110" s="133">
        <v>46148</v>
      </c>
      <c r="AO110" s="134" t="s">
        <v>3546</v>
      </c>
      <c r="AP110" s="135" t="s">
        <v>234</v>
      </c>
      <c r="AQ110" s="136" t="s">
        <v>235</v>
      </c>
      <c r="AR110" s="136" t="s">
        <v>236</v>
      </c>
      <c r="AS110" s="123" t="s">
        <v>237</v>
      </c>
      <c r="AT110" s="137" t="s">
        <v>238</v>
      </c>
      <c r="AU110" s="137" t="s">
        <v>197</v>
      </c>
      <c r="AV110" s="138" t="s">
        <v>329</v>
      </c>
      <c r="AW110" s="136">
        <v>3530</v>
      </c>
      <c r="AX110" s="138">
        <v>5</v>
      </c>
      <c r="AY110" s="136">
        <f t="shared" si="227"/>
        <v>17650</v>
      </c>
      <c r="AZ110" s="139" t="b">
        <f t="shared" si="228"/>
        <v>1</v>
      </c>
      <c r="BA110" s="125">
        <v>0</v>
      </c>
      <c r="BB110" s="140">
        <f t="shared" si="229"/>
        <v>3530</v>
      </c>
      <c r="BC110" s="141">
        <v>0</v>
      </c>
      <c r="BD110" s="140" t="s">
        <v>107</v>
      </c>
      <c r="BE110" s="141">
        <v>0</v>
      </c>
      <c r="BF110" s="140">
        <v>0</v>
      </c>
      <c r="BG110" s="141">
        <v>0</v>
      </c>
      <c r="BH110" s="127">
        <v>0</v>
      </c>
      <c r="BI110" s="130">
        <v>0</v>
      </c>
      <c r="BJ110" s="128">
        <v>0</v>
      </c>
      <c r="BK110" s="125">
        <v>0</v>
      </c>
      <c r="BL110" s="136">
        <v>0</v>
      </c>
      <c r="BM110" s="127">
        <v>0</v>
      </c>
      <c r="BN110" s="142">
        <f t="shared" si="230"/>
        <v>0</v>
      </c>
      <c r="BO110" s="126">
        <f t="shared" si="231"/>
        <v>17650</v>
      </c>
      <c r="BP110" s="132">
        <f t="shared" si="232"/>
        <v>7060</v>
      </c>
      <c r="BQ110" s="141" t="str">
        <f t="shared" si="233"/>
        <v>Positive Margin</v>
      </c>
      <c r="BR110" s="143" t="s">
        <v>119</v>
      </c>
      <c r="BS110" s="125">
        <f t="shared" si="234"/>
        <v>7060</v>
      </c>
      <c r="BT110" s="144" t="str">
        <f t="shared" si="235"/>
        <v>Positive Margin at Inception</v>
      </c>
      <c r="BU110" s="145">
        <f t="shared" si="236"/>
        <v>0.4</v>
      </c>
      <c r="BV110" s="144" t="str">
        <f t="shared" si="237"/>
        <v>More than 2%</v>
      </c>
      <c r="BW110" s="125">
        <f t="shared" si="238"/>
        <v>0</v>
      </c>
      <c r="BX110" s="126">
        <f t="shared" si="239"/>
        <v>0</v>
      </c>
      <c r="BY110" s="125">
        <f t="shared" si="240"/>
        <v>0</v>
      </c>
      <c r="BZ110" s="146">
        <f t="shared" si="241"/>
        <v>0</v>
      </c>
      <c r="CA110" s="146">
        <f t="shared" si="242"/>
        <v>0</v>
      </c>
      <c r="CB110" s="127">
        <f t="shared" si="243"/>
        <v>0</v>
      </c>
      <c r="CC110" s="146" t="s">
        <v>397</v>
      </c>
      <c r="CD110" s="127">
        <v>0</v>
      </c>
      <c r="CE110" s="127" t="str">
        <f t="shared" si="244"/>
        <v>May-26</v>
      </c>
      <c r="CF110" s="127">
        <f t="shared" si="245"/>
        <v>10590</v>
      </c>
      <c r="CG110" s="127">
        <f t="shared" si="246"/>
        <v>17650</v>
      </c>
      <c r="CH110" s="127">
        <f t="shared" si="247"/>
        <v>5</v>
      </c>
      <c r="CI110" s="147" t="str">
        <f t="shared" si="248"/>
        <v>BG AHD</v>
      </c>
      <c r="CJ110" s="127">
        <v>0</v>
      </c>
      <c r="CK110" s="127">
        <v>0</v>
      </c>
      <c r="CL110" s="127">
        <f t="shared" si="249"/>
        <v>7060</v>
      </c>
      <c r="CM110" s="127">
        <f t="shared" si="250"/>
        <v>7060</v>
      </c>
      <c r="CN110" s="127">
        <f t="shared" si="251"/>
        <v>7060</v>
      </c>
      <c r="CO110" s="127">
        <f t="shared" si="252"/>
        <v>20827</v>
      </c>
      <c r="CP110" s="127">
        <f t="shared" si="253"/>
        <v>-12496.199999999999</v>
      </c>
      <c r="CQ110" s="127">
        <f t="shared" si="254"/>
        <v>0</v>
      </c>
      <c r="CR110" s="127">
        <f t="shared" si="255"/>
        <v>0</v>
      </c>
      <c r="CS110" s="127">
        <f t="shared" si="256"/>
        <v>8330.8000000000011</v>
      </c>
      <c r="CT110" s="127" t="s">
        <v>361</v>
      </c>
      <c r="CU110" s="127" t="s">
        <v>361</v>
      </c>
      <c r="CV110" s="142" t="str">
        <f t="shared" si="257"/>
        <v>AAMCB5608A</v>
      </c>
      <c r="CW110" s="142" t="str">
        <f t="shared" si="258"/>
        <v>BJHPB3107J</v>
      </c>
    </row>
    <row r="111" spans="2:101" s="149" customFormat="1" ht="11.85" customHeight="1" x14ac:dyDescent="0.25">
      <c r="B111" s="120" t="str">
        <f t="shared" ref="B111:B116" si="259">"Q" &amp; IF(ROUNDUP(MONTH(D111)/3,0)-1=0,4,ROUNDUP(MONTH(D111)/3,0)-1)</f>
        <v>Q1</v>
      </c>
      <c r="C111" s="121" t="str">
        <f t="shared" ref="C111:C116" si="260">TEXT(AN111,"mmm-yy")</f>
        <v>May-26</v>
      </c>
      <c r="D111" s="122">
        <v>46149</v>
      </c>
      <c r="E111" s="123" t="s">
        <v>3547</v>
      </c>
      <c r="F111" s="123" t="s">
        <v>196</v>
      </c>
      <c r="G111" s="123" t="s">
        <v>198</v>
      </c>
      <c r="H111" s="124" t="s">
        <v>3548</v>
      </c>
      <c r="I111" s="122">
        <v>46149</v>
      </c>
      <c r="J111" s="123" t="s">
        <v>3549</v>
      </c>
      <c r="K111" s="122">
        <v>46149</v>
      </c>
      <c r="L111" s="123" t="s">
        <v>199</v>
      </c>
      <c r="M111" s="123" t="s">
        <v>2331</v>
      </c>
      <c r="N111" s="124" t="s">
        <v>3550</v>
      </c>
      <c r="O111" s="123">
        <v>6110</v>
      </c>
      <c r="P111" s="124">
        <v>9</v>
      </c>
      <c r="Q111" s="125">
        <f t="shared" ref="Q111:Q116" si="261">O111*P111</f>
        <v>54990</v>
      </c>
      <c r="R111" s="126">
        <v>0</v>
      </c>
      <c r="S111" s="125">
        <f t="shared" ref="S111:S116" si="262">O111-R111</f>
        <v>6110</v>
      </c>
      <c r="T111" s="126">
        <v>0</v>
      </c>
      <c r="U111" s="127">
        <v>0</v>
      </c>
      <c r="V111" s="128">
        <v>0</v>
      </c>
      <c r="W111" s="127">
        <v>0</v>
      </c>
      <c r="X111" s="129">
        <v>0</v>
      </c>
      <c r="Y111" s="127">
        <v>0</v>
      </c>
      <c r="Z111" s="127">
        <v>0</v>
      </c>
      <c r="AA111" s="126">
        <v>0</v>
      </c>
      <c r="AB111" s="130">
        <f t="shared" ref="AB111:AB116" si="263">Y111+AA111+Z111</f>
        <v>0</v>
      </c>
      <c r="AC111" s="129">
        <v>0</v>
      </c>
      <c r="AD111" s="125">
        <f t="shared" ref="AD111:AD116" si="264">Q111/O111</f>
        <v>9</v>
      </c>
      <c r="AE111" s="144">
        <v>0</v>
      </c>
      <c r="AF111" s="127">
        <v>0</v>
      </c>
      <c r="AG111" s="131">
        <v>0</v>
      </c>
      <c r="AH111" s="127">
        <v>0</v>
      </c>
      <c r="AI111" s="128">
        <v>0</v>
      </c>
      <c r="AJ111" s="127">
        <v>0</v>
      </c>
      <c r="AK111" s="127">
        <v>0</v>
      </c>
      <c r="AL111" s="127">
        <v>0</v>
      </c>
      <c r="AM111" s="132">
        <f t="shared" ref="AM111:AM116" si="265">Q111+AB111+AL111+AK111+AJ111+T111+AE111</f>
        <v>54990</v>
      </c>
      <c r="AN111" s="133">
        <v>46149</v>
      </c>
      <c r="AO111" s="134" t="s">
        <v>3561</v>
      </c>
      <c r="AP111" s="135" t="s">
        <v>234</v>
      </c>
      <c r="AQ111" s="136" t="s">
        <v>235</v>
      </c>
      <c r="AR111" s="136" t="s">
        <v>236</v>
      </c>
      <c r="AS111" s="123" t="s">
        <v>239</v>
      </c>
      <c r="AT111" s="137" t="s">
        <v>238</v>
      </c>
      <c r="AU111" s="137" t="s">
        <v>197</v>
      </c>
      <c r="AV111" s="138" t="s">
        <v>329</v>
      </c>
      <c r="AW111" s="136">
        <v>6110</v>
      </c>
      <c r="AX111" s="138">
        <v>10</v>
      </c>
      <c r="AY111" s="136">
        <f t="shared" ref="AY111:AY116" si="266">AW111*AX111</f>
        <v>61100</v>
      </c>
      <c r="AZ111" s="139" t="b">
        <f t="shared" ref="AZ111:AZ116" si="267">AW111=O111</f>
        <v>1</v>
      </c>
      <c r="BA111" s="125">
        <v>0</v>
      </c>
      <c r="BB111" s="140">
        <f t="shared" ref="BB111:BB116" si="268">AW111-BA111</f>
        <v>6110</v>
      </c>
      <c r="BC111" s="141">
        <v>0</v>
      </c>
      <c r="BD111" s="140" t="s">
        <v>107</v>
      </c>
      <c r="BE111" s="141">
        <v>0</v>
      </c>
      <c r="BF111" s="140">
        <v>0</v>
      </c>
      <c r="BG111" s="141">
        <v>0</v>
      </c>
      <c r="BH111" s="127">
        <v>0</v>
      </c>
      <c r="BI111" s="130">
        <v>0</v>
      </c>
      <c r="BJ111" s="128">
        <v>0</v>
      </c>
      <c r="BK111" s="125">
        <v>0</v>
      </c>
      <c r="BL111" s="136">
        <v>0</v>
      </c>
      <c r="BM111" s="127">
        <v>0</v>
      </c>
      <c r="BN111" s="142">
        <f t="shared" ref="BN111:BN116" si="269">AY111*$BN$3</f>
        <v>0</v>
      </c>
      <c r="BO111" s="126">
        <f t="shared" ref="BO111:BO116" si="270">AY111+BL111+BM111+BN111+BC111+BG111</f>
        <v>61100</v>
      </c>
      <c r="BP111" s="132">
        <f t="shared" ref="BP111:BP116" si="271">BO111-AM111</f>
        <v>6110</v>
      </c>
      <c r="BQ111" s="141" t="str">
        <f t="shared" ref="BQ111:BQ116" si="272">IF(BP111&gt;=0,"Positive Margin","Negative Margin")</f>
        <v>Positive Margin</v>
      </c>
      <c r="BR111" s="143" t="s">
        <v>119</v>
      </c>
      <c r="BS111" s="125">
        <f t="shared" ref="BS111:BS116" si="273">AY111-Y111-Q111-AA111-T111+BC111</f>
        <v>6110</v>
      </c>
      <c r="BT111" s="144" t="str">
        <f t="shared" ref="BT111:BT116" si="274">IF(BS111&lt;0, "Negative Margin at Inception", "Positive Margin at Inception")</f>
        <v>Positive Margin at Inception</v>
      </c>
      <c r="BU111" s="145">
        <f t="shared" ref="BU111:BU116" si="275">IFERROR(BP111/BO111,"0")</f>
        <v>0.1</v>
      </c>
      <c r="BV111" s="144" t="str">
        <f t="shared" ref="BV111:BV116" si="276">IF(BU111&lt;1%,"Less Than 1%",IF(BU111&gt;2%,"More than 2%",IF(BU111&gt;=1%,"1% - 2%")))</f>
        <v>More than 2%</v>
      </c>
      <c r="BW111" s="125">
        <f t="shared" ref="BW111:BW116" si="277">BM111+BN111</f>
        <v>0</v>
      </c>
      <c r="BX111" s="126">
        <f t="shared" ref="BX111:BX116" si="278">AL111+AK111</f>
        <v>0</v>
      </c>
      <c r="BY111" s="125">
        <f t="shared" ref="BY111:BY116" si="279">BW111-BX111</f>
        <v>0</v>
      </c>
      <c r="BZ111" s="146">
        <f t="shared" ref="BZ111:BZ116" si="280">BM111</f>
        <v>0</v>
      </c>
      <c r="CA111" s="146">
        <f t="shared" ref="CA111:CA116" si="281">AK111</f>
        <v>0</v>
      </c>
      <c r="CB111" s="127">
        <f t="shared" ref="CB111:CB116" si="282">BZ111-CA111</f>
        <v>0</v>
      </c>
      <c r="CC111" s="146" t="s">
        <v>397</v>
      </c>
      <c r="CD111" s="127">
        <v>0</v>
      </c>
      <c r="CE111" s="127" t="str">
        <f t="shared" ref="CE111:CE116" si="283">TEXT(AN111,"mmm-yy")</f>
        <v>May-26</v>
      </c>
      <c r="CF111" s="127">
        <f t="shared" ref="CF111:CF116" si="284">AM111-AL111-AA111</f>
        <v>54990</v>
      </c>
      <c r="CG111" s="127">
        <f t="shared" ref="CG111:CG116" si="285">BO111-BN111</f>
        <v>61100</v>
      </c>
      <c r="CH111" s="127">
        <f t="shared" ref="CH111:CH116" si="286">INT((D111- IF(MONTH(D111) &gt;= 4, DATE(YEAR(D111), 4, 1), DATE(YEAR(D111)-1, 4, 1))) / 7) + 1</f>
        <v>6</v>
      </c>
      <c r="CI111" s="147" t="str">
        <f t="shared" ref="CI111:CI116" si="287">IF(F111="BLACK GOLD RECYCLING PRIVATE LIMITED", "BG AHD", "B2B")</f>
        <v>BG AHD</v>
      </c>
      <c r="CJ111" s="127">
        <v>0</v>
      </c>
      <c r="CK111" s="127">
        <v>0</v>
      </c>
      <c r="CL111" s="127">
        <f t="shared" ref="CL111:CL116" si="288">AY111-Q111</f>
        <v>6110</v>
      </c>
      <c r="CM111" s="127">
        <f t="shared" ref="CM111:CM116" si="289">CL111-Y111+Z111</f>
        <v>6110</v>
      </c>
      <c r="CN111" s="127">
        <f t="shared" ref="CN111:CN116" si="290">BO111-AM111</f>
        <v>6110</v>
      </c>
      <c r="CO111" s="127">
        <f t="shared" ref="CO111:CO116" si="291">AY111*118%</f>
        <v>72098</v>
      </c>
      <c r="CP111" s="127">
        <f t="shared" ref="CP111:CP116" si="292">-Q111*118%</f>
        <v>-64888.2</v>
      </c>
      <c r="CQ111" s="127">
        <f t="shared" ref="CQ111:CQ116" si="293">-BZ111*118%</f>
        <v>0</v>
      </c>
      <c r="CR111" s="127">
        <f t="shared" ref="CR111:CR116" si="294">-CA111*118%</f>
        <v>0</v>
      </c>
      <c r="CS111" s="127">
        <f t="shared" ref="CS111:CS116" si="295">SUM(CO111:CR111)</f>
        <v>7209.8000000000029</v>
      </c>
      <c r="CT111" s="127" t="s">
        <v>361</v>
      </c>
      <c r="CU111" s="127" t="s">
        <v>361</v>
      </c>
      <c r="CV111" s="142" t="str">
        <f t="shared" ref="CV111:CV116" si="296">MID(G111,3,10)</f>
        <v>AAMCB5608A</v>
      </c>
      <c r="CW111" s="142" t="str">
        <f t="shared" ref="CW111:CW116" si="297">MID(AR111,3,10)</f>
        <v>BJHPB3107J</v>
      </c>
    </row>
    <row r="112" spans="2:101" s="149" customFormat="1" ht="11.85" customHeight="1" x14ac:dyDescent="0.25">
      <c r="B112" s="120" t="str">
        <f t="shared" si="259"/>
        <v>Q1</v>
      </c>
      <c r="C112" s="121" t="str">
        <f t="shared" si="260"/>
        <v>May-26</v>
      </c>
      <c r="D112" s="122">
        <v>46149</v>
      </c>
      <c r="E112" s="123" t="s">
        <v>3547</v>
      </c>
      <c r="F112" s="123" t="s">
        <v>196</v>
      </c>
      <c r="G112" s="123" t="s">
        <v>198</v>
      </c>
      <c r="H112" s="124" t="s">
        <v>3548</v>
      </c>
      <c r="I112" s="122">
        <v>46149</v>
      </c>
      <c r="J112" s="123" t="s">
        <v>3549</v>
      </c>
      <c r="K112" s="122">
        <v>46149</v>
      </c>
      <c r="L112" s="123" t="s">
        <v>199</v>
      </c>
      <c r="M112" s="123" t="s">
        <v>2331</v>
      </c>
      <c r="N112" s="124" t="s">
        <v>243</v>
      </c>
      <c r="O112" s="123">
        <v>250</v>
      </c>
      <c r="P112" s="124">
        <v>60</v>
      </c>
      <c r="Q112" s="125">
        <f t="shared" si="261"/>
        <v>15000</v>
      </c>
      <c r="R112" s="126">
        <v>0</v>
      </c>
      <c r="S112" s="125">
        <f t="shared" si="262"/>
        <v>250</v>
      </c>
      <c r="T112" s="126">
        <v>0</v>
      </c>
      <c r="U112" s="127">
        <v>0</v>
      </c>
      <c r="V112" s="128">
        <v>0</v>
      </c>
      <c r="W112" s="127">
        <v>0</v>
      </c>
      <c r="X112" s="129">
        <v>0</v>
      </c>
      <c r="Y112" s="127">
        <v>0</v>
      </c>
      <c r="Z112" s="127">
        <v>0</v>
      </c>
      <c r="AA112" s="126">
        <v>0</v>
      </c>
      <c r="AB112" s="130">
        <f t="shared" si="263"/>
        <v>0</v>
      </c>
      <c r="AC112" s="129">
        <v>0</v>
      </c>
      <c r="AD112" s="125">
        <f t="shared" si="264"/>
        <v>60</v>
      </c>
      <c r="AE112" s="144">
        <v>0</v>
      </c>
      <c r="AF112" s="127">
        <v>0</v>
      </c>
      <c r="AG112" s="131">
        <v>0</v>
      </c>
      <c r="AH112" s="127">
        <v>0</v>
      </c>
      <c r="AI112" s="128">
        <v>0</v>
      </c>
      <c r="AJ112" s="127">
        <v>0</v>
      </c>
      <c r="AK112" s="127">
        <v>0</v>
      </c>
      <c r="AL112" s="127">
        <v>0</v>
      </c>
      <c r="AM112" s="132">
        <f t="shared" si="265"/>
        <v>15000</v>
      </c>
      <c r="AN112" s="133">
        <v>46149</v>
      </c>
      <c r="AO112" s="134" t="s">
        <v>3561</v>
      </c>
      <c r="AP112" s="135" t="s">
        <v>234</v>
      </c>
      <c r="AQ112" s="136" t="s">
        <v>235</v>
      </c>
      <c r="AR112" s="136" t="s">
        <v>236</v>
      </c>
      <c r="AS112" s="123" t="s">
        <v>239</v>
      </c>
      <c r="AT112" s="137" t="s">
        <v>238</v>
      </c>
      <c r="AU112" s="137" t="s">
        <v>197</v>
      </c>
      <c r="AV112" s="138" t="s">
        <v>329</v>
      </c>
      <c r="AW112" s="136">
        <v>250</v>
      </c>
      <c r="AX112" s="138">
        <v>80</v>
      </c>
      <c r="AY112" s="136">
        <f t="shared" si="266"/>
        <v>20000</v>
      </c>
      <c r="AZ112" s="139" t="b">
        <f t="shared" si="267"/>
        <v>1</v>
      </c>
      <c r="BA112" s="125">
        <v>0</v>
      </c>
      <c r="BB112" s="140">
        <f t="shared" si="268"/>
        <v>250</v>
      </c>
      <c r="BC112" s="141">
        <v>0</v>
      </c>
      <c r="BD112" s="140" t="s">
        <v>107</v>
      </c>
      <c r="BE112" s="141">
        <v>0</v>
      </c>
      <c r="BF112" s="140">
        <v>0</v>
      </c>
      <c r="BG112" s="141">
        <v>0</v>
      </c>
      <c r="BH112" s="127">
        <v>0</v>
      </c>
      <c r="BI112" s="130">
        <v>0</v>
      </c>
      <c r="BJ112" s="128">
        <v>0</v>
      </c>
      <c r="BK112" s="125">
        <v>0</v>
      </c>
      <c r="BL112" s="136">
        <v>0</v>
      </c>
      <c r="BM112" s="127">
        <v>0</v>
      </c>
      <c r="BN112" s="142">
        <f t="shared" si="269"/>
        <v>0</v>
      </c>
      <c r="BO112" s="126">
        <f t="shared" si="270"/>
        <v>20000</v>
      </c>
      <c r="BP112" s="132">
        <f t="shared" si="271"/>
        <v>5000</v>
      </c>
      <c r="BQ112" s="141" t="str">
        <f t="shared" si="272"/>
        <v>Positive Margin</v>
      </c>
      <c r="BR112" s="143" t="s">
        <v>119</v>
      </c>
      <c r="BS112" s="125">
        <f t="shared" si="273"/>
        <v>5000</v>
      </c>
      <c r="BT112" s="144" t="str">
        <f t="shared" si="274"/>
        <v>Positive Margin at Inception</v>
      </c>
      <c r="BU112" s="145">
        <f t="shared" si="275"/>
        <v>0.25</v>
      </c>
      <c r="BV112" s="144" t="str">
        <f t="shared" si="276"/>
        <v>More than 2%</v>
      </c>
      <c r="BW112" s="125">
        <f t="shared" si="277"/>
        <v>0</v>
      </c>
      <c r="BX112" s="126">
        <f t="shared" si="278"/>
        <v>0</v>
      </c>
      <c r="BY112" s="125">
        <f t="shared" si="279"/>
        <v>0</v>
      </c>
      <c r="BZ112" s="146">
        <f t="shared" si="280"/>
        <v>0</v>
      </c>
      <c r="CA112" s="146">
        <f t="shared" si="281"/>
        <v>0</v>
      </c>
      <c r="CB112" s="127">
        <f t="shared" si="282"/>
        <v>0</v>
      </c>
      <c r="CC112" s="146" t="s">
        <v>397</v>
      </c>
      <c r="CD112" s="127">
        <v>0</v>
      </c>
      <c r="CE112" s="127" t="str">
        <f t="shared" si="283"/>
        <v>May-26</v>
      </c>
      <c r="CF112" s="127">
        <f t="shared" si="284"/>
        <v>15000</v>
      </c>
      <c r="CG112" s="127">
        <f t="shared" si="285"/>
        <v>20000</v>
      </c>
      <c r="CH112" s="127">
        <f t="shared" si="286"/>
        <v>6</v>
      </c>
      <c r="CI112" s="147" t="str">
        <f t="shared" si="287"/>
        <v>BG AHD</v>
      </c>
      <c r="CJ112" s="127">
        <v>0</v>
      </c>
      <c r="CK112" s="127">
        <v>0</v>
      </c>
      <c r="CL112" s="127">
        <f t="shared" si="288"/>
        <v>5000</v>
      </c>
      <c r="CM112" s="127">
        <f t="shared" si="289"/>
        <v>5000</v>
      </c>
      <c r="CN112" s="127">
        <f t="shared" si="290"/>
        <v>5000</v>
      </c>
      <c r="CO112" s="127">
        <f t="shared" si="291"/>
        <v>23600</v>
      </c>
      <c r="CP112" s="127">
        <f t="shared" si="292"/>
        <v>-17700</v>
      </c>
      <c r="CQ112" s="127">
        <f t="shared" si="293"/>
        <v>0</v>
      </c>
      <c r="CR112" s="127">
        <f t="shared" si="294"/>
        <v>0</v>
      </c>
      <c r="CS112" s="127">
        <f t="shared" si="295"/>
        <v>5900</v>
      </c>
      <c r="CT112" s="127" t="s">
        <v>361</v>
      </c>
      <c r="CU112" s="127" t="s">
        <v>361</v>
      </c>
      <c r="CV112" s="142" t="str">
        <f t="shared" si="296"/>
        <v>AAMCB5608A</v>
      </c>
      <c r="CW112" s="142" t="str">
        <f t="shared" si="297"/>
        <v>BJHPB3107J</v>
      </c>
    </row>
    <row r="113" spans="2:101" s="149" customFormat="1" ht="11.85" customHeight="1" x14ac:dyDescent="0.25">
      <c r="B113" s="120" t="str">
        <f t="shared" si="259"/>
        <v>Q1</v>
      </c>
      <c r="C113" s="121" t="str">
        <f t="shared" si="260"/>
        <v>May-26</v>
      </c>
      <c r="D113" s="122">
        <v>46149</v>
      </c>
      <c r="E113" s="123" t="s">
        <v>3547</v>
      </c>
      <c r="F113" s="123" t="s">
        <v>196</v>
      </c>
      <c r="G113" s="123" t="s">
        <v>198</v>
      </c>
      <c r="H113" s="124" t="s">
        <v>3548</v>
      </c>
      <c r="I113" s="122">
        <v>46149</v>
      </c>
      <c r="J113" s="123" t="s">
        <v>3549</v>
      </c>
      <c r="K113" s="122">
        <v>46149</v>
      </c>
      <c r="L113" s="123" t="s">
        <v>199</v>
      </c>
      <c r="M113" s="123" t="s">
        <v>2331</v>
      </c>
      <c r="N113" s="124" t="s">
        <v>206</v>
      </c>
      <c r="O113" s="123">
        <v>156</v>
      </c>
      <c r="P113" s="124">
        <v>50</v>
      </c>
      <c r="Q113" s="125">
        <f t="shared" si="261"/>
        <v>7800</v>
      </c>
      <c r="R113" s="126">
        <v>0</v>
      </c>
      <c r="S113" s="125">
        <f t="shared" si="262"/>
        <v>156</v>
      </c>
      <c r="T113" s="126">
        <v>0</v>
      </c>
      <c r="U113" s="127">
        <v>0</v>
      </c>
      <c r="V113" s="128">
        <v>0</v>
      </c>
      <c r="W113" s="127">
        <v>0</v>
      </c>
      <c r="X113" s="129">
        <v>0</v>
      </c>
      <c r="Y113" s="127">
        <v>0</v>
      </c>
      <c r="Z113" s="127">
        <v>0</v>
      </c>
      <c r="AA113" s="126">
        <v>0</v>
      </c>
      <c r="AB113" s="130">
        <f t="shared" si="263"/>
        <v>0</v>
      </c>
      <c r="AC113" s="129">
        <v>0</v>
      </c>
      <c r="AD113" s="125">
        <f t="shared" si="264"/>
        <v>50</v>
      </c>
      <c r="AE113" s="144">
        <v>0</v>
      </c>
      <c r="AF113" s="127">
        <v>0</v>
      </c>
      <c r="AG113" s="131">
        <v>0</v>
      </c>
      <c r="AH113" s="127">
        <v>0</v>
      </c>
      <c r="AI113" s="128">
        <v>0</v>
      </c>
      <c r="AJ113" s="127">
        <v>0</v>
      </c>
      <c r="AK113" s="127">
        <v>0</v>
      </c>
      <c r="AL113" s="127">
        <v>0</v>
      </c>
      <c r="AM113" s="132">
        <f t="shared" si="265"/>
        <v>7800</v>
      </c>
      <c r="AN113" s="133">
        <v>46149</v>
      </c>
      <c r="AO113" s="134" t="s">
        <v>3561</v>
      </c>
      <c r="AP113" s="135" t="s">
        <v>234</v>
      </c>
      <c r="AQ113" s="136" t="s">
        <v>235</v>
      </c>
      <c r="AR113" s="136" t="s">
        <v>236</v>
      </c>
      <c r="AS113" s="123" t="s">
        <v>239</v>
      </c>
      <c r="AT113" s="137" t="s">
        <v>238</v>
      </c>
      <c r="AU113" s="137" t="s">
        <v>197</v>
      </c>
      <c r="AV113" s="138" t="s">
        <v>329</v>
      </c>
      <c r="AW113" s="136">
        <v>156</v>
      </c>
      <c r="AX113" s="138">
        <v>70</v>
      </c>
      <c r="AY113" s="136">
        <f t="shared" si="266"/>
        <v>10920</v>
      </c>
      <c r="AZ113" s="139" t="b">
        <f t="shared" si="267"/>
        <v>1</v>
      </c>
      <c r="BA113" s="125">
        <v>0</v>
      </c>
      <c r="BB113" s="140">
        <f t="shared" si="268"/>
        <v>156</v>
      </c>
      <c r="BC113" s="141">
        <v>0</v>
      </c>
      <c r="BD113" s="140" t="s">
        <v>107</v>
      </c>
      <c r="BE113" s="141">
        <v>0</v>
      </c>
      <c r="BF113" s="140">
        <v>0</v>
      </c>
      <c r="BG113" s="141">
        <v>0</v>
      </c>
      <c r="BH113" s="127">
        <v>0</v>
      </c>
      <c r="BI113" s="130">
        <v>0</v>
      </c>
      <c r="BJ113" s="128">
        <v>0</v>
      </c>
      <c r="BK113" s="125">
        <v>0</v>
      </c>
      <c r="BL113" s="136">
        <v>0</v>
      </c>
      <c r="BM113" s="127">
        <v>0</v>
      </c>
      <c r="BN113" s="142">
        <f t="shared" si="269"/>
        <v>0</v>
      </c>
      <c r="BO113" s="126">
        <f t="shared" si="270"/>
        <v>10920</v>
      </c>
      <c r="BP113" s="132">
        <f t="shared" si="271"/>
        <v>3120</v>
      </c>
      <c r="BQ113" s="141" t="str">
        <f t="shared" si="272"/>
        <v>Positive Margin</v>
      </c>
      <c r="BR113" s="143" t="s">
        <v>119</v>
      </c>
      <c r="BS113" s="125">
        <f t="shared" si="273"/>
        <v>3120</v>
      </c>
      <c r="BT113" s="144" t="str">
        <f t="shared" si="274"/>
        <v>Positive Margin at Inception</v>
      </c>
      <c r="BU113" s="145">
        <f t="shared" si="275"/>
        <v>0.2857142857142857</v>
      </c>
      <c r="BV113" s="144" t="str">
        <f t="shared" si="276"/>
        <v>More than 2%</v>
      </c>
      <c r="BW113" s="125">
        <f t="shared" si="277"/>
        <v>0</v>
      </c>
      <c r="BX113" s="126">
        <f t="shared" si="278"/>
        <v>0</v>
      </c>
      <c r="BY113" s="125">
        <f t="shared" si="279"/>
        <v>0</v>
      </c>
      <c r="BZ113" s="146">
        <f t="shared" si="280"/>
        <v>0</v>
      </c>
      <c r="CA113" s="146">
        <f t="shared" si="281"/>
        <v>0</v>
      </c>
      <c r="CB113" s="127">
        <f t="shared" si="282"/>
        <v>0</v>
      </c>
      <c r="CC113" s="146" t="s">
        <v>397</v>
      </c>
      <c r="CD113" s="127">
        <v>0</v>
      </c>
      <c r="CE113" s="127" t="str">
        <f t="shared" si="283"/>
        <v>May-26</v>
      </c>
      <c r="CF113" s="127">
        <f t="shared" si="284"/>
        <v>7800</v>
      </c>
      <c r="CG113" s="127">
        <f t="shared" si="285"/>
        <v>10920</v>
      </c>
      <c r="CH113" s="127">
        <f t="shared" si="286"/>
        <v>6</v>
      </c>
      <c r="CI113" s="147" t="str">
        <f t="shared" si="287"/>
        <v>BG AHD</v>
      </c>
      <c r="CJ113" s="127">
        <v>0</v>
      </c>
      <c r="CK113" s="127">
        <v>0</v>
      </c>
      <c r="CL113" s="127">
        <f t="shared" si="288"/>
        <v>3120</v>
      </c>
      <c r="CM113" s="127">
        <f t="shared" si="289"/>
        <v>3120</v>
      </c>
      <c r="CN113" s="127">
        <f t="shared" si="290"/>
        <v>3120</v>
      </c>
      <c r="CO113" s="127">
        <f t="shared" si="291"/>
        <v>12885.599999999999</v>
      </c>
      <c r="CP113" s="127">
        <f t="shared" si="292"/>
        <v>-9204</v>
      </c>
      <c r="CQ113" s="127">
        <f t="shared" si="293"/>
        <v>0</v>
      </c>
      <c r="CR113" s="127">
        <f t="shared" si="294"/>
        <v>0</v>
      </c>
      <c r="CS113" s="127">
        <f t="shared" si="295"/>
        <v>3681.5999999999985</v>
      </c>
      <c r="CT113" s="127" t="s">
        <v>361</v>
      </c>
      <c r="CU113" s="127" t="s">
        <v>361</v>
      </c>
      <c r="CV113" s="142" t="str">
        <f t="shared" si="296"/>
        <v>AAMCB5608A</v>
      </c>
      <c r="CW113" s="142" t="str">
        <f t="shared" si="297"/>
        <v>BJHPB3107J</v>
      </c>
    </row>
    <row r="114" spans="2:101" s="149" customFormat="1" ht="11.85" customHeight="1" x14ac:dyDescent="0.25">
      <c r="B114" s="120" t="str">
        <f t="shared" si="259"/>
        <v>Q1</v>
      </c>
      <c r="C114" s="121" t="str">
        <f t="shared" si="260"/>
        <v>May-26</v>
      </c>
      <c r="D114" s="122">
        <v>46150</v>
      </c>
      <c r="E114" s="123" t="s">
        <v>3551</v>
      </c>
      <c r="F114" s="123" t="s">
        <v>196</v>
      </c>
      <c r="G114" s="123" t="s">
        <v>198</v>
      </c>
      <c r="H114" s="124" t="s">
        <v>3552</v>
      </c>
      <c r="I114" s="122">
        <v>46150</v>
      </c>
      <c r="J114" s="123" t="s">
        <v>3553</v>
      </c>
      <c r="K114" s="122">
        <v>46150</v>
      </c>
      <c r="L114" s="123" t="s">
        <v>199</v>
      </c>
      <c r="M114" s="123" t="s">
        <v>3554</v>
      </c>
      <c r="N114" s="124" t="s">
        <v>204</v>
      </c>
      <c r="O114" s="123">
        <v>8020</v>
      </c>
      <c r="P114" s="124">
        <v>10</v>
      </c>
      <c r="Q114" s="125">
        <f t="shared" si="261"/>
        <v>80200</v>
      </c>
      <c r="R114" s="126">
        <v>0</v>
      </c>
      <c r="S114" s="125">
        <f t="shared" si="262"/>
        <v>8020</v>
      </c>
      <c r="T114" s="126">
        <v>0</v>
      </c>
      <c r="U114" s="127">
        <v>0</v>
      </c>
      <c r="V114" s="128">
        <v>0</v>
      </c>
      <c r="W114" s="127">
        <v>0</v>
      </c>
      <c r="X114" s="129">
        <v>0</v>
      </c>
      <c r="Y114" s="127">
        <v>0</v>
      </c>
      <c r="Z114" s="127">
        <v>0</v>
      </c>
      <c r="AA114" s="126">
        <v>0</v>
      </c>
      <c r="AB114" s="130">
        <f t="shared" si="263"/>
        <v>0</v>
      </c>
      <c r="AC114" s="129">
        <v>0</v>
      </c>
      <c r="AD114" s="125">
        <f t="shared" si="264"/>
        <v>10</v>
      </c>
      <c r="AE114" s="144">
        <v>0</v>
      </c>
      <c r="AF114" s="127">
        <v>0</v>
      </c>
      <c r="AG114" s="131">
        <v>0</v>
      </c>
      <c r="AH114" s="127">
        <v>0</v>
      </c>
      <c r="AI114" s="128">
        <v>0</v>
      </c>
      <c r="AJ114" s="127">
        <v>0</v>
      </c>
      <c r="AK114" s="127">
        <v>0</v>
      </c>
      <c r="AL114" s="127">
        <v>0</v>
      </c>
      <c r="AM114" s="132">
        <f t="shared" si="265"/>
        <v>80200</v>
      </c>
      <c r="AN114" s="133">
        <v>46150</v>
      </c>
      <c r="AO114" s="134" t="s">
        <v>3562</v>
      </c>
      <c r="AP114" s="135" t="s">
        <v>234</v>
      </c>
      <c r="AQ114" s="136" t="s">
        <v>235</v>
      </c>
      <c r="AR114" s="136" t="s">
        <v>236</v>
      </c>
      <c r="AS114" s="123" t="s">
        <v>239</v>
      </c>
      <c r="AT114" s="137" t="s">
        <v>238</v>
      </c>
      <c r="AU114" s="137" t="s">
        <v>197</v>
      </c>
      <c r="AV114" s="138" t="s">
        <v>329</v>
      </c>
      <c r="AW114" s="136">
        <v>8020</v>
      </c>
      <c r="AX114" s="138">
        <v>12</v>
      </c>
      <c r="AY114" s="136">
        <f t="shared" si="266"/>
        <v>96240</v>
      </c>
      <c r="AZ114" s="139" t="b">
        <f t="shared" si="267"/>
        <v>1</v>
      </c>
      <c r="BA114" s="125">
        <v>0</v>
      </c>
      <c r="BB114" s="140">
        <f t="shared" si="268"/>
        <v>8020</v>
      </c>
      <c r="BC114" s="141">
        <v>0</v>
      </c>
      <c r="BD114" s="140" t="s">
        <v>107</v>
      </c>
      <c r="BE114" s="141">
        <v>0</v>
      </c>
      <c r="BF114" s="140">
        <v>0</v>
      </c>
      <c r="BG114" s="141">
        <v>0</v>
      </c>
      <c r="BH114" s="127">
        <v>0</v>
      </c>
      <c r="BI114" s="130">
        <v>0</v>
      </c>
      <c r="BJ114" s="128">
        <v>0</v>
      </c>
      <c r="BK114" s="125">
        <v>0</v>
      </c>
      <c r="BL114" s="136">
        <v>0</v>
      </c>
      <c r="BM114" s="127">
        <v>0</v>
      </c>
      <c r="BN114" s="142">
        <f t="shared" si="269"/>
        <v>0</v>
      </c>
      <c r="BO114" s="126">
        <f t="shared" si="270"/>
        <v>96240</v>
      </c>
      <c r="BP114" s="132">
        <f t="shared" si="271"/>
        <v>16040</v>
      </c>
      <c r="BQ114" s="141" t="str">
        <f t="shared" si="272"/>
        <v>Positive Margin</v>
      </c>
      <c r="BR114" s="143" t="s">
        <v>119</v>
      </c>
      <c r="BS114" s="125">
        <f t="shared" si="273"/>
        <v>16040</v>
      </c>
      <c r="BT114" s="144" t="str">
        <f t="shared" si="274"/>
        <v>Positive Margin at Inception</v>
      </c>
      <c r="BU114" s="145">
        <f t="shared" si="275"/>
        <v>0.16666666666666666</v>
      </c>
      <c r="BV114" s="144" t="str">
        <f t="shared" si="276"/>
        <v>More than 2%</v>
      </c>
      <c r="BW114" s="125">
        <f t="shared" si="277"/>
        <v>0</v>
      </c>
      <c r="BX114" s="126">
        <f t="shared" si="278"/>
        <v>0</v>
      </c>
      <c r="BY114" s="125">
        <f t="shared" si="279"/>
        <v>0</v>
      </c>
      <c r="BZ114" s="146">
        <f t="shared" si="280"/>
        <v>0</v>
      </c>
      <c r="CA114" s="146">
        <f t="shared" si="281"/>
        <v>0</v>
      </c>
      <c r="CB114" s="127">
        <f t="shared" si="282"/>
        <v>0</v>
      </c>
      <c r="CC114" s="146" t="s">
        <v>397</v>
      </c>
      <c r="CD114" s="127">
        <v>0</v>
      </c>
      <c r="CE114" s="127" t="str">
        <f t="shared" si="283"/>
        <v>May-26</v>
      </c>
      <c r="CF114" s="127">
        <f t="shared" si="284"/>
        <v>80200</v>
      </c>
      <c r="CG114" s="127">
        <f t="shared" si="285"/>
        <v>96240</v>
      </c>
      <c r="CH114" s="127">
        <f t="shared" si="286"/>
        <v>6</v>
      </c>
      <c r="CI114" s="147" t="str">
        <f t="shared" si="287"/>
        <v>BG AHD</v>
      </c>
      <c r="CJ114" s="127">
        <v>0</v>
      </c>
      <c r="CK114" s="127">
        <v>0</v>
      </c>
      <c r="CL114" s="127">
        <f t="shared" si="288"/>
        <v>16040</v>
      </c>
      <c r="CM114" s="127">
        <f t="shared" si="289"/>
        <v>16040</v>
      </c>
      <c r="CN114" s="127">
        <f t="shared" si="290"/>
        <v>16040</v>
      </c>
      <c r="CO114" s="127">
        <f t="shared" si="291"/>
        <v>113563.2</v>
      </c>
      <c r="CP114" s="127">
        <f t="shared" si="292"/>
        <v>-94636</v>
      </c>
      <c r="CQ114" s="127">
        <f t="shared" si="293"/>
        <v>0</v>
      </c>
      <c r="CR114" s="127">
        <f t="shared" si="294"/>
        <v>0</v>
      </c>
      <c r="CS114" s="127">
        <f t="shared" si="295"/>
        <v>18927.199999999997</v>
      </c>
      <c r="CT114" s="127" t="s">
        <v>361</v>
      </c>
      <c r="CU114" s="127" t="s">
        <v>361</v>
      </c>
      <c r="CV114" s="142" t="str">
        <f t="shared" si="296"/>
        <v>AAMCB5608A</v>
      </c>
      <c r="CW114" s="142" t="str">
        <f t="shared" si="297"/>
        <v>BJHPB3107J</v>
      </c>
    </row>
    <row r="115" spans="2:101" s="149" customFormat="1" ht="11.85" customHeight="1" x14ac:dyDescent="0.25">
      <c r="B115" s="120" t="str">
        <f t="shared" si="259"/>
        <v>Q1</v>
      </c>
      <c r="C115" s="121" t="str">
        <f t="shared" si="260"/>
        <v>May-26</v>
      </c>
      <c r="D115" s="122">
        <v>46150</v>
      </c>
      <c r="E115" s="123" t="s">
        <v>3555</v>
      </c>
      <c r="F115" s="123" t="s">
        <v>196</v>
      </c>
      <c r="G115" s="123" t="s">
        <v>198</v>
      </c>
      <c r="H115" s="124" t="s">
        <v>3556</v>
      </c>
      <c r="I115" s="122">
        <v>46150</v>
      </c>
      <c r="J115" s="123" t="s">
        <v>3557</v>
      </c>
      <c r="K115" s="122">
        <v>46150</v>
      </c>
      <c r="L115" s="123" t="s">
        <v>199</v>
      </c>
      <c r="M115" s="123" t="s">
        <v>3445</v>
      </c>
      <c r="N115" s="124" t="s">
        <v>204</v>
      </c>
      <c r="O115" s="123">
        <v>7530</v>
      </c>
      <c r="P115" s="124">
        <v>10</v>
      </c>
      <c r="Q115" s="125">
        <f t="shared" si="261"/>
        <v>75300</v>
      </c>
      <c r="R115" s="126">
        <v>0</v>
      </c>
      <c r="S115" s="125">
        <f t="shared" si="262"/>
        <v>7530</v>
      </c>
      <c r="T115" s="126">
        <v>0</v>
      </c>
      <c r="U115" s="127">
        <v>0</v>
      </c>
      <c r="V115" s="128">
        <v>0</v>
      </c>
      <c r="W115" s="127">
        <v>0</v>
      </c>
      <c r="X115" s="129">
        <v>0</v>
      </c>
      <c r="Y115" s="127">
        <v>0</v>
      </c>
      <c r="Z115" s="127">
        <v>0</v>
      </c>
      <c r="AA115" s="126">
        <v>0</v>
      </c>
      <c r="AB115" s="130">
        <f t="shared" si="263"/>
        <v>0</v>
      </c>
      <c r="AC115" s="129">
        <v>0</v>
      </c>
      <c r="AD115" s="125">
        <f t="shared" si="264"/>
        <v>10</v>
      </c>
      <c r="AE115" s="144">
        <v>0</v>
      </c>
      <c r="AF115" s="127">
        <v>0</v>
      </c>
      <c r="AG115" s="131">
        <v>0</v>
      </c>
      <c r="AH115" s="127">
        <v>0</v>
      </c>
      <c r="AI115" s="128">
        <v>0</v>
      </c>
      <c r="AJ115" s="127">
        <v>0</v>
      </c>
      <c r="AK115" s="127">
        <v>0</v>
      </c>
      <c r="AL115" s="127">
        <v>0</v>
      </c>
      <c r="AM115" s="132">
        <f t="shared" si="265"/>
        <v>75300</v>
      </c>
      <c r="AN115" s="133">
        <v>46150</v>
      </c>
      <c r="AO115" s="134" t="s">
        <v>3563</v>
      </c>
      <c r="AP115" s="135" t="s">
        <v>234</v>
      </c>
      <c r="AQ115" s="136" t="s">
        <v>235</v>
      </c>
      <c r="AR115" s="136" t="s">
        <v>236</v>
      </c>
      <c r="AS115" s="123" t="s">
        <v>237</v>
      </c>
      <c r="AT115" s="137" t="s">
        <v>238</v>
      </c>
      <c r="AU115" s="137" t="s">
        <v>197</v>
      </c>
      <c r="AV115" s="138" t="s">
        <v>329</v>
      </c>
      <c r="AW115" s="136">
        <v>7530</v>
      </c>
      <c r="AX115" s="138">
        <v>12</v>
      </c>
      <c r="AY115" s="136">
        <f t="shared" si="266"/>
        <v>90360</v>
      </c>
      <c r="AZ115" s="139" t="b">
        <f t="shared" si="267"/>
        <v>1</v>
      </c>
      <c r="BA115" s="125">
        <v>0</v>
      </c>
      <c r="BB115" s="140">
        <f t="shared" si="268"/>
        <v>7530</v>
      </c>
      <c r="BC115" s="141">
        <v>0</v>
      </c>
      <c r="BD115" s="140" t="s">
        <v>107</v>
      </c>
      <c r="BE115" s="141">
        <v>0</v>
      </c>
      <c r="BF115" s="140">
        <v>0</v>
      </c>
      <c r="BG115" s="141">
        <v>0</v>
      </c>
      <c r="BH115" s="127">
        <v>0</v>
      </c>
      <c r="BI115" s="130">
        <v>0</v>
      </c>
      <c r="BJ115" s="128">
        <v>0</v>
      </c>
      <c r="BK115" s="125">
        <v>0</v>
      </c>
      <c r="BL115" s="136">
        <v>0</v>
      </c>
      <c r="BM115" s="127">
        <v>0</v>
      </c>
      <c r="BN115" s="142">
        <f t="shared" si="269"/>
        <v>0</v>
      </c>
      <c r="BO115" s="126">
        <f t="shared" si="270"/>
        <v>90360</v>
      </c>
      <c r="BP115" s="132">
        <f t="shared" si="271"/>
        <v>15060</v>
      </c>
      <c r="BQ115" s="141" t="str">
        <f t="shared" si="272"/>
        <v>Positive Margin</v>
      </c>
      <c r="BR115" s="143" t="s">
        <v>119</v>
      </c>
      <c r="BS115" s="125">
        <f t="shared" si="273"/>
        <v>15060</v>
      </c>
      <c r="BT115" s="144" t="str">
        <f t="shared" si="274"/>
        <v>Positive Margin at Inception</v>
      </c>
      <c r="BU115" s="145">
        <f t="shared" si="275"/>
        <v>0.16666666666666666</v>
      </c>
      <c r="BV115" s="144" t="str">
        <f t="shared" si="276"/>
        <v>More than 2%</v>
      </c>
      <c r="BW115" s="125">
        <f t="shared" si="277"/>
        <v>0</v>
      </c>
      <c r="BX115" s="126">
        <f t="shared" si="278"/>
        <v>0</v>
      </c>
      <c r="BY115" s="125">
        <f t="shared" si="279"/>
        <v>0</v>
      </c>
      <c r="BZ115" s="146">
        <f t="shared" si="280"/>
        <v>0</v>
      </c>
      <c r="CA115" s="146">
        <f t="shared" si="281"/>
        <v>0</v>
      </c>
      <c r="CB115" s="127">
        <f t="shared" si="282"/>
        <v>0</v>
      </c>
      <c r="CC115" s="146" t="s">
        <v>397</v>
      </c>
      <c r="CD115" s="127">
        <v>0</v>
      </c>
      <c r="CE115" s="127" t="str">
        <f t="shared" si="283"/>
        <v>May-26</v>
      </c>
      <c r="CF115" s="127">
        <f t="shared" si="284"/>
        <v>75300</v>
      </c>
      <c r="CG115" s="127">
        <f t="shared" si="285"/>
        <v>90360</v>
      </c>
      <c r="CH115" s="127">
        <f t="shared" si="286"/>
        <v>6</v>
      </c>
      <c r="CI115" s="147" t="str">
        <f t="shared" si="287"/>
        <v>BG AHD</v>
      </c>
      <c r="CJ115" s="127">
        <v>0</v>
      </c>
      <c r="CK115" s="127">
        <v>0</v>
      </c>
      <c r="CL115" s="127">
        <f t="shared" si="288"/>
        <v>15060</v>
      </c>
      <c r="CM115" s="127">
        <f t="shared" si="289"/>
        <v>15060</v>
      </c>
      <c r="CN115" s="127">
        <f t="shared" si="290"/>
        <v>15060</v>
      </c>
      <c r="CO115" s="127">
        <f t="shared" si="291"/>
        <v>106624.79999999999</v>
      </c>
      <c r="CP115" s="127">
        <f t="shared" si="292"/>
        <v>-88854</v>
      </c>
      <c r="CQ115" s="127">
        <f t="shared" si="293"/>
        <v>0</v>
      </c>
      <c r="CR115" s="127">
        <f t="shared" si="294"/>
        <v>0</v>
      </c>
      <c r="CS115" s="127">
        <f t="shared" si="295"/>
        <v>17770.799999999988</v>
      </c>
      <c r="CT115" s="127" t="s">
        <v>361</v>
      </c>
      <c r="CU115" s="127" t="s">
        <v>361</v>
      </c>
      <c r="CV115" s="142" t="str">
        <f t="shared" si="296"/>
        <v>AAMCB5608A</v>
      </c>
      <c r="CW115" s="142" t="str">
        <f t="shared" si="297"/>
        <v>BJHPB3107J</v>
      </c>
    </row>
    <row r="116" spans="2:101" s="149" customFormat="1" ht="11.85" customHeight="1" x14ac:dyDescent="0.25">
      <c r="B116" s="120" t="str">
        <f t="shared" si="259"/>
        <v>Q1</v>
      </c>
      <c r="C116" s="121" t="str">
        <f t="shared" si="260"/>
        <v>May-26</v>
      </c>
      <c r="D116" s="122">
        <v>46151</v>
      </c>
      <c r="E116" s="123" t="s">
        <v>3558</v>
      </c>
      <c r="F116" s="123" t="s">
        <v>196</v>
      </c>
      <c r="G116" s="123" t="s">
        <v>198</v>
      </c>
      <c r="H116" s="124" t="s">
        <v>3559</v>
      </c>
      <c r="I116" s="122">
        <v>46151</v>
      </c>
      <c r="J116" s="123" t="s">
        <v>3560</v>
      </c>
      <c r="K116" s="122">
        <v>46151</v>
      </c>
      <c r="L116" s="123" t="s">
        <v>199</v>
      </c>
      <c r="M116" s="123" t="s">
        <v>3167</v>
      </c>
      <c r="N116" s="124" t="s">
        <v>204</v>
      </c>
      <c r="O116" s="123">
        <v>7310</v>
      </c>
      <c r="P116" s="124">
        <v>10</v>
      </c>
      <c r="Q116" s="125">
        <f t="shared" si="261"/>
        <v>73100</v>
      </c>
      <c r="R116" s="126">
        <v>0</v>
      </c>
      <c r="S116" s="125">
        <f t="shared" si="262"/>
        <v>7310</v>
      </c>
      <c r="T116" s="126">
        <v>0</v>
      </c>
      <c r="U116" s="127">
        <v>0</v>
      </c>
      <c r="V116" s="128">
        <v>0</v>
      </c>
      <c r="W116" s="127">
        <v>0</v>
      </c>
      <c r="X116" s="129">
        <v>0</v>
      </c>
      <c r="Y116" s="127">
        <v>0</v>
      </c>
      <c r="Z116" s="127">
        <v>0</v>
      </c>
      <c r="AA116" s="126">
        <v>0</v>
      </c>
      <c r="AB116" s="130">
        <f t="shared" si="263"/>
        <v>0</v>
      </c>
      <c r="AC116" s="129">
        <v>0</v>
      </c>
      <c r="AD116" s="125">
        <f t="shared" si="264"/>
        <v>10</v>
      </c>
      <c r="AE116" s="144">
        <v>0</v>
      </c>
      <c r="AF116" s="127">
        <v>0</v>
      </c>
      <c r="AG116" s="131">
        <v>0</v>
      </c>
      <c r="AH116" s="127">
        <v>0</v>
      </c>
      <c r="AI116" s="128">
        <v>0</v>
      </c>
      <c r="AJ116" s="127">
        <v>0</v>
      </c>
      <c r="AK116" s="127">
        <v>0</v>
      </c>
      <c r="AL116" s="127">
        <v>0</v>
      </c>
      <c r="AM116" s="132">
        <f t="shared" si="265"/>
        <v>73100</v>
      </c>
      <c r="AN116" s="133">
        <v>46151</v>
      </c>
      <c r="AO116" s="134" t="s">
        <v>3564</v>
      </c>
      <c r="AP116" s="135" t="s">
        <v>234</v>
      </c>
      <c r="AQ116" s="136" t="s">
        <v>235</v>
      </c>
      <c r="AR116" s="136" t="s">
        <v>236</v>
      </c>
      <c r="AS116" s="123" t="s">
        <v>237</v>
      </c>
      <c r="AT116" s="137" t="s">
        <v>238</v>
      </c>
      <c r="AU116" s="137" t="s">
        <v>197</v>
      </c>
      <c r="AV116" s="138" t="s">
        <v>329</v>
      </c>
      <c r="AW116" s="136">
        <v>7310</v>
      </c>
      <c r="AX116" s="138">
        <v>12</v>
      </c>
      <c r="AY116" s="136">
        <f t="shared" si="266"/>
        <v>87720</v>
      </c>
      <c r="AZ116" s="139" t="b">
        <f t="shared" si="267"/>
        <v>1</v>
      </c>
      <c r="BA116" s="125">
        <v>0</v>
      </c>
      <c r="BB116" s="140">
        <f t="shared" si="268"/>
        <v>7310</v>
      </c>
      <c r="BC116" s="141">
        <v>0</v>
      </c>
      <c r="BD116" s="140" t="s">
        <v>107</v>
      </c>
      <c r="BE116" s="141">
        <v>0</v>
      </c>
      <c r="BF116" s="140">
        <v>0</v>
      </c>
      <c r="BG116" s="141">
        <v>0</v>
      </c>
      <c r="BH116" s="127">
        <v>0</v>
      </c>
      <c r="BI116" s="130">
        <v>0</v>
      </c>
      <c r="BJ116" s="128">
        <v>0</v>
      </c>
      <c r="BK116" s="125">
        <v>0</v>
      </c>
      <c r="BL116" s="136">
        <v>0</v>
      </c>
      <c r="BM116" s="127">
        <v>0</v>
      </c>
      <c r="BN116" s="142">
        <f t="shared" si="269"/>
        <v>0</v>
      </c>
      <c r="BO116" s="126">
        <f t="shared" si="270"/>
        <v>87720</v>
      </c>
      <c r="BP116" s="132">
        <f t="shared" si="271"/>
        <v>14620</v>
      </c>
      <c r="BQ116" s="141" t="str">
        <f t="shared" si="272"/>
        <v>Positive Margin</v>
      </c>
      <c r="BR116" s="143" t="s">
        <v>119</v>
      </c>
      <c r="BS116" s="125">
        <f t="shared" si="273"/>
        <v>14620</v>
      </c>
      <c r="BT116" s="144" t="str">
        <f t="shared" si="274"/>
        <v>Positive Margin at Inception</v>
      </c>
      <c r="BU116" s="145">
        <f t="shared" si="275"/>
        <v>0.16666666666666666</v>
      </c>
      <c r="BV116" s="144" t="str">
        <f t="shared" si="276"/>
        <v>More than 2%</v>
      </c>
      <c r="BW116" s="125">
        <f t="shared" si="277"/>
        <v>0</v>
      </c>
      <c r="BX116" s="126">
        <f t="shared" si="278"/>
        <v>0</v>
      </c>
      <c r="BY116" s="125">
        <f t="shared" si="279"/>
        <v>0</v>
      </c>
      <c r="BZ116" s="146">
        <f t="shared" si="280"/>
        <v>0</v>
      </c>
      <c r="CA116" s="146">
        <f t="shared" si="281"/>
        <v>0</v>
      </c>
      <c r="CB116" s="127">
        <f t="shared" si="282"/>
        <v>0</v>
      </c>
      <c r="CC116" s="146" t="s">
        <v>397</v>
      </c>
      <c r="CD116" s="127">
        <v>0</v>
      </c>
      <c r="CE116" s="127" t="str">
        <f t="shared" si="283"/>
        <v>May-26</v>
      </c>
      <c r="CF116" s="127">
        <f t="shared" si="284"/>
        <v>73100</v>
      </c>
      <c r="CG116" s="127">
        <f t="shared" si="285"/>
        <v>87720</v>
      </c>
      <c r="CH116" s="127">
        <f t="shared" si="286"/>
        <v>6</v>
      </c>
      <c r="CI116" s="147" t="str">
        <f t="shared" si="287"/>
        <v>BG AHD</v>
      </c>
      <c r="CJ116" s="127">
        <v>0</v>
      </c>
      <c r="CK116" s="127">
        <v>0</v>
      </c>
      <c r="CL116" s="127">
        <f t="shared" si="288"/>
        <v>14620</v>
      </c>
      <c r="CM116" s="127">
        <f t="shared" si="289"/>
        <v>14620</v>
      </c>
      <c r="CN116" s="127">
        <f t="shared" si="290"/>
        <v>14620</v>
      </c>
      <c r="CO116" s="127">
        <f t="shared" si="291"/>
        <v>103509.59999999999</v>
      </c>
      <c r="CP116" s="127">
        <f t="shared" si="292"/>
        <v>-86258</v>
      </c>
      <c r="CQ116" s="127">
        <f t="shared" si="293"/>
        <v>0</v>
      </c>
      <c r="CR116" s="127">
        <f t="shared" si="294"/>
        <v>0</v>
      </c>
      <c r="CS116" s="127">
        <f t="shared" si="295"/>
        <v>17251.599999999991</v>
      </c>
      <c r="CT116" s="127" t="s">
        <v>361</v>
      </c>
      <c r="CU116" s="127" t="s">
        <v>361</v>
      </c>
      <c r="CV116" s="142" t="str">
        <f t="shared" si="296"/>
        <v>AAMCB5608A</v>
      </c>
      <c r="CW116" s="142" t="str">
        <f t="shared" si="297"/>
        <v>BJHPB3107J</v>
      </c>
    </row>
    <row r="117" spans="2:101" s="149" customFormat="1" ht="11.85" customHeight="1" x14ac:dyDescent="0.25">
      <c r="B117" s="120" t="str">
        <f t="shared" ref="B117:B136" si="298">"Q" &amp; IF(ROUNDUP(MONTH(D117)/3,0)-1=0,4,ROUNDUP(MONTH(D117)/3,0)-1)</f>
        <v>Q1</v>
      </c>
      <c r="C117" s="121" t="str">
        <f t="shared" ref="C117:C136" si="299">TEXT(AN117,"mmm-yy")</f>
        <v>May-26</v>
      </c>
      <c r="D117" s="122">
        <v>46153</v>
      </c>
      <c r="E117" s="123" t="s">
        <v>3565</v>
      </c>
      <c r="F117" s="123" t="s">
        <v>196</v>
      </c>
      <c r="G117" s="123" t="s">
        <v>198</v>
      </c>
      <c r="H117" s="124" t="s">
        <v>3566</v>
      </c>
      <c r="I117" s="122">
        <v>46153</v>
      </c>
      <c r="J117" s="123" t="s">
        <v>3567</v>
      </c>
      <c r="K117" s="122">
        <v>46153</v>
      </c>
      <c r="L117" s="123" t="s">
        <v>199</v>
      </c>
      <c r="M117" s="123" t="s">
        <v>3462</v>
      </c>
      <c r="N117" s="124" t="s">
        <v>241</v>
      </c>
      <c r="O117" s="123">
        <v>900</v>
      </c>
      <c r="P117" s="124">
        <v>30</v>
      </c>
      <c r="Q117" s="125">
        <f t="shared" ref="Q117:Q136" si="300">O117*P117</f>
        <v>27000</v>
      </c>
      <c r="R117" s="126">
        <v>0</v>
      </c>
      <c r="S117" s="125">
        <f t="shared" ref="S117:S136" si="301">O117-R117</f>
        <v>900</v>
      </c>
      <c r="T117" s="126">
        <v>0</v>
      </c>
      <c r="U117" s="127">
        <v>0</v>
      </c>
      <c r="V117" s="128">
        <v>0</v>
      </c>
      <c r="W117" s="127">
        <v>0</v>
      </c>
      <c r="X117" s="129">
        <v>0</v>
      </c>
      <c r="Y117" s="127">
        <v>0</v>
      </c>
      <c r="Z117" s="127">
        <v>0</v>
      </c>
      <c r="AA117" s="126">
        <v>0</v>
      </c>
      <c r="AB117" s="130">
        <f t="shared" ref="AB117:AB136" si="302">Y117+AA117+Z117</f>
        <v>0</v>
      </c>
      <c r="AC117" s="129">
        <v>0</v>
      </c>
      <c r="AD117" s="125">
        <f t="shared" ref="AD117:AD136" si="303">Q117/O117</f>
        <v>30</v>
      </c>
      <c r="AE117" s="144">
        <v>0</v>
      </c>
      <c r="AF117" s="127">
        <v>0</v>
      </c>
      <c r="AG117" s="131">
        <v>0</v>
      </c>
      <c r="AH117" s="127">
        <v>0</v>
      </c>
      <c r="AI117" s="128">
        <v>0</v>
      </c>
      <c r="AJ117" s="127">
        <v>0</v>
      </c>
      <c r="AK117" s="127">
        <v>0</v>
      </c>
      <c r="AL117" s="127">
        <v>0</v>
      </c>
      <c r="AM117" s="132">
        <f t="shared" ref="AM117:AM136" si="304">Q117+AB117+AL117+AK117+AJ117+T117+AE117</f>
        <v>27000</v>
      </c>
      <c r="AN117" s="133">
        <v>46153</v>
      </c>
      <c r="AO117" s="134" t="s">
        <v>3608</v>
      </c>
      <c r="AP117" s="135" t="s">
        <v>234</v>
      </c>
      <c r="AQ117" s="136" t="s">
        <v>235</v>
      </c>
      <c r="AR117" s="136" t="s">
        <v>236</v>
      </c>
      <c r="AS117" s="123" t="s">
        <v>2005</v>
      </c>
      <c r="AT117" s="137" t="s">
        <v>238</v>
      </c>
      <c r="AU117" s="137" t="s">
        <v>197</v>
      </c>
      <c r="AV117" s="138" t="s">
        <v>329</v>
      </c>
      <c r="AW117" s="136">
        <v>900</v>
      </c>
      <c r="AX117" s="138">
        <v>35</v>
      </c>
      <c r="AY117" s="136">
        <f t="shared" ref="AY117" si="305">AW117*AX117</f>
        <v>31500</v>
      </c>
      <c r="AZ117" s="139" t="b">
        <f t="shared" ref="AZ117" si="306">AW117=O117</f>
        <v>1</v>
      </c>
      <c r="BA117" s="125">
        <v>0</v>
      </c>
      <c r="BB117" s="140">
        <f t="shared" ref="BB117" si="307">AW117-BA117</f>
        <v>900</v>
      </c>
      <c r="BC117" s="141">
        <v>0</v>
      </c>
      <c r="BD117" s="140" t="s">
        <v>107</v>
      </c>
      <c r="BE117" s="141">
        <v>0</v>
      </c>
      <c r="BF117" s="140">
        <v>0</v>
      </c>
      <c r="BG117" s="141">
        <v>0</v>
      </c>
      <c r="BH117" s="127">
        <v>0</v>
      </c>
      <c r="BI117" s="130">
        <v>0</v>
      </c>
      <c r="BJ117" s="128">
        <v>0</v>
      </c>
      <c r="BK117" s="125">
        <v>0</v>
      </c>
      <c r="BL117" s="136">
        <v>0</v>
      </c>
      <c r="BM117" s="127">
        <v>0</v>
      </c>
      <c r="BN117" s="142">
        <f t="shared" ref="BN117" si="308">AY117*$BN$3</f>
        <v>0</v>
      </c>
      <c r="BO117" s="126">
        <f t="shared" ref="BO117" si="309">AY117+BL117+BM117+BN117+BC117+BG117</f>
        <v>31500</v>
      </c>
      <c r="BP117" s="132">
        <f t="shared" ref="BP117" si="310">BO117-AM117</f>
        <v>4500</v>
      </c>
      <c r="BQ117" s="141" t="str">
        <f t="shared" ref="BQ117" si="311">IF(BP117&gt;=0,"Positive Margin","Negative Margin")</f>
        <v>Positive Margin</v>
      </c>
      <c r="BR117" s="143" t="s">
        <v>119</v>
      </c>
      <c r="BS117" s="125">
        <f t="shared" ref="BS117" si="312">AY117-Y117-Q117-AA117-T117+BC117</f>
        <v>4500</v>
      </c>
      <c r="BT117" s="144" t="str">
        <f t="shared" ref="BT117" si="313">IF(BS117&lt;0, "Negative Margin at Inception", "Positive Margin at Inception")</f>
        <v>Positive Margin at Inception</v>
      </c>
      <c r="BU117" s="145">
        <f t="shared" ref="BU117" si="314">IFERROR(BP117/BO117,"0")</f>
        <v>0.14285714285714285</v>
      </c>
      <c r="BV117" s="144" t="str">
        <f t="shared" ref="BV117" si="315">IF(BU117&lt;1%,"Less Than 1%",IF(BU117&gt;2%,"More than 2%",IF(BU117&gt;=1%,"1% - 2%")))</f>
        <v>More than 2%</v>
      </c>
      <c r="BW117" s="125">
        <f t="shared" ref="BW117" si="316">BM117+BN117</f>
        <v>0</v>
      </c>
      <c r="BX117" s="126">
        <f t="shared" ref="BX117" si="317">AL117+AK117</f>
        <v>0</v>
      </c>
      <c r="BY117" s="125">
        <f t="shared" ref="BY117" si="318">BW117-BX117</f>
        <v>0</v>
      </c>
      <c r="BZ117" s="146">
        <f t="shared" ref="BZ117" si="319">BM117</f>
        <v>0</v>
      </c>
      <c r="CA117" s="146">
        <f t="shared" ref="CA117" si="320">AK117</f>
        <v>0</v>
      </c>
      <c r="CB117" s="127">
        <f t="shared" ref="CB117" si="321">BZ117-CA117</f>
        <v>0</v>
      </c>
      <c r="CC117" s="146" t="s">
        <v>397</v>
      </c>
      <c r="CD117" s="127">
        <v>0</v>
      </c>
      <c r="CE117" s="127" t="str">
        <f t="shared" ref="CE117" si="322">TEXT(AN117,"mmm-yy")</f>
        <v>May-26</v>
      </c>
      <c r="CF117" s="127">
        <f t="shared" ref="CF117" si="323">AM117-AL117-AA117</f>
        <v>27000</v>
      </c>
      <c r="CG117" s="127">
        <f t="shared" ref="CG117" si="324">BO117-BN117</f>
        <v>31500</v>
      </c>
      <c r="CH117" s="127">
        <f t="shared" ref="CH117" si="325">INT((D117- IF(MONTH(D117) &gt;= 4, DATE(YEAR(D117), 4, 1), DATE(YEAR(D117)-1, 4, 1))) / 7) + 1</f>
        <v>6</v>
      </c>
      <c r="CI117" s="147" t="str">
        <f t="shared" ref="CI117" si="326">IF(F117="BLACK GOLD RECYCLING PRIVATE LIMITED", "BG AHD", "B2B")</f>
        <v>BG AHD</v>
      </c>
      <c r="CJ117" s="127">
        <v>0</v>
      </c>
      <c r="CK117" s="127">
        <v>0</v>
      </c>
      <c r="CL117" s="127">
        <f t="shared" ref="CL117" si="327">AY117-Q117</f>
        <v>4500</v>
      </c>
      <c r="CM117" s="127">
        <f t="shared" ref="CM117" si="328">CL117-Y117+Z117</f>
        <v>4500</v>
      </c>
      <c r="CN117" s="127">
        <f t="shared" ref="CN117" si="329">BO117-AM117</f>
        <v>4500</v>
      </c>
      <c r="CO117" s="127">
        <f t="shared" ref="CO117" si="330">AY117*118%</f>
        <v>37170</v>
      </c>
      <c r="CP117" s="127">
        <f t="shared" ref="CP117" si="331">-Q117*118%</f>
        <v>-31860</v>
      </c>
      <c r="CQ117" s="127">
        <f t="shared" ref="CQ117" si="332">-BZ117*118%</f>
        <v>0</v>
      </c>
      <c r="CR117" s="127">
        <f t="shared" ref="CR117" si="333">-CA117*118%</f>
        <v>0</v>
      </c>
      <c r="CS117" s="127">
        <f t="shared" ref="CS117" si="334">SUM(CO117:CR117)</f>
        <v>5310</v>
      </c>
      <c r="CT117" s="127" t="s">
        <v>361</v>
      </c>
      <c r="CU117" s="127" t="s">
        <v>361</v>
      </c>
      <c r="CV117" s="142" t="str">
        <f t="shared" ref="CV117" si="335">MID(G117,3,10)</f>
        <v>AAMCB5608A</v>
      </c>
      <c r="CW117" s="142" t="str">
        <f t="shared" ref="CW117" si="336">MID(AR117,3,10)</f>
        <v>BJHPB3107J</v>
      </c>
    </row>
    <row r="118" spans="2:101" s="149" customFormat="1" ht="11.85" customHeight="1" x14ac:dyDescent="0.25">
      <c r="B118" s="120" t="str">
        <f t="shared" si="298"/>
        <v>Q1</v>
      </c>
      <c r="C118" s="121" t="str">
        <f t="shared" si="299"/>
        <v>May-26</v>
      </c>
      <c r="D118" s="122">
        <v>46153</v>
      </c>
      <c r="E118" s="123" t="s">
        <v>3565</v>
      </c>
      <c r="F118" s="123" t="s">
        <v>196</v>
      </c>
      <c r="G118" s="123" t="s">
        <v>198</v>
      </c>
      <c r="H118" s="124" t="s">
        <v>3566</v>
      </c>
      <c r="I118" s="122">
        <v>46153</v>
      </c>
      <c r="J118" s="123" t="s">
        <v>3567</v>
      </c>
      <c r="K118" s="122">
        <v>46153</v>
      </c>
      <c r="L118" s="123" t="s">
        <v>199</v>
      </c>
      <c r="M118" s="123" t="s">
        <v>3462</v>
      </c>
      <c r="N118" s="124" t="s">
        <v>1436</v>
      </c>
      <c r="O118" s="123">
        <v>620</v>
      </c>
      <c r="P118" s="124">
        <v>33</v>
      </c>
      <c r="Q118" s="125">
        <f t="shared" si="300"/>
        <v>20460</v>
      </c>
      <c r="R118" s="126">
        <v>0</v>
      </c>
      <c r="S118" s="125">
        <f t="shared" si="301"/>
        <v>620</v>
      </c>
      <c r="T118" s="126">
        <v>0</v>
      </c>
      <c r="U118" s="127">
        <v>0</v>
      </c>
      <c r="V118" s="128">
        <v>0</v>
      </c>
      <c r="W118" s="127">
        <v>0</v>
      </c>
      <c r="X118" s="129">
        <v>0</v>
      </c>
      <c r="Y118" s="127">
        <v>0</v>
      </c>
      <c r="Z118" s="127">
        <v>0</v>
      </c>
      <c r="AA118" s="126">
        <v>0</v>
      </c>
      <c r="AB118" s="130">
        <f t="shared" si="302"/>
        <v>0</v>
      </c>
      <c r="AC118" s="129">
        <v>0</v>
      </c>
      <c r="AD118" s="125">
        <f t="shared" si="303"/>
        <v>33</v>
      </c>
      <c r="AE118" s="144">
        <v>0</v>
      </c>
      <c r="AF118" s="127">
        <v>0</v>
      </c>
      <c r="AG118" s="131">
        <v>0</v>
      </c>
      <c r="AH118" s="127">
        <v>0</v>
      </c>
      <c r="AI118" s="128">
        <v>0</v>
      </c>
      <c r="AJ118" s="127">
        <v>0</v>
      </c>
      <c r="AK118" s="127">
        <v>0</v>
      </c>
      <c r="AL118" s="127">
        <v>0</v>
      </c>
      <c r="AM118" s="132">
        <f t="shared" si="304"/>
        <v>20460</v>
      </c>
      <c r="AN118" s="133">
        <v>46153</v>
      </c>
      <c r="AO118" s="134" t="s">
        <v>3608</v>
      </c>
      <c r="AP118" s="135" t="s">
        <v>234</v>
      </c>
      <c r="AQ118" s="136" t="s">
        <v>235</v>
      </c>
      <c r="AR118" s="136" t="s">
        <v>236</v>
      </c>
      <c r="AS118" s="123" t="s">
        <v>2005</v>
      </c>
      <c r="AT118" s="137" t="s">
        <v>238</v>
      </c>
      <c r="AU118" s="137" t="s">
        <v>197</v>
      </c>
      <c r="AV118" s="138" t="s">
        <v>329</v>
      </c>
      <c r="AW118" s="136">
        <v>620</v>
      </c>
      <c r="AX118" s="138">
        <v>38</v>
      </c>
      <c r="AY118" s="136">
        <f t="shared" ref="AY118:AY136" si="337">AW118*AX118</f>
        <v>23560</v>
      </c>
      <c r="AZ118" s="139" t="b">
        <f t="shared" ref="AZ118:AZ136" si="338">AW118=O118</f>
        <v>1</v>
      </c>
      <c r="BA118" s="125">
        <v>0</v>
      </c>
      <c r="BB118" s="140">
        <f t="shared" ref="BB118:BB136" si="339">AW118-BA118</f>
        <v>620</v>
      </c>
      <c r="BC118" s="141">
        <v>0</v>
      </c>
      <c r="BD118" s="140" t="s">
        <v>107</v>
      </c>
      <c r="BE118" s="141">
        <v>0</v>
      </c>
      <c r="BF118" s="140">
        <v>0</v>
      </c>
      <c r="BG118" s="141">
        <v>0</v>
      </c>
      <c r="BH118" s="127">
        <v>0</v>
      </c>
      <c r="BI118" s="130">
        <v>0</v>
      </c>
      <c r="BJ118" s="128">
        <v>0</v>
      </c>
      <c r="BK118" s="125">
        <v>0</v>
      </c>
      <c r="BL118" s="136">
        <v>0</v>
      </c>
      <c r="BM118" s="127">
        <v>0</v>
      </c>
      <c r="BN118" s="142">
        <f t="shared" ref="BN118:BN136" si="340">AY118*$BN$3</f>
        <v>0</v>
      </c>
      <c r="BO118" s="126">
        <f t="shared" ref="BO118:BO136" si="341">AY118+BL118+BM118+BN118+BC118+BG118</f>
        <v>23560</v>
      </c>
      <c r="BP118" s="132">
        <f t="shared" ref="BP118:BP136" si="342">BO118-AM118</f>
        <v>3100</v>
      </c>
      <c r="BQ118" s="141" t="str">
        <f t="shared" ref="BQ118:BQ136" si="343">IF(BP118&gt;=0,"Positive Margin","Negative Margin")</f>
        <v>Positive Margin</v>
      </c>
      <c r="BR118" s="143" t="s">
        <v>119</v>
      </c>
      <c r="BS118" s="125">
        <f t="shared" ref="BS118:BS136" si="344">AY118-Y118-Q118-AA118-T118+BC118</f>
        <v>3100</v>
      </c>
      <c r="BT118" s="144" t="str">
        <f t="shared" ref="BT118:BT136" si="345">IF(BS118&lt;0, "Negative Margin at Inception", "Positive Margin at Inception")</f>
        <v>Positive Margin at Inception</v>
      </c>
      <c r="BU118" s="145">
        <f t="shared" ref="BU118:BU136" si="346">IFERROR(BP118/BO118,"0")</f>
        <v>0.13157894736842105</v>
      </c>
      <c r="BV118" s="144" t="str">
        <f t="shared" ref="BV118:BV136" si="347">IF(BU118&lt;1%,"Less Than 1%",IF(BU118&gt;2%,"More than 2%",IF(BU118&gt;=1%,"1% - 2%")))</f>
        <v>More than 2%</v>
      </c>
      <c r="BW118" s="125">
        <f t="shared" ref="BW118:BW136" si="348">BM118+BN118</f>
        <v>0</v>
      </c>
      <c r="BX118" s="126">
        <f t="shared" ref="BX118:BX136" si="349">AL118+AK118</f>
        <v>0</v>
      </c>
      <c r="BY118" s="125">
        <f t="shared" ref="BY118:BY136" si="350">BW118-BX118</f>
        <v>0</v>
      </c>
      <c r="BZ118" s="146">
        <f t="shared" ref="BZ118:BZ136" si="351">BM118</f>
        <v>0</v>
      </c>
      <c r="CA118" s="146">
        <f t="shared" ref="CA118:CA136" si="352">AK118</f>
        <v>0</v>
      </c>
      <c r="CB118" s="127">
        <f t="shared" ref="CB118:CB136" si="353">BZ118-CA118</f>
        <v>0</v>
      </c>
      <c r="CC118" s="146" t="s">
        <v>397</v>
      </c>
      <c r="CD118" s="127">
        <v>0</v>
      </c>
      <c r="CE118" s="127" t="str">
        <f t="shared" ref="CE118:CE136" si="354">TEXT(AN118,"mmm-yy")</f>
        <v>May-26</v>
      </c>
      <c r="CF118" s="127">
        <f t="shared" ref="CF118:CF136" si="355">AM118-AL118-AA118</f>
        <v>20460</v>
      </c>
      <c r="CG118" s="127">
        <f t="shared" ref="CG118:CG136" si="356">BO118-BN118</f>
        <v>23560</v>
      </c>
      <c r="CH118" s="127">
        <f t="shared" ref="CH118:CH136" si="357">INT((D118- IF(MONTH(D118) &gt;= 4, DATE(YEAR(D118), 4, 1), DATE(YEAR(D118)-1, 4, 1))) / 7) + 1</f>
        <v>6</v>
      </c>
      <c r="CI118" s="147" t="str">
        <f t="shared" ref="CI118:CI136" si="358">IF(F118="BLACK GOLD RECYCLING PRIVATE LIMITED", "BG AHD", "B2B")</f>
        <v>BG AHD</v>
      </c>
      <c r="CJ118" s="127">
        <v>0</v>
      </c>
      <c r="CK118" s="127">
        <v>0</v>
      </c>
      <c r="CL118" s="127">
        <f t="shared" ref="CL118:CL136" si="359">AY118-Q118</f>
        <v>3100</v>
      </c>
      <c r="CM118" s="127">
        <f t="shared" ref="CM118:CM136" si="360">CL118-Y118+Z118</f>
        <v>3100</v>
      </c>
      <c r="CN118" s="127">
        <f t="shared" ref="CN118:CN136" si="361">BO118-AM118</f>
        <v>3100</v>
      </c>
      <c r="CO118" s="127">
        <f t="shared" ref="CO118:CO136" si="362">AY118*118%</f>
        <v>27800.799999999999</v>
      </c>
      <c r="CP118" s="127">
        <f t="shared" ref="CP118:CP136" si="363">-Q118*118%</f>
        <v>-24142.799999999999</v>
      </c>
      <c r="CQ118" s="127">
        <f t="shared" ref="CQ118:CQ136" si="364">-BZ118*118%</f>
        <v>0</v>
      </c>
      <c r="CR118" s="127">
        <f t="shared" ref="CR118:CR136" si="365">-CA118*118%</f>
        <v>0</v>
      </c>
      <c r="CS118" s="127">
        <f t="shared" ref="CS118:CS136" si="366">SUM(CO118:CR118)</f>
        <v>3658</v>
      </c>
      <c r="CT118" s="127" t="s">
        <v>361</v>
      </c>
      <c r="CU118" s="127" t="s">
        <v>361</v>
      </c>
      <c r="CV118" s="142" t="str">
        <f t="shared" ref="CV118:CV136" si="367">MID(G118,3,10)</f>
        <v>AAMCB5608A</v>
      </c>
      <c r="CW118" s="142" t="str">
        <f t="shared" ref="CW118:CW136" si="368">MID(AR118,3,10)</f>
        <v>BJHPB3107J</v>
      </c>
    </row>
    <row r="119" spans="2:101" s="149" customFormat="1" ht="11.85" customHeight="1" x14ac:dyDescent="0.25">
      <c r="B119" s="120" t="str">
        <f t="shared" si="298"/>
        <v>Q1</v>
      </c>
      <c r="C119" s="121" t="str">
        <f t="shared" si="299"/>
        <v>May-26</v>
      </c>
      <c r="D119" s="122">
        <v>46154</v>
      </c>
      <c r="E119" s="123" t="s">
        <v>3568</v>
      </c>
      <c r="F119" s="123" t="s">
        <v>196</v>
      </c>
      <c r="G119" s="123" t="s">
        <v>198</v>
      </c>
      <c r="H119" s="124" t="s">
        <v>3569</v>
      </c>
      <c r="I119" s="122">
        <v>46154</v>
      </c>
      <c r="J119" s="123" t="s">
        <v>3570</v>
      </c>
      <c r="K119" s="122">
        <v>46154</v>
      </c>
      <c r="L119" s="123" t="s">
        <v>199</v>
      </c>
      <c r="M119" s="123" t="s">
        <v>3462</v>
      </c>
      <c r="N119" s="124" t="s">
        <v>3571</v>
      </c>
      <c r="O119" s="123">
        <v>2360</v>
      </c>
      <c r="P119" s="124">
        <v>10</v>
      </c>
      <c r="Q119" s="125">
        <f t="shared" si="300"/>
        <v>23600</v>
      </c>
      <c r="R119" s="126">
        <v>0</v>
      </c>
      <c r="S119" s="125">
        <f t="shared" si="301"/>
        <v>2360</v>
      </c>
      <c r="T119" s="126">
        <v>0</v>
      </c>
      <c r="U119" s="127">
        <v>0</v>
      </c>
      <c r="V119" s="128">
        <v>0</v>
      </c>
      <c r="W119" s="127">
        <v>0</v>
      </c>
      <c r="X119" s="129">
        <v>0</v>
      </c>
      <c r="Y119" s="127">
        <v>0</v>
      </c>
      <c r="Z119" s="127">
        <v>0</v>
      </c>
      <c r="AA119" s="126">
        <v>0</v>
      </c>
      <c r="AB119" s="130">
        <f t="shared" si="302"/>
        <v>0</v>
      </c>
      <c r="AC119" s="129">
        <v>0</v>
      </c>
      <c r="AD119" s="125">
        <f t="shared" si="303"/>
        <v>10</v>
      </c>
      <c r="AE119" s="144">
        <v>0</v>
      </c>
      <c r="AF119" s="127">
        <v>0</v>
      </c>
      <c r="AG119" s="131">
        <v>0</v>
      </c>
      <c r="AH119" s="127">
        <v>0</v>
      </c>
      <c r="AI119" s="128">
        <v>0</v>
      </c>
      <c r="AJ119" s="127">
        <v>0</v>
      </c>
      <c r="AK119" s="127">
        <v>0</v>
      </c>
      <c r="AL119" s="127">
        <v>0</v>
      </c>
      <c r="AM119" s="132">
        <f t="shared" si="304"/>
        <v>23600</v>
      </c>
      <c r="AN119" s="133">
        <v>46154</v>
      </c>
      <c r="AO119" s="134" t="s">
        <v>3614</v>
      </c>
      <c r="AP119" s="135" t="s">
        <v>234</v>
      </c>
      <c r="AQ119" s="136" t="s">
        <v>235</v>
      </c>
      <c r="AR119" s="136" t="s">
        <v>236</v>
      </c>
      <c r="AS119" s="123" t="s">
        <v>2006</v>
      </c>
      <c r="AT119" s="137" t="s">
        <v>238</v>
      </c>
      <c r="AU119" s="137" t="s">
        <v>197</v>
      </c>
      <c r="AV119" s="138" t="s">
        <v>329</v>
      </c>
      <c r="AW119" s="136">
        <v>2360</v>
      </c>
      <c r="AX119" s="138">
        <v>12</v>
      </c>
      <c r="AY119" s="136">
        <f t="shared" si="337"/>
        <v>28320</v>
      </c>
      <c r="AZ119" s="139" t="b">
        <f t="shared" si="338"/>
        <v>1</v>
      </c>
      <c r="BA119" s="125">
        <v>0</v>
      </c>
      <c r="BB119" s="140">
        <f t="shared" si="339"/>
        <v>2360</v>
      </c>
      <c r="BC119" s="141">
        <v>0</v>
      </c>
      <c r="BD119" s="140" t="s">
        <v>107</v>
      </c>
      <c r="BE119" s="141">
        <v>0</v>
      </c>
      <c r="BF119" s="140">
        <v>0</v>
      </c>
      <c r="BG119" s="141">
        <v>0</v>
      </c>
      <c r="BH119" s="127">
        <v>0</v>
      </c>
      <c r="BI119" s="130">
        <v>0</v>
      </c>
      <c r="BJ119" s="128">
        <v>0</v>
      </c>
      <c r="BK119" s="125">
        <v>0</v>
      </c>
      <c r="BL119" s="136">
        <v>0</v>
      </c>
      <c r="BM119" s="127">
        <v>0</v>
      </c>
      <c r="BN119" s="142">
        <f t="shared" si="340"/>
        <v>0</v>
      </c>
      <c r="BO119" s="126">
        <f t="shared" si="341"/>
        <v>28320</v>
      </c>
      <c r="BP119" s="132">
        <f t="shared" si="342"/>
        <v>4720</v>
      </c>
      <c r="BQ119" s="141" t="str">
        <f t="shared" si="343"/>
        <v>Positive Margin</v>
      </c>
      <c r="BR119" s="143" t="s">
        <v>119</v>
      </c>
      <c r="BS119" s="125">
        <f t="shared" si="344"/>
        <v>4720</v>
      </c>
      <c r="BT119" s="144" t="str">
        <f t="shared" si="345"/>
        <v>Positive Margin at Inception</v>
      </c>
      <c r="BU119" s="145">
        <f t="shared" si="346"/>
        <v>0.16666666666666666</v>
      </c>
      <c r="BV119" s="144" t="str">
        <f t="shared" si="347"/>
        <v>More than 2%</v>
      </c>
      <c r="BW119" s="125">
        <f t="shared" si="348"/>
        <v>0</v>
      </c>
      <c r="BX119" s="126">
        <f t="shared" si="349"/>
        <v>0</v>
      </c>
      <c r="BY119" s="125">
        <f t="shared" si="350"/>
        <v>0</v>
      </c>
      <c r="BZ119" s="146">
        <f t="shared" si="351"/>
        <v>0</v>
      </c>
      <c r="CA119" s="146">
        <f t="shared" si="352"/>
        <v>0</v>
      </c>
      <c r="CB119" s="127">
        <f t="shared" si="353"/>
        <v>0</v>
      </c>
      <c r="CC119" s="146" t="s">
        <v>397</v>
      </c>
      <c r="CD119" s="127">
        <v>0</v>
      </c>
      <c r="CE119" s="127" t="str">
        <f t="shared" si="354"/>
        <v>May-26</v>
      </c>
      <c r="CF119" s="127">
        <f t="shared" si="355"/>
        <v>23600</v>
      </c>
      <c r="CG119" s="127">
        <f t="shared" si="356"/>
        <v>28320</v>
      </c>
      <c r="CH119" s="127">
        <f t="shared" si="357"/>
        <v>6</v>
      </c>
      <c r="CI119" s="147" t="str">
        <f t="shared" si="358"/>
        <v>BG AHD</v>
      </c>
      <c r="CJ119" s="127">
        <v>0</v>
      </c>
      <c r="CK119" s="127">
        <v>0</v>
      </c>
      <c r="CL119" s="127">
        <f t="shared" si="359"/>
        <v>4720</v>
      </c>
      <c r="CM119" s="127">
        <f t="shared" si="360"/>
        <v>4720</v>
      </c>
      <c r="CN119" s="127">
        <f t="shared" si="361"/>
        <v>4720</v>
      </c>
      <c r="CO119" s="127">
        <f t="shared" si="362"/>
        <v>33417.599999999999</v>
      </c>
      <c r="CP119" s="127">
        <f t="shared" si="363"/>
        <v>-27848</v>
      </c>
      <c r="CQ119" s="127">
        <f t="shared" si="364"/>
        <v>0</v>
      </c>
      <c r="CR119" s="127">
        <f t="shared" si="365"/>
        <v>0</v>
      </c>
      <c r="CS119" s="127">
        <f t="shared" si="366"/>
        <v>5569.5999999999985</v>
      </c>
      <c r="CT119" s="127" t="s">
        <v>361</v>
      </c>
      <c r="CU119" s="127" t="s">
        <v>361</v>
      </c>
      <c r="CV119" s="142" t="str">
        <f t="shared" si="367"/>
        <v>AAMCB5608A</v>
      </c>
      <c r="CW119" s="142" t="str">
        <f t="shared" si="368"/>
        <v>BJHPB3107J</v>
      </c>
    </row>
    <row r="120" spans="2:101" s="149" customFormat="1" ht="11.85" customHeight="1" x14ac:dyDescent="0.25">
      <c r="B120" s="120" t="str">
        <f t="shared" si="298"/>
        <v>Q1</v>
      </c>
      <c r="C120" s="121" t="str">
        <f t="shared" si="299"/>
        <v>May-26</v>
      </c>
      <c r="D120" s="122">
        <v>46154</v>
      </c>
      <c r="E120" s="123" t="s">
        <v>3568</v>
      </c>
      <c r="F120" s="123" t="s">
        <v>196</v>
      </c>
      <c r="G120" s="123" t="s">
        <v>198</v>
      </c>
      <c r="H120" s="124" t="s">
        <v>3569</v>
      </c>
      <c r="I120" s="122">
        <v>46154</v>
      </c>
      <c r="J120" s="123" t="s">
        <v>3570</v>
      </c>
      <c r="K120" s="122">
        <v>46154</v>
      </c>
      <c r="L120" s="123" t="s">
        <v>199</v>
      </c>
      <c r="M120" s="123" t="s">
        <v>3462</v>
      </c>
      <c r="N120" s="124" t="s">
        <v>294</v>
      </c>
      <c r="O120" s="123">
        <v>165</v>
      </c>
      <c r="P120" s="124">
        <v>20</v>
      </c>
      <c r="Q120" s="125">
        <f t="shared" si="300"/>
        <v>3300</v>
      </c>
      <c r="R120" s="126">
        <v>0</v>
      </c>
      <c r="S120" s="125">
        <f t="shared" si="301"/>
        <v>165</v>
      </c>
      <c r="T120" s="126">
        <v>0</v>
      </c>
      <c r="U120" s="127">
        <v>0</v>
      </c>
      <c r="V120" s="128">
        <v>0</v>
      </c>
      <c r="W120" s="127">
        <v>0</v>
      </c>
      <c r="X120" s="129">
        <v>0</v>
      </c>
      <c r="Y120" s="127">
        <v>0</v>
      </c>
      <c r="Z120" s="127">
        <v>0</v>
      </c>
      <c r="AA120" s="126">
        <v>0</v>
      </c>
      <c r="AB120" s="130">
        <f t="shared" si="302"/>
        <v>0</v>
      </c>
      <c r="AC120" s="129">
        <v>0</v>
      </c>
      <c r="AD120" s="125">
        <f t="shared" si="303"/>
        <v>20</v>
      </c>
      <c r="AE120" s="144">
        <v>0</v>
      </c>
      <c r="AF120" s="127">
        <v>0</v>
      </c>
      <c r="AG120" s="131">
        <v>0</v>
      </c>
      <c r="AH120" s="127">
        <v>0</v>
      </c>
      <c r="AI120" s="128">
        <v>0</v>
      </c>
      <c r="AJ120" s="127">
        <v>0</v>
      </c>
      <c r="AK120" s="127">
        <v>0</v>
      </c>
      <c r="AL120" s="127">
        <v>0</v>
      </c>
      <c r="AM120" s="132">
        <f t="shared" si="304"/>
        <v>3300</v>
      </c>
      <c r="AN120" s="133">
        <v>46154</v>
      </c>
      <c r="AO120" s="134" t="s">
        <v>3614</v>
      </c>
      <c r="AP120" s="135" t="s">
        <v>234</v>
      </c>
      <c r="AQ120" s="136" t="s">
        <v>235</v>
      </c>
      <c r="AR120" s="136" t="s">
        <v>236</v>
      </c>
      <c r="AS120" s="123" t="s">
        <v>2006</v>
      </c>
      <c r="AT120" s="137" t="s">
        <v>238</v>
      </c>
      <c r="AU120" s="137" t="s">
        <v>197</v>
      </c>
      <c r="AV120" s="138" t="s">
        <v>329</v>
      </c>
      <c r="AW120" s="136">
        <v>165</v>
      </c>
      <c r="AX120" s="138">
        <v>35</v>
      </c>
      <c r="AY120" s="136">
        <f t="shared" si="337"/>
        <v>5775</v>
      </c>
      <c r="AZ120" s="139" t="b">
        <f t="shared" si="338"/>
        <v>1</v>
      </c>
      <c r="BA120" s="125">
        <v>0</v>
      </c>
      <c r="BB120" s="140">
        <f t="shared" si="339"/>
        <v>165</v>
      </c>
      <c r="BC120" s="141">
        <v>0</v>
      </c>
      <c r="BD120" s="140" t="s">
        <v>107</v>
      </c>
      <c r="BE120" s="141">
        <v>0</v>
      </c>
      <c r="BF120" s="140">
        <v>0</v>
      </c>
      <c r="BG120" s="141">
        <v>0</v>
      </c>
      <c r="BH120" s="127">
        <v>0</v>
      </c>
      <c r="BI120" s="130">
        <v>0</v>
      </c>
      <c r="BJ120" s="128">
        <v>0</v>
      </c>
      <c r="BK120" s="125">
        <v>0</v>
      </c>
      <c r="BL120" s="136">
        <v>0</v>
      </c>
      <c r="BM120" s="127">
        <v>0</v>
      </c>
      <c r="BN120" s="142">
        <f t="shared" si="340"/>
        <v>0</v>
      </c>
      <c r="BO120" s="126">
        <f t="shared" si="341"/>
        <v>5775</v>
      </c>
      <c r="BP120" s="132">
        <f t="shared" si="342"/>
        <v>2475</v>
      </c>
      <c r="BQ120" s="141" t="str">
        <f t="shared" si="343"/>
        <v>Positive Margin</v>
      </c>
      <c r="BR120" s="143" t="s">
        <v>119</v>
      </c>
      <c r="BS120" s="125">
        <f t="shared" si="344"/>
        <v>2475</v>
      </c>
      <c r="BT120" s="144" t="str">
        <f t="shared" si="345"/>
        <v>Positive Margin at Inception</v>
      </c>
      <c r="BU120" s="145">
        <f t="shared" si="346"/>
        <v>0.42857142857142855</v>
      </c>
      <c r="BV120" s="144" t="str">
        <f t="shared" si="347"/>
        <v>More than 2%</v>
      </c>
      <c r="BW120" s="125">
        <f t="shared" si="348"/>
        <v>0</v>
      </c>
      <c r="BX120" s="126">
        <f t="shared" si="349"/>
        <v>0</v>
      </c>
      <c r="BY120" s="125">
        <f t="shared" si="350"/>
        <v>0</v>
      </c>
      <c r="BZ120" s="146">
        <f t="shared" si="351"/>
        <v>0</v>
      </c>
      <c r="CA120" s="146">
        <f t="shared" si="352"/>
        <v>0</v>
      </c>
      <c r="CB120" s="127">
        <f t="shared" si="353"/>
        <v>0</v>
      </c>
      <c r="CC120" s="146" t="s">
        <v>397</v>
      </c>
      <c r="CD120" s="127">
        <v>0</v>
      </c>
      <c r="CE120" s="127" t="str">
        <f t="shared" si="354"/>
        <v>May-26</v>
      </c>
      <c r="CF120" s="127">
        <f t="shared" si="355"/>
        <v>3300</v>
      </c>
      <c r="CG120" s="127">
        <f t="shared" si="356"/>
        <v>5775</v>
      </c>
      <c r="CH120" s="127">
        <f t="shared" si="357"/>
        <v>6</v>
      </c>
      <c r="CI120" s="147" t="str">
        <f t="shared" si="358"/>
        <v>BG AHD</v>
      </c>
      <c r="CJ120" s="127">
        <v>0</v>
      </c>
      <c r="CK120" s="127">
        <v>0</v>
      </c>
      <c r="CL120" s="127">
        <f t="shared" si="359"/>
        <v>2475</v>
      </c>
      <c r="CM120" s="127">
        <f t="shared" si="360"/>
        <v>2475</v>
      </c>
      <c r="CN120" s="127">
        <f t="shared" si="361"/>
        <v>2475</v>
      </c>
      <c r="CO120" s="127">
        <f t="shared" si="362"/>
        <v>6814.5</v>
      </c>
      <c r="CP120" s="127">
        <f t="shared" si="363"/>
        <v>-3894</v>
      </c>
      <c r="CQ120" s="127">
        <f t="shared" si="364"/>
        <v>0</v>
      </c>
      <c r="CR120" s="127">
        <f t="shared" si="365"/>
        <v>0</v>
      </c>
      <c r="CS120" s="127">
        <f t="shared" si="366"/>
        <v>2920.5</v>
      </c>
      <c r="CT120" s="127" t="s">
        <v>361</v>
      </c>
      <c r="CU120" s="127" t="s">
        <v>361</v>
      </c>
      <c r="CV120" s="142" t="str">
        <f t="shared" si="367"/>
        <v>AAMCB5608A</v>
      </c>
      <c r="CW120" s="142" t="str">
        <f t="shared" si="368"/>
        <v>BJHPB3107J</v>
      </c>
    </row>
    <row r="121" spans="2:101" s="149" customFormat="1" ht="11.85" customHeight="1" x14ac:dyDescent="0.25">
      <c r="B121" s="120" t="str">
        <f t="shared" si="298"/>
        <v>Q1</v>
      </c>
      <c r="C121" s="121" t="str">
        <f t="shared" si="299"/>
        <v>May-26</v>
      </c>
      <c r="D121" s="122">
        <v>46155</v>
      </c>
      <c r="E121" s="123" t="s">
        <v>3572</v>
      </c>
      <c r="F121" s="123" t="s">
        <v>196</v>
      </c>
      <c r="G121" s="123" t="s">
        <v>198</v>
      </c>
      <c r="H121" s="124" t="s">
        <v>3573</v>
      </c>
      <c r="I121" s="122">
        <v>46155</v>
      </c>
      <c r="J121" s="123" t="s">
        <v>3574</v>
      </c>
      <c r="K121" s="122">
        <v>46155</v>
      </c>
      <c r="L121" s="123" t="s">
        <v>199</v>
      </c>
      <c r="M121" s="123" t="s">
        <v>3462</v>
      </c>
      <c r="N121" s="124" t="s">
        <v>353</v>
      </c>
      <c r="O121" s="123">
        <v>2400</v>
      </c>
      <c r="P121" s="124">
        <v>7</v>
      </c>
      <c r="Q121" s="125">
        <f t="shared" si="300"/>
        <v>16800</v>
      </c>
      <c r="R121" s="126">
        <v>0</v>
      </c>
      <c r="S121" s="125">
        <f t="shared" si="301"/>
        <v>2400</v>
      </c>
      <c r="T121" s="126">
        <v>0</v>
      </c>
      <c r="U121" s="127">
        <v>0</v>
      </c>
      <c r="V121" s="128">
        <v>0</v>
      </c>
      <c r="W121" s="127">
        <v>0</v>
      </c>
      <c r="X121" s="129">
        <v>0</v>
      </c>
      <c r="Y121" s="127">
        <v>0</v>
      </c>
      <c r="Z121" s="127">
        <v>0</v>
      </c>
      <c r="AA121" s="126">
        <v>0</v>
      </c>
      <c r="AB121" s="130">
        <f t="shared" si="302"/>
        <v>0</v>
      </c>
      <c r="AC121" s="129">
        <v>0</v>
      </c>
      <c r="AD121" s="125">
        <f t="shared" si="303"/>
        <v>7</v>
      </c>
      <c r="AE121" s="144">
        <v>0</v>
      </c>
      <c r="AF121" s="127">
        <v>0</v>
      </c>
      <c r="AG121" s="131">
        <v>0</v>
      </c>
      <c r="AH121" s="127">
        <v>0</v>
      </c>
      <c r="AI121" s="128">
        <v>0</v>
      </c>
      <c r="AJ121" s="127">
        <v>0</v>
      </c>
      <c r="AK121" s="127">
        <v>0</v>
      </c>
      <c r="AL121" s="127">
        <v>0</v>
      </c>
      <c r="AM121" s="132">
        <f t="shared" si="304"/>
        <v>16800</v>
      </c>
      <c r="AN121" s="133">
        <v>46155</v>
      </c>
      <c r="AO121" s="134" t="s">
        <v>3610</v>
      </c>
      <c r="AP121" s="135" t="s">
        <v>234</v>
      </c>
      <c r="AQ121" s="136" t="s">
        <v>235</v>
      </c>
      <c r="AR121" s="136" t="s">
        <v>236</v>
      </c>
      <c r="AS121" s="123" t="s">
        <v>2005</v>
      </c>
      <c r="AT121" s="137" t="s">
        <v>238</v>
      </c>
      <c r="AU121" s="137" t="s">
        <v>197</v>
      </c>
      <c r="AV121" s="138" t="s">
        <v>329</v>
      </c>
      <c r="AW121" s="136">
        <v>2400</v>
      </c>
      <c r="AX121" s="138">
        <v>13</v>
      </c>
      <c r="AY121" s="136">
        <f t="shared" si="337"/>
        <v>31200</v>
      </c>
      <c r="AZ121" s="139" t="b">
        <f t="shared" si="338"/>
        <v>1</v>
      </c>
      <c r="BA121" s="125">
        <v>0</v>
      </c>
      <c r="BB121" s="140">
        <f t="shared" si="339"/>
        <v>2400</v>
      </c>
      <c r="BC121" s="141">
        <v>0</v>
      </c>
      <c r="BD121" s="140" t="s">
        <v>107</v>
      </c>
      <c r="BE121" s="141">
        <v>0</v>
      </c>
      <c r="BF121" s="140">
        <v>0</v>
      </c>
      <c r="BG121" s="141">
        <v>0</v>
      </c>
      <c r="BH121" s="127">
        <v>0</v>
      </c>
      <c r="BI121" s="130">
        <v>0</v>
      </c>
      <c r="BJ121" s="128">
        <v>0</v>
      </c>
      <c r="BK121" s="125">
        <v>0</v>
      </c>
      <c r="BL121" s="136">
        <v>0</v>
      </c>
      <c r="BM121" s="127">
        <v>0</v>
      </c>
      <c r="BN121" s="142">
        <f t="shared" si="340"/>
        <v>0</v>
      </c>
      <c r="BO121" s="126">
        <f t="shared" si="341"/>
        <v>31200</v>
      </c>
      <c r="BP121" s="132">
        <f t="shared" si="342"/>
        <v>14400</v>
      </c>
      <c r="BQ121" s="141" t="str">
        <f t="shared" si="343"/>
        <v>Positive Margin</v>
      </c>
      <c r="BR121" s="143" t="s">
        <v>119</v>
      </c>
      <c r="BS121" s="125">
        <f t="shared" si="344"/>
        <v>14400</v>
      </c>
      <c r="BT121" s="144" t="str">
        <f t="shared" si="345"/>
        <v>Positive Margin at Inception</v>
      </c>
      <c r="BU121" s="145">
        <f t="shared" si="346"/>
        <v>0.46153846153846156</v>
      </c>
      <c r="BV121" s="144" t="str">
        <f t="shared" si="347"/>
        <v>More than 2%</v>
      </c>
      <c r="BW121" s="125">
        <f t="shared" si="348"/>
        <v>0</v>
      </c>
      <c r="BX121" s="126">
        <f t="shared" si="349"/>
        <v>0</v>
      </c>
      <c r="BY121" s="125">
        <f t="shared" si="350"/>
        <v>0</v>
      </c>
      <c r="BZ121" s="146">
        <f t="shared" si="351"/>
        <v>0</v>
      </c>
      <c r="CA121" s="146">
        <f t="shared" si="352"/>
        <v>0</v>
      </c>
      <c r="CB121" s="127">
        <f t="shared" si="353"/>
        <v>0</v>
      </c>
      <c r="CC121" s="146" t="s">
        <v>397</v>
      </c>
      <c r="CD121" s="127">
        <v>0</v>
      </c>
      <c r="CE121" s="127" t="str">
        <f t="shared" si="354"/>
        <v>May-26</v>
      </c>
      <c r="CF121" s="127">
        <f t="shared" si="355"/>
        <v>16800</v>
      </c>
      <c r="CG121" s="127">
        <f t="shared" si="356"/>
        <v>31200</v>
      </c>
      <c r="CH121" s="127">
        <f t="shared" si="357"/>
        <v>7</v>
      </c>
      <c r="CI121" s="147" t="str">
        <f t="shared" si="358"/>
        <v>BG AHD</v>
      </c>
      <c r="CJ121" s="127">
        <v>0</v>
      </c>
      <c r="CK121" s="127">
        <v>0</v>
      </c>
      <c r="CL121" s="127">
        <f t="shared" si="359"/>
        <v>14400</v>
      </c>
      <c r="CM121" s="127">
        <f t="shared" si="360"/>
        <v>14400</v>
      </c>
      <c r="CN121" s="127">
        <f t="shared" si="361"/>
        <v>14400</v>
      </c>
      <c r="CO121" s="127">
        <f t="shared" si="362"/>
        <v>36816</v>
      </c>
      <c r="CP121" s="127">
        <f t="shared" si="363"/>
        <v>-19824</v>
      </c>
      <c r="CQ121" s="127">
        <f t="shared" si="364"/>
        <v>0</v>
      </c>
      <c r="CR121" s="127">
        <f t="shared" si="365"/>
        <v>0</v>
      </c>
      <c r="CS121" s="127">
        <f t="shared" si="366"/>
        <v>16992</v>
      </c>
      <c r="CT121" s="127" t="s">
        <v>361</v>
      </c>
      <c r="CU121" s="127" t="s">
        <v>361</v>
      </c>
      <c r="CV121" s="142" t="str">
        <f t="shared" si="367"/>
        <v>AAMCB5608A</v>
      </c>
      <c r="CW121" s="142" t="str">
        <f t="shared" si="368"/>
        <v>BJHPB3107J</v>
      </c>
    </row>
    <row r="122" spans="2:101" s="149" customFormat="1" ht="11.85" customHeight="1" x14ac:dyDescent="0.25">
      <c r="B122" s="120" t="str">
        <f t="shared" si="298"/>
        <v>Q1</v>
      </c>
      <c r="C122" s="121" t="str">
        <f t="shared" si="299"/>
        <v>May-26</v>
      </c>
      <c r="D122" s="122">
        <v>46155</v>
      </c>
      <c r="E122" s="123" t="s">
        <v>3572</v>
      </c>
      <c r="F122" s="123" t="s">
        <v>196</v>
      </c>
      <c r="G122" s="123" t="s">
        <v>198</v>
      </c>
      <c r="H122" s="124" t="s">
        <v>3573</v>
      </c>
      <c r="I122" s="122">
        <v>46155</v>
      </c>
      <c r="J122" s="123" t="s">
        <v>3574</v>
      </c>
      <c r="K122" s="122">
        <v>46155</v>
      </c>
      <c r="L122" s="123" t="s">
        <v>199</v>
      </c>
      <c r="M122" s="123" t="s">
        <v>3462</v>
      </c>
      <c r="N122" s="124" t="s">
        <v>1422</v>
      </c>
      <c r="O122" s="123">
        <v>840</v>
      </c>
      <c r="P122" s="124">
        <v>13.5</v>
      </c>
      <c r="Q122" s="125">
        <f t="shared" si="300"/>
        <v>11340</v>
      </c>
      <c r="R122" s="126">
        <v>0</v>
      </c>
      <c r="S122" s="125">
        <f t="shared" si="301"/>
        <v>840</v>
      </c>
      <c r="T122" s="126">
        <v>0</v>
      </c>
      <c r="U122" s="127">
        <v>0</v>
      </c>
      <c r="V122" s="128">
        <v>0</v>
      </c>
      <c r="W122" s="127">
        <v>0</v>
      </c>
      <c r="X122" s="129">
        <v>0</v>
      </c>
      <c r="Y122" s="127">
        <v>0</v>
      </c>
      <c r="Z122" s="127">
        <v>0</v>
      </c>
      <c r="AA122" s="126">
        <v>0</v>
      </c>
      <c r="AB122" s="130">
        <f t="shared" si="302"/>
        <v>0</v>
      </c>
      <c r="AC122" s="129">
        <v>0</v>
      </c>
      <c r="AD122" s="125">
        <f t="shared" si="303"/>
        <v>13.5</v>
      </c>
      <c r="AE122" s="144">
        <v>0</v>
      </c>
      <c r="AF122" s="127">
        <v>0</v>
      </c>
      <c r="AG122" s="131">
        <v>0</v>
      </c>
      <c r="AH122" s="127">
        <v>0</v>
      </c>
      <c r="AI122" s="128">
        <v>0</v>
      </c>
      <c r="AJ122" s="127">
        <v>0</v>
      </c>
      <c r="AK122" s="127">
        <v>0</v>
      </c>
      <c r="AL122" s="127">
        <v>0</v>
      </c>
      <c r="AM122" s="132">
        <f t="shared" si="304"/>
        <v>11340</v>
      </c>
      <c r="AN122" s="133">
        <v>46155</v>
      </c>
      <c r="AO122" s="134" t="s">
        <v>3610</v>
      </c>
      <c r="AP122" s="135" t="s">
        <v>234</v>
      </c>
      <c r="AQ122" s="136" t="s">
        <v>235</v>
      </c>
      <c r="AR122" s="136" t="s">
        <v>236</v>
      </c>
      <c r="AS122" s="123" t="s">
        <v>2005</v>
      </c>
      <c r="AT122" s="137" t="s">
        <v>238</v>
      </c>
      <c r="AU122" s="137" t="s">
        <v>197</v>
      </c>
      <c r="AV122" s="138" t="s">
        <v>329</v>
      </c>
      <c r="AW122" s="136">
        <v>840</v>
      </c>
      <c r="AX122" s="138">
        <v>17</v>
      </c>
      <c r="AY122" s="136">
        <f t="shared" si="337"/>
        <v>14280</v>
      </c>
      <c r="AZ122" s="139" t="b">
        <f t="shared" si="338"/>
        <v>1</v>
      </c>
      <c r="BA122" s="125">
        <v>0</v>
      </c>
      <c r="BB122" s="140">
        <f t="shared" si="339"/>
        <v>840</v>
      </c>
      <c r="BC122" s="141">
        <v>0</v>
      </c>
      <c r="BD122" s="140" t="s">
        <v>107</v>
      </c>
      <c r="BE122" s="141">
        <v>0</v>
      </c>
      <c r="BF122" s="140">
        <v>0</v>
      </c>
      <c r="BG122" s="141">
        <v>0</v>
      </c>
      <c r="BH122" s="127">
        <v>0</v>
      </c>
      <c r="BI122" s="130">
        <v>0</v>
      </c>
      <c r="BJ122" s="128">
        <v>0</v>
      </c>
      <c r="BK122" s="125">
        <v>0</v>
      </c>
      <c r="BL122" s="136">
        <v>0</v>
      </c>
      <c r="BM122" s="127">
        <v>0</v>
      </c>
      <c r="BN122" s="142">
        <f t="shared" si="340"/>
        <v>0</v>
      </c>
      <c r="BO122" s="126">
        <f t="shared" si="341"/>
        <v>14280</v>
      </c>
      <c r="BP122" s="132">
        <f t="shared" si="342"/>
        <v>2940</v>
      </c>
      <c r="BQ122" s="141" t="str">
        <f t="shared" si="343"/>
        <v>Positive Margin</v>
      </c>
      <c r="BR122" s="143" t="s">
        <v>119</v>
      </c>
      <c r="BS122" s="125">
        <f t="shared" si="344"/>
        <v>2940</v>
      </c>
      <c r="BT122" s="144" t="str">
        <f t="shared" si="345"/>
        <v>Positive Margin at Inception</v>
      </c>
      <c r="BU122" s="145">
        <f t="shared" si="346"/>
        <v>0.20588235294117646</v>
      </c>
      <c r="BV122" s="144" t="str">
        <f t="shared" si="347"/>
        <v>More than 2%</v>
      </c>
      <c r="BW122" s="125">
        <f t="shared" si="348"/>
        <v>0</v>
      </c>
      <c r="BX122" s="126">
        <f t="shared" si="349"/>
        <v>0</v>
      </c>
      <c r="BY122" s="125">
        <f t="shared" si="350"/>
        <v>0</v>
      </c>
      <c r="BZ122" s="146">
        <f t="shared" si="351"/>
        <v>0</v>
      </c>
      <c r="CA122" s="146">
        <f t="shared" si="352"/>
        <v>0</v>
      </c>
      <c r="CB122" s="127">
        <f t="shared" si="353"/>
        <v>0</v>
      </c>
      <c r="CC122" s="146" t="s">
        <v>397</v>
      </c>
      <c r="CD122" s="127">
        <v>0</v>
      </c>
      <c r="CE122" s="127" t="str">
        <f t="shared" si="354"/>
        <v>May-26</v>
      </c>
      <c r="CF122" s="127">
        <f t="shared" si="355"/>
        <v>11340</v>
      </c>
      <c r="CG122" s="127">
        <f t="shared" si="356"/>
        <v>14280</v>
      </c>
      <c r="CH122" s="127">
        <f t="shared" si="357"/>
        <v>7</v>
      </c>
      <c r="CI122" s="147" t="str">
        <f t="shared" si="358"/>
        <v>BG AHD</v>
      </c>
      <c r="CJ122" s="127">
        <v>0</v>
      </c>
      <c r="CK122" s="127">
        <v>0</v>
      </c>
      <c r="CL122" s="127">
        <f t="shared" si="359"/>
        <v>2940</v>
      </c>
      <c r="CM122" s="127">
        <f t="shared" si="360"/>
        <v>2940</v>
      </c>
      <c r="CN122" s="127">
        <f t="shared" si="361"/>
        <v>2940</v>
      </c>
      <c r="CO122" s="127">
        <f t="shared" si="362"/>
        <v>16850.399999999998</v>
      </c>
      <c r="CP122" s="127">
        <f t="shared" si="363"/>
        <v>-13381.199999999999</v>
      </c>
      <c r="CQ122" s="127">
        <f t="shared" si="364"/>
        <v>0</v>
      </c>
      <c r="CR122" s="127">
        <f t="shared" si="365"/>
        <v>0</v>
      </c>
      <c r="CS122" s="127">
        <f t="shared" si="366"/>
        <v>3469.1999999999989</v>
      </c>
      <c r="CT122" s="127" t="s">
        <v>361</v>
      </c>
      <c r="CU122" s="127" t="s">
        <v>361</v>
      </c>
      <c r="CV122" s="142" t="str">
        <f t="shared" si="367"/>
        <v>AAMCB5608A</v>
      </c>
      <c r="CW122" s="142" t="str">
        <f t="shared" si="368"/>
        <v>BJHPB3107J</v>
      </c>
    </row>
    <row r="123" spans="2:101" s="149" customFormat="1" ht="11.85" customHeight="1" x14ac:dyDescent="0.25">
      <c r="B123" s="120" t="str">
        <f t="shared" si="298"/>
        <v>Q1</v>
      </c>
      <c r="C123" s="121" t="str">
        <f t="shared" si="299"/>
        <v>May-26</v>
      </c>
      <c r="D123" s="122">
        <v>46155</v>
      </c>
      <c r="E123" s="123" t="s">
        <v>3575</v>
      </c>
      <c r="F123" s="123" t="s">
        <v>196</v>
      </c>
      <c r="G123" s="123" t="s">
        <v>198</v>
      </c>
      <c r="H123" s="124" t="s">
        <v>3576</v>
      </c>
      <c r="I123" s="122">
        <v>46155</v>
      </c>
      <c r="J123" s="123" t="s">
        <v>3577</v>
      </c>
      <c r="K123" s="122">
        <v>46155</v>
      </c>
      <c r="L123" s="123" t="s">
        <v>199</v>
      </c>
      <c r="M123" s="123" t="s">
        <v>3578</v>
      </c>
      <c r="N123" s="124" t="s">
        <v>3375</v>
      </c>
      <c r="O123" s="123">
        <v>195</v>
      </c>
      <c r="P123" s="124">
        <v>350</v>
      </c>
      <c r="Q123" s="125">
        <f t="shared" si="300"/>
        <v>68250</v>
      </c>
      <c r="R123" s="126">
        <v>0</v>
      </c>
      <c r="S123" s="125">
        <f t="shared" si="301"/>
        <v>195</v>
      </c>
      <c r="T123" s="126">
        <v>0</v>
      </c>
      <c r="U123" s="127">
        <v>0</v>
      </c>
      <c r="V123" s="128">
        <v>0</v>
      </c>
      <c r="W123" s="127">
        <v>0</v>
      </c>
      <c r="X123" s="129">
        <v>0</v>
      </c>
      <c r="Y123" s="127">
        <v>0</v>
      </c>
      <c r="Z123" s="127">
        <v>0</v>
      </c>
      <c r="AA123" s="126">
        <v>0</v>
      </c>
      <c r="AB123" s="130">
        <f t="shared" si="302"/>
        <v>0</v>
      </c>
      <c r="AC123" s="129">
        <v>0</v>
      </c>
      <c r="AD123" s="125">
        <f t="shared" si="303"/>
        <v>350</v>
      </c>
      <c r="AE123" s="144">
        <v>0</v>
      </c>
      <c r="AF123" s="127">
        <v>0</v>
      </c>
      <c r="AG123" s="131">
        <v>0</v>
      </c>
      <c r="AH123" s="127">
        <v>0</v>
      </c>
      <c r="AI123" s="128">
        <v>0</v>
      </c>
      <c r="AJ123" s="127">
        <v>0</v>
      </c>
      <c r="AK123" s="127">
        <v>0</v>
      </c>
      <c r="AL123" s="127">
        <v>0</v>
      </c>
      <c r="AM123" s="132">
        <f t="shared" si="304"/>
        <v>68250</v>
      </c>
      <c r="AN123" s="133">
        <v>46155</v>
      </c>
      <c r="AO123" s="134" t="s">
        <v>3613</v>
      </c>
      <c r="AP123" s="135" t="s">
        <v>3405</v>
      </c>
      <c r="AQ123" s="136" t="s">
        <v>431</v>
      </c>
      <c r="AR123" s="136" t="s">
        <v>432</v>
      </c>
      <c r="AS123" s="123" t="s">
        <v>3406</v>
      </c>
      <c r="AT123" s="137" t="s">
        <v>3407</v>
      </c>
      <c r="AU123" s="137" t="s">
        <v>197</v>
      </c>
      <c r="AV123" s="138" t="s">
        <v>329</v>
      </c>
      <c r="AW123" s="136">
        <v>195</v>
      </c>
      <c r="AX123" s="138">
        <v>400</v>
      </c>
      <c r="AY123" s="136">
        <f t="shared" si="337"/>
        <v>78000</v>
      </c>
      <c r="AZ123" s="139" t="b">
        <f t="shared" si="338"/>
        <v>1</v>
      </c>
      <c r="BA123" s="125">
        <v>0</v>
      </c>
      <c r="BB123" s="140">
        <f t="shared" si="339"/>
        <v>195</v>
      </c>
      <c r="BC123" s="141">
        <v>0</v>
      </c>
      <c r="BD123" s="140" t="s">
        <v>107</v>
      </c>
      <c r="BE123" s="141">
        <v>0</v>
      </c>
      <c r="BF123" s="140">
        <v>0</v>
      </c>
      <c r="BG123" s="141">
        <v>0</v>
      </c>
      <c r="BH123" s="127">
        <v>0</v>
      </c>
      <c r="BI123" s="130">
        <v>0</v>
      </c>
      <c r="BJ123" s="128">
        <v>0</v>
      </c>
      <c r="BK123" s="125">
        <v>0</v>
      </c>
      <c r="BL123" s="136">
        <v>0</v>
      </c>
      <c r="BM123" s="127">
        <v>0</v>
      </c>
      <c r="BN123" s="142">
        <f t="shared" si="340"/>
        <v>0</v>
      </c>
      <c r="BO123" s="126">
        <f t="shared" si="341"/>
        <v>78000</v>
      </c>
      <c r="BP123" s="132">
        <f t="shared" si="342"/>
        <v>9750</v>
      </c>
      <c r="BQ123" s="141" t="str">
        <f t="shared" si="343"/>
        <v>Positive Margin</v>
      </c>
      <c r="BR123" s="143" t="s">
        <v>119</v>
      </c>
      <c r="BS123" s="125">
        <f t="shared" si="344"/>
        <v>9750</v>
      </c>
      <c r="BT123" s="144" t="str">
        <f t="shared" si="345"/>
        <v>Positive Margin at Inception</v>
      </c>
      <c r="BU123" s="145">
        <f t="shared" si="346"/>
        <v>0.125</v>
      </c>
      <c r="BV123" s="144" t="str">
        <f t="shared" si="347"/>
        <v>More than 2%</v>
      </c>
      <c r="BW123" s="125">
        <f t="shared" si="348"/>
        <v>0</v>
      </c>
      <c r="BX123" s="126">
        <f t="shared" si="349"/>
        <v>0</v>
      </c>
      <c r="BY123" s="125">
        <f t="shared" si="350"/>
        <v>0</v>
      </c>
      <c r="BZ123" s="146">
        <f t="shared" si="351"/>
        <v>0</v>
      </c>
      <c r="CA123" s="146">
        <f t="shared" si="352"/>
        <v>0</v>
      </c>
      <c r="CB123" s="127">
        <f t="shared" si="353"/>
        <v>0</v>
      </c>
      <c r="CC123" s="146" t="s">
        <v>397</v>
      </c>
      <c r="CD123" s="127">
        <v>0</v>
      </c>
      <c r="CE123" s="127" t="str">
        <f t="shared" si="354"/>
        <v>May-26</v>
      </c>
      <c r="CF123" s="127">
        <f t="shared" si="355"/>
        <v>68250</v>
      </c>
      <c r="CG123" s="127">
        <f t="shared" si="356"/>
        <v>78000</v>
      </c>
      <c r="CH123" s="127">
        <f t="shared" si="357"/>
        <v>7</v>
      </c>
      <c r="CI123" s="147" t="str">
        <f t="shared" si="358"/>
        <v>BG AHD</v>
      </c>
      <c r="CJ123" s="127">
        <v>0</v>
      </c>
      <c r="CK123" s="127">
        <v>0</v>
      </c>
      <c r="CL123" s="127">
        <f t="shared" si="359"/>
        <v>9750</v>
      </c>
      <c r="CM123" s="127">
        <f t="shared" si="360"/>
        <v>9750</v>
      </c>
      <c r="CN123" s="127">
        <f t="shared" si="361"/>
        <v>9750</v>
      </c>
      <c r="CO123" s="127">
        <f t="shared" si="362"/>
        <v>92040</v>
      </c>
      <c r="CP123" s="127">
        <f t="shared" si="363"/>
        <v>-80535</v>
      </c>
      <c r="CQ123" s="127">
        <f t="shared" si="364"/>
        <v>0</v>
      </c>
      <c r="CR123" s="127">
        <f t="shared" si="365"/>
        <v>0</v>
      </c>
      <c r="CS123" s="127">
        <f t="shared" si="366"/>
        <v>11505</v>
      </c>
      <c r="CT123" s="127" t="s">
        <v>361</v>
      </c>
      <c r="CU123" s="127" t="s">
        <v>361</v>
      </c>
      <c r="CV123" s="142" t="str">
        <f t="shared" si="367"/>
        <v>AAMCB5608A</v>
      </c>
      <c r="CW123" s="142" t="str">
        <f t="shared" si="368"/>
        <v>AEDFS4100C</v>
      </c>
    </row>
    <row r="124" spans="2:101" s="149" customFormat="1" ht="11.85" customHeight="1" x14ac:dyDescent="0.25">
      <c r="B124" s="120" t="str">
        <f t="shared" si="298"/>
        <v>Q1</v>
      </c>
      <c r="C124" s="121" t="str">
        <f t="shared" si="299"/>
        <v>May-26</v>
      </c>
      <c r="D124" s="122">
        <v>46155</v>
      </c>
      <c r="E124" s="123" t="s">
        <v>3579</v>
      </c>
      <c r="F124" s="123" t="s">
        <v>196</v>
      </c>
      <c r="G124" s="123" t="s">
        <v>198</v>
      </c>
      <c r="H124" s="124" t="s">
        <v>3580</v>
      </c>
      <c r="I124" s="122">
        <v>46155</v>
      </c>
      <c r="J124" s="123" t="s">
        <v>3581</v>
      </c>
      <c r="K124" s="122">
        <v>46155</v>
      </c>
      <c r="L124" s="123" t="s">
        <v>199</v>
      </c>
      <c r="M124" s="123" t="s">
        <v>3326</v>
      </c>
      <c r="N124" s="124" t="s">
        <v>242</v>
      </c>
      <c r="O124" s="123">
        <v>2820</v>
      </c>
      <c r="P124" s="124">
        <v>0.1</v>
      </c>
      <c r="Q124" s="125">
        <f t="shared" si="300"/>
        <v>282</v>
      </c>
      <c r="R124" s="126">
        <v>0</v>
      </c>
      <c r="S124" s="125">
        <f t="shared" si="301"/>
        <v>2820</v>
      </c>
      <c r="T124" s="126">
        <v>0</v>
      </c>
      <c r="U124" s="127">
        <v>0</v>
      </c>
      <c r="V124" s="128">
        <v>0</v>
      </c>
      <c r="W124" s="127">
        <v>0</v>
      </c>
      <c r="X124" s="129">
        <v>0</v>
      </c>
      <c r="Y124" s="127">
        <v>0</v>
      </c>
      <c r="Z124" s="127">
        <v>0</v>
      </c>
      <c r="AA124" s="126">
        <v>0</v>
      </c>
      <c r="AB124" s="130">
        <f t="shared" si="302"/>
        <v>0</v>
      </c>
      <c r="AC124" s="129">
        <v>0</v>
      </c>
      <c r="AD124" s="125">
        <f t="shared" si="303"/>
        <v>0.1</v>
      </c>
      <c r="AE124" s="144">
        <v>0</v>
      </c>
      <c r="AF124" s="127">
        <v>0</v>
      </c>
      <c r="AG124" s="131">
        <v>0</v>
      </c>
      <c r="AH124" s="127">
        <v>0</v>
      </c>
      <c r="AI124" s="128">
        <v>0</v>
      </c>
      <c r="AJ124" s="127">
        <v>0</v>
      </c>
      <c r="AK124" s="127">
        <v>0</v>
      </c>
      <c r="AL124" s="127">
        <v>0</v>
      </c>
      <c r="AM124" s="132">
        <f t="shared" si="304"/>
        <v>282</v>
      </c>
      <c r="AN124" s="133">
        <v>46155</v>
      </c>
      <c r="AO124" s="134" t="s">
        <v>3611</v>
      </c>
      <c r="AP124" s="135" t="s">
        <v>234</v>
      </c>
      <c r="AQ124" s="136" t="s">
        <v>235</v>
      </c>
      <c r="AR124" s="136" t="s">
        <v>236</v>
      </c>
      <c r="AS124" s="123" t="s">
        <v>239</v>
      </c>
      <c r="AT124" s="137" t="s">
        <v>238</v>
      </c>
      <c r="AU124" s="137" t="s">
        <v>197</v>
      </c>
      <c r="AV124" s="138" t="s">
        <v>329</v>
      </c>
      <c r="AW124" s="136">
        <v>2820</v>
      </c>
      <c r="AX124" s="138">
        <v>1.1000000000000001</v>
      </c>
      <c r="AY124" s="136">
        <f t="shared" si="337"/>
        <v>3102.0000000000005</v>
      </c>
      <c r="AZ124" s="139" t="b">
        <f t="shared" si="338"/>
        <v>1</v>
      </c>
      <c r="BA124" s="125">
        <v>0</v>
      </c>
      <c r="BB124" s="140">
        <f t="shared" si="339"/>
        <v>2820</v>
      </c>
      <c r="BC124" s="141">
        <v>0</v>
      </c>
      <c r="BD124" s="140" t="s">
        <v>107</v>
      </c>
      <c r="BE124" s="141">
        <v>0</v>
      </c>
      <c r="BF124" s="140">
        <v>0</v>
      </c>
      <c r="BG124" s="141">
        <v>0</v>
      </c>
      <c r="BH124" s="127">
        <v>0</v>
      </c>
      <c r="BI124" s="130">
        <v>0</v>
      </c>
      <c r="BJ124" s="128">
        <v>0</v>
      </c>
      <c r="BK124" s="125">
        <v>0</v>
      </c>
      <c r="BL124" s="136">
        <v>0</v>
      </c>
      <c r="BM124" s="127">
        <v>0</v>
      </c>
      <c r="BN124" s="142">
        <f t="shared" si="340"/>
        <v>0</v>
      </c>
      <c r="BO124" s="126">
        <f t="shared" si="341"/>
        <v>3102.0000000000005</v>
      </c>
      <c r="BP124" s="132">
        <f t="shared" si="342"/>
        <v>2820.0000000000005</v>
      </c>
      <c r="BQ124" s="141" t="str">
        <f t="shared" si="343"/>
        <v>Positive Margin</v>
      </c>
      <c r="BR124" s="143" t="s">
        <v>119</v>
      </c>
      <c r="BS124" s="125">
        <f t="shared" si="344"/>
        <v>2820.0000000000005</v>
      </c>
      <c r="BT124" s="144" t="str">
        <f t="shared" si="345"/>
        <v>Positive Margin at Inception</v>
      </c>
      <c r="BU124" s="145">
        <f t="shared" si="346"/>
        <v>0.90909090909090906</v>
      </c>
      <c r="BV124" s="144" t="str">
        <f t="shared" si="347"/>
        <v>More than 2%</v>
      </c>
      <c r="BW124" s="125">
        <f t="shared" si="348"/>
        <v>0</v>
      </c>
      <c r="BX124" s="126">
        <f t="shared" si="349"/>
        <v>0</v>
      </c>
      <c r="BY124" s="125">
        <f t="shared" si="350"/>
        <v>0</v>
      </c>
      <c r="BZ124" s="146">
        <f t="shared" si="351"/>
        <v>0</v>
      </c>
      <c r="CA124" s="146">
        <f t="shared" si="352"/>
        <v>0</v>
      </c>
      <c r="CB124" s="127">
        <f t="shared" si="353"/>
        <v>0</v>
      </c>
      <c r="CC124" s="146" t="s">
        <v>397</v>
      </c>
      <c r="CD124" s="127">
        <v>0</v>
      </c>
      <c r="CE124" s="127" t="str">
        <f t="shared" si="354"/>
        <v>May-26</v>
      </c>
      <c r="CF124" s="127">
        <f t="shared" si="355"/>
        <v>282</v>
      </c>
      <c r="CG124" s="127">
        <f t="shared" si="356"/>
        <v>3102.0000000000005</v>
      </c>
      <c r="CH124" s="127">
        <f t="shared" si="357"/>
        <v>7</v>
      </c>
      <c r="CI124" s="147" t="str">
        <f t="shared" si="358"/>
        <v>BG AHD</v>
      </c>
      <c r="CJ124" s="127">
        <v>0</v>
      </c>
      <c r="CK124" s="127">
        <v>0</v>
      </c>
      <c r="CL124" s="127">
        <f t="shared" si="359"/>
        <v>2820.0000000000005</v>
      </c>
      <c r="CM124" s="127">
        <f t="shared" si="360"/>
        <v>2820.0000000000005</v>
      </c>
      <c r="CN124" s="127">
        <f t="shared" si="361"/>
        <v>2820.0000000000005</v>
      </c>
      <c r="CO124" s="127">
        <f t="shared" si="362"/>
        <v>3660.36</v>
      </c>
      <c r="CP124" s="127">
        <f t="shared" si="363"/>
        <v>-332.76</v>
      </c>
      <c r="CQ124" s="127">
        <f t="shared" si="364"/>
        <v>0</v>
      </c>
      <c r="CR124" s="127">
        <f t="shared" si="365"/>
        <v>0</v>
      </c>
      <c r="CS124" s="127">
        <f t="shared" si="366"/>
        <v>3327.6000000000004</v>
      </c>
      <c r="CT124" s="127" t="s">
        <v>361</v>
      </c>
      <c r="CU124" s="127" t="s">
        <v>361</v>
      </c>
      <c r="CV124" s="142" t="str">
        <f t="shared" si="367"/>
        <v>AAMCB5608A</v>
      </c>
      <c r="CW124" s="142" t="str">
        <f t="shared" si="368"/>
        <v>BJHPB3107J</v>
      </c>
    </row>
    <row r="125" spans="2:101" s="149" customFormat="1" ht="11.85" customHeight="1" x14ac:dyDescent="0.25">
      <c r="B125" s="120" t="str">
        <f t="shared" si="298"/>
        <v>Q1</v>
      </c>
      <c r="C125" s="121" t="str">
        <f t="shared" si="299"/>
        <v>May-26</v>
      </c>
      <c r="D125" s="122">
        <v>46155</v>
      </c>
      <c r="E125" s="123" t="s">
        <v>3579</v>
      </c>
      <c r="F125" s="123" t="s">
        <v>196</v>
      </c>
      <c r="G125" s="123" t="s">
        <v>198</v>
      </c>
      <c r="H125" s="124" t="s">
        <v>3580</v>
      </c>
      <c r="I125" s="122">
        <v>46155</v>
      </c>
      <c r="J125" s="123" t="s">
        <v>3581</v>
      </c>
      <c r="K125" s="122">
        <v>46155</v>
      </c>
      <c r="L125" s="123" t="s">
        <v>199</v>
      </c>
      <c r="M125" s="123" t="s">
        <v>3326</v>
      </c>
      <c r="N125" s="124" t="s">
        <v>243</v>
      </c>
      <c r="O125" s="123">
        <v>44</v>
      </c>
      <c r="P125" s="124">
        <v>60</v>
      </c>
      <c r="Q125" s="125">
        <f t="shared" si="300"/>
        <v>2640</v>
      </c>
      <c r="R125" s="126">
        <v>0</v>
      </c>
      <c r="S125" s="125">
        <f t="shared" si="301"/>
        <v>44</v>
      </c>
      <c r="T125" s="126">
        <v>0</v>
      </c>
      <c r="U125" s="127">
        <v>0</v>
      </c>
      <c r="V125" s="128">
        <v>0</v>
      </c>
      <c r="W125" s="127">
        <v>0</v>
      </c>
      <c r="X125" s="129">
        <v>0</v>
      </c>
      <c r="Y125" s="127">
        <v>0</v>
      </c>
      <c r="Z125" s="127">
        <v>0</v>
      </c>
      <c r="AA125" s="126">
        <v>0</v>
      </c>
      <c r="AB125" s="130">
        <f t="shared" si="302"/>
        <v>0</v>
      </c>
      <c r="AC125" s="129">
        <v>0</v>
      </c>
      <c r="AD125" s="125">
        <f t="shared" si="303"/>
        <v>60</v>
      </c>
      <c r="AE125" s="144">
        <v>0</v>
      </c>
      <c r="AF125" s="127">
        <v>0</v>
      </c>
      <c r="AG125" s="131">
        <v>0</v>
      </c>
      <c r="AH125" s="127">
        <v>0</v>
      </c>
      <c r="AI125" s="128">
        <v>0</v>
      </c>
      <c r="AJ125" s="127">
        <v>0</v>
      </c>
      <c r="AK125" s="127">
        <v>0</v>
      </c>
      <c r="AL125" s="127">
        <v>0</v>
      </c>
      <c r="AM125" s="132">
        <f t="shared" si="304"/>
        <v>2640</v>
      </c>
      <c r="AN125" s="133">
        <v>46155</v>
      </c>
      <c r="AO125" s="134" t="s">
        <v>3611</v>
      </c>
      <c r="AP125" s="135" t="s">
        <v>234</v>
      </c>
      <c r="AQ125" s="136" t="s">
        <v>235</v>
      </c>
      <c r="AR125" s="136" t="s">
        <v>236</v>
      </c>
      <c r="AS125" s="123" t="s">
        <v>239</v>
      </c>
      <c r="AT125" s="137" t="s">
        <v>238</v>
      </c>
      <c r="AU125" s="137" t="s">
        <v>197</v>
      </c>
      <c r="AV125" s="138" t="s">
        <v>329</v>
      </c>
      <c r="AW125" s="136">
        <v>44</v>
      </c>
      <c r="AX125" s="138">
        <v>80</v>
      </c>
      <c r="AY125" s="136">
        <f t="shared" si="337"/>
        <v>3520</v>
      </c>
      <c r="AZ125" s="139" t="b">
        <f t="shared" si="338"/>
        <v>1</v>
      </c>
      <c r="BA125" s="125">
        <v>0</v>
      </c>
      <c r="BB125" s="140">
        <f t="shared" si="339"/>
        <v>44</v>
      </c>
      <c r="BC125" s="141">
        <v>0</v>
      </c>
      <c r="BD125" s="140" t="s">
        <v>107</v>
      </c>
      <c r="BE125" s="141">
        <v>0</v>
      </c>
      <c r="BF125" s="140">
        <v>0</v>
      </c>
      <c r="BG125" s="141">
        <v>0</v>
      </c>
      <c r="BH125" s="127">
        <v>0</v>
      </c>
      <c r="BI125" s="130">
        <v>0</v>
      </c>
      <c r="BJ125" s="128">
        <v>0</v>
      </c>
      <c r="BK125" s="125">
        <v>0</v>
      </c>
      <c r="BL125" s="136">
        <v>0</v>
      </c>
      <c r="BM125" s="127">
        <v>0</v>
      </c>
      <c r="BN125" s="142">
        <f t="shared" si="340"/>
        <v>0</v>
      </c>
      <c r="BO125" s="126">
        <f t="shared" si="341"/>
        <v>3520</v>
      </c>
      <c r="BP125" s="132">
        <f t="shared" si="342"/>
        <v>880</v>
      </c>
      <c r="BQ125" s="141" t="str">
        <f t="shared" si="343"/>
        <v>Positive Margin</v>
      </c>
      <c r="BR125" s="143" t="s">
        <v>119</v>
      </c>
      <c r="BS125" s="125">
        <f t="shared" si="344"/>
        <v>880</v>
      </c>
      <c r="BT125" s="144" t="str">
        <f t="shared" si="345"/>
        <v>Positive Margin at Inception</v>
      </c>
      <c r="BU125" s="145">
        <f t="shared" si="346"/>
        <v>0.25</v>
      </c>
      <c r="BV125" s="144" t="str">
        <f t="shared" si="347"/>
        <v>More than 2%</v>
      </c>
      <c r="BW125" s="125">
        <f t="shared" si="348"/>
        <v>0</v>
      </c>
      <c r="BX125" s="126">
        <f t="shared" si="349"/>
        <v>0</v>
      </c>
      <c r="BY125" s="125">
        <f t="shared" si="350"/>
        <v>0</v>
      </c>
      <c r="BZ125" s="146">
        <f t="shared" si="351"/>
        <v>0</v>
      </c>
      <c r="CA125" s="146">
        <f t="shared" si="352"/>
        <v>0</v>
      </c>
      <c r="CB125" s="127">
        <f t="shared" si="353"/>
        <v>0</v>
      </c>
      <c r="CC125" s="146" t="s">
        <v>397</v>
      </c>
      <c r="CD125" s="127">
        <v>0</v>
      </c>
      <c r="CE125" s="127" t="str">
        <f t="shared" si="354"/>
        <v>May-26</v>
      </c>
      <c r="CF125" s="127">
        <f t="shared" si="355"/>
        <v>2640</v>
      </c>
      <c r="CG125" s="127">
        <f t="shared" si="356"/>
        <v>3520</v>
      </c>
      <c r="CH125" s="127">
        <f t="shared" si="357"/>
        <v>7</v>
      </c>
      <c r="CI125" s="147" t="str">
        <f t="shared" si="358"/>
        <v>BG AHD</v>
      </c>
      <c r="CJ125" s="127">
        <v>0</v>
      </c>
      <c r="CK125" s="127">
        <v>0</v>
      </c>
      <c r="CL125" s="127">
        <f t="shared" si="359"/>
        <v>880</v>
      </c>
      <c r="CM125" s="127">
        <f t="shared" si="360"/>
        <v>880</v>
      </c>
      <c r="CN125" s="127">
        <f t="shared" si="361"/>
        <v>880</v>
      </c>
      <c r="CO125" s="127">
        <f t="shared" si="362"/>
        <v>4153.5999999999995</v>
      </c>
      <c r="CP125" s="127">
        <f t="shared" si="363"/>
        <v>-3115.2</v>
      </c>
      <c r="CQ125" s="127">
        <f t="shared" si="364"/>
        <v>0</v>
      </c>
      <c r="CR125" s="127">
        <f t="shared" si="365"/>
        <v>0</v>
      </c>
      <c r="CS125" s="127">
        <f t="shared" si="366"/>
        <v>1038.3999999999996</v>
      </c>
      <c r="CT125" s="127" t="s">
        <v>361</v>
      </c>
      <c r="CU125" s="127" t="s">
        <v>361</v>
      </c>
      <c r="CV125" s="142" t="str">
        <f t="shared" si="367"/>
        <v>AAMCB5608A</v>
      </c>
      <c r="CW125" s="142" t="str">
        <f t="shared" si="368"/>
        <v>BJHPB3107J</v>
      </c>
    </row>
    <row r="126" spans="2:101" s="149" customFormat="1" ht="11.85" customHeight="1" x14ac:dyDescent="0.25">
      <c r="B126" s="120" t="str">
        <f t="shared" si="298"/>
        <v>Q1</v>
      </c>
      <c r="C126" s="121" t="str">
        <f t="shared" si="299"/>
        <v>May-26</v>
      </c>
      <c r="D126" s="122">
        <v>46155</v>
      </c>
      <c r="E126" s="123" t="s">
        <v>3582</v>
      </c>
      <c r="F126" s="123" t="s">
        <v>196</v>
      </c>
      <c r="G126" s="123" t="s">
        <v>198</v>
      </c>
      <c r="H126" s="124" t="s">
        <v>3583</v>
      </c>
      <c r="I126" s="122">
        <v>46155</v>
      </c>
      <c r="J126" s="123" t="s">
        <v>3584</v>
      </c>
      <c r="K126" s="122">
        <v>46155</v>
      </c>
      <c r="L126" s="123" t="s">
        <v>199</v>
      </c>
      <c r="M126" s="123" t="s">
        <v>2432</v>
      </c>
      <c r="N126" s="124" t="s">
        <v>3585</v>
      </c>
      <c r="O126" s="123">
        <v>790</v>
      </c>
      <c r="P126" s="124">
        <v>14</v>
      </c>
      <c r="Q126" s="125">
        <f t="shared" si="300"/>
        <v>11060</v>
      </c>
      <c r="R126" s="126">
        <v>0</v>
      </c>
      <c r="S126" s="125">
        <f t="shared" si="301"/>
        <v>790</v>
      </c>
      <c r="T126" s="126">
        <v>0</v>
      </c>
      <c r="U126" s="127">
        <v>0</v>
      </c>
      <c r="V126" s="128">
        <v>0</v>
      </c>
      <c r="W126" s="127">
        <v>0</v>
      </c>
      <c r="X126" s="129">
        <v>0</v>
      </c>
      <c r="Y126" s="127">
        <v>0</v>
      </c>
      <c r="Z126" s="127">
        <v>0</v>
      </c>
      <c r="AA126" s="126">
        <v>0</v>
      </c>
      <c r="AB126" s="130">
        <f t="shared" si="302"/>
        <v>0</v>
      </c>
      <c r="AC126" s="129">
        <v>0</v>
      </c>
      <c r="AD126" s="125">
        <f t="shared" si="303"/>
        <v>14</v>
      </c>
      <c r="AE126" s="144">
        <v>0</v>
      </c>
      <c r="AF126" s="127">
        <v>0</v>
      </c>
      <c r="AG126" s="131">
        <v>0</v>
      </c>
      <c r="AH126" s="127">
        <v>0</v>
      </c>
      <c r="AI126" s="128">
        <v>0</v>
      </c>
      <c r="AJ126" s="127">
        <v>0</v>
      </c>
      <c r="AK126" s="127">
        <v>0</v>
      </c>
      <c r="AL126" s="127">
        <v>0</v>
      </c>
      <c r="AM126" s="132">
        <f t="shared" si="304"/>
        <v>11060</v>
      </c>
      <c r="AN126" s="133">
        <v>46155</v>
      </c>
      <c r="AO126" s="134" t="s">
        <v>3612</v>
      </c>
      <c r="AP126" s="135" t="s">
        <v>234</v>
      </c>
      <c r="AQ126" s="136" t="s">
        <v>235</v>
      </c>
      <c r="AR126" s="136" t="s">
        <v>236</v>
      </c>
      <c r="AS126" s="123" t="s">
        <v>237</v>
      </c>
      <c r="AT126" s="137" t="s">
        <v>238</v>
      </c>
      <c r="AU126" s="137" t="s">
        <v>197</v>
      </c>
      <c r="AV126" s="138" t="s">
        <v>329</v>
      </c>
      <c r="AW126" s="136">
        <v>790</v>
      </c>
      <c r="AX126" s="138">
        <v>16</v>
      </c>
      <c r="AY126" s="136">
        <f t="shared" si="337"/>
        <v>12640</v>
      </c>
      <c r="AZ126" s="139" t="b">
        <f t="shared" si="338"/>
        <v>1</v>
      </c>
      <c r="BA126" s="125">
        <v>0</v>
      </c>
      <c r="BB126" s="140">
        <f t="shared" si="339"/>
        <v>790</v>
      </c>
      <c r="BC126" s="141">
        <v>0</v>
      </c>
      <c r="BD126" s="140" t="s">
        <v>107</v>
      </c>
      <c r="BE126" s="141">
        <v>0</v>
      </c>
      <c r="BF126" s="140">
        <v>0</v>
      </c>
      <c r="BG126" s="141">
        <v>0</v>
      </c>
      <c r="BH126" s="127">
        <v>0</v>
      </c>
      <c r="BI126" s="130">
        <v>0</v>
      </c>
      <c r="BJ126" s="128">
        <v>0</v>
      </c>
      <c r="BK126" s="125">
        <v>0</v>
      </c>
      <c r="BL126" s="136">
        <v>0</v>
      </c>
      <c r="BM126" s="127">
        <v>0</v>
      </c>
      <c r="BN126" s="142">
        <f t="shared" si="340"/>
        <v>0</v>
      </c>
      <c r="BO126" s="126">
        <f t="shared" si="341"/>
        <v>12640</v>
      </c>
      <c r="BP126" s="132">
        <f t="shared" si="342"/>
        <v>1580</v>
      </c>
      <c r="BQ126" s="141" t="str">
        <f t="shared" si="343"/>
        <v>Positive Margin</v>
      </c>
      <c r="BR126" s="143" t="s">
        <v>119</v>
      </c>
      <c r="BS126" s="125">
        <f t="shared" si="344"/>
        <v>1580</v>
      </c>
      <c r="BT126" s="144" t="str">
        <f t="shared" si="345"/>
        <v>Positive Margin at Inception</v>
      </c>
      <c r="BU126" s="145">
        <f t="shared" si="346"/>
        <v>0.125</v>
      </c>
      <c r="BV126" s="144" t="str">
        <f t="shared" si="347"/>
        <v>More than 2%</v>
      </c>
      <c r="BW126" s="125">
        <f t="shared" si="348"/>
        <v>0</v>
      </c>
      <c r="BX126" s="126">
        <f t="shared" si="349"/>
        <v>0</v>
      </c>
      <c r="BY126" s="125">
        <f t="shared" si="350"/>
        <v>0</v>
      </c>
      <c r="BZ126" s="146">
        <f t="shared" si="351"/>
        <v>0</v>
      </c>
      <c r="CA126" s="146">
        <f t="shared" si="352"/>
        <v>0</v>
      </c>
      <c r="CB126" s="127">
        <f t="shared" si="353"/>
        <v>0</v>
      </c>
      <c r="CC126" s="146" t="s">
        <v>397</v>
      </c>
      <c r="CD126" s="127">
        <v>0</v>
      </c>
      <c r="CE126" s="127" t="str">
        <f t="shared" si="354"/>
        <v>May-26</v>
      </c>
      <c r="CF126" s="127">
        <f t="shared" si="355"/>
        <v>11060</v>
      </c>
      <c r="CG126" s="127">
        <f t="shared" si="356"/>
        <v>12640</v>
      </c>
      <c r="CH126" s="127">
        <f t="shared" si="357"/>
        <v>7</v>
      </c>
      <c r="CI126" s="147" t="str">
        <f t="shared" si="358"/>
        <v>BG AHD</v>
      </c>
      <c r="CJ126" s="127">
        <v>0</v>
      </c>
      <c r="CK126" s="127">
        <v>0</v>
      </c>
      <c r="CL126" s="127">
        <f t="shared" si="359"/>
        <v>1580</v>
      </c>
      <c r="CM126" s="127">
        <f t="shared" si="360"/>
        <v>1580</v>
      </c>
      <c r="CN126" s="127">
        <f t="shared" si="361"/>
        <v>1580</v>
      </c>
      <c r="CO126" s="127">
        <f t="shared" si="362"/>
        <v>14915.199999999999</v>
      </c>
      <c r="CP126" s="127">
        <f t="shared" si="363"/>
        <v>-13050.8</v>
      </c>
      <c r="CQ126" s="127">
        <f t="shared" si="364"/>
        <v>0</v>
      </c>
      <c r="CR126" s="127">
        <f t="shared" si="365"/>
        <v>0</v>
      </c>
      <c r="CS126" s="127">
        <f t="shared" si="366"/>
        <v>1864.3999999999996</v>
      </c>
      <c r="CT126" s="127" t="s">
        <v>361</v>
      </c>
      <c r="CU126" s="127" t="s">
        <v>361</v>
      </c>
      <c r="CV126" s="142" t="str">
        <f t="shared" si="367"/>
        <v>AAMCB5608A</v>
      </c>
      <c r="CW126" s="142" t="str">
        <f t="shared" si="368"/>
        <v>BJHPB3107J</v>
      </c>
    </row>
    <row r="127" spans="2:101" s="149" customFormat="1" ht="11.85" customHeight="1" x14ac:dyDescent="0.25">
      <c r="B127" s="120" t="str">
        <f t="shared" si="298"/>
        <v>Q1</v>
      </c>
      <c r="C127" s="121" t="str">
        <f t="shared" si="299"/>
        <v>May-26</v>
      </c>
      <c r="D127" s="122">
        <v>46155</v>
      </c>
      <c r="E127" s="123" t="s">
        <v>3582</v>
      </c>
      <c r="F127" s="123" t="s">
        <v>196</v>
      </c>
      <c r="G127" s="123" t="s">
        <v>198</v>
      </c>
      <c r="H127" s="124" t="s">
        <v>3583</v>
      </c>
      <c r="I127" s="122">
        <v>46155</v>
      </c>
      <c r="J127" s="123" t="s">
        <v>3584</v>
      </c>
      <c r="K127" s="122">
        <v>46155</v>
      </c>
      <c r="L127" s="123" t="s">
        <v>199</v>
      </c>
      <c r="M127" s="123" t="s">
        <v>2432</v>
      </c>
      <c r="N127" s="124" t="s">
        <v>268</v>
      </c>
      <c r="O127" s="123">
        <v>675</v>
      </c>
      <c r="P127" s="124">
        <v>125</v>
      </c>
      <c r="Q127" s="125">
        <f t="shared" si="300"/>
        <v>84375</v>
      </c>
      <c r="R127" s="126">
        <v>0</v>
      </c>
      <c r="S127" s="125">
        <f t="shared" si="301"/>
        <v>675</v>
      </c>
      <c r="T127" s="126">
        <v>0</v>
      </c>
      <c r="U127" s="127">
        <v>0</v>
      </c>
      <c r="V127" s="128">
        <v>0</v>
      </c>
      <c r="W127" s="127">
        <v>0</v>
      </c>
      <c r="X127" s="129">
        <v>0</v>
      </c>
      <c r="Y127" s="127">
        <v>0</v>
      </c>
      <c r="Z127" s="127">
        <v>0</v>
      </c>
      <c r="AA127" s="126">
        <v>0</v>
      </c>
      <c r="AB127" s="130">
        <f t="shared" si="302"/>
        <v>0</v>
      </c>
      <c r="AC127" s="129">
        <v>0</v>
      </c>
      <c r="AD127" s="125">
        <f t="shared" si="303"/>
        <v>125</v>
      </c>
      <c r="AE127" s="144">
        <v>0</v>
      </c>
      <c r="AF127" s="127">
        <v>0</v>
      </c>
      <c r="AG127" s="131">
        <v>0</v>
      </c>
      <c r="AH127" s="127">
        <v>0</v>
      </c>
      <c r="AI127" s="128">
        <v>0</v>
      </c>
      <c r="AJ127" s="127">
        <v>0</v>
      </c>
      <c r="AK127" s="127">
        <v>0</v>
      </c>
      <c r="AL127" s="127">
        <v>0</v>
      </c>
      <c r="AM127" s="132">
        <f t="shared" si="304"/>
        <v>84375</v>
      </c>
      <c r="AN127" s="133">
        <v>46155</v>
      </c>
      <c r="AO127" s="134" t="s">
        <v>3612</v>
      </c>
      <c r="AP127" s="135" t="s">
        <v>234</v>
      </c>
      <c r="AQ127" s="136" t="s">
        <v>235</v>
      </c>
      <c r="AR127" s="136" t="s">
        <v>236</v>
      </c>
      <c r="AS127" s="123" t="s">
        <v>237</v>
      </c>
      <c r="AT127" s="137" t="s">
        <v>238</v>
      </c>
      <c r="AU127" s="137" t="s">
        <v>197</v>
      </c>
      <c r="AV127" s="138" t="s">
        <v>329</v>
      </c>
      <c r="AW127" s="136">
        <v>675</v>
      </c>
      <c r="AX127" s="138">
        <v>130</v>
      </c>
      <c r="AY127" s="136">
        <f t="shared" si="337"/>
        <v>87750</v>
      </c>
      <c r="AZ127" s="139" t="b">
        <f t="shared" si="338"/>
        <v>1</v>
      </c>
      <c r="BA127" s="125">
        <v>0</v>
      </c>
      <c r="BB127" s="140">
        <f t="shared" si="339"/>
        <v>675</v>
      </c>
      <c r="BC127" s="141">
        <v>0</v>
      </c>
      <c r="BD127" s="140" t="s">
        <v>107</v>
      </c>
      <c r="BE127" s="141">
        <v>0</v>
      </c>
      <c r="BF127" s="140">
        <v>0</v>
      </c>
      <c r="BG127" s="141">
        <v>0</v>
      </c>
      <c r="BH127" s="127">
        <v>0</v>
      </c>
      <c r="BI127" s="130">
        <v>0</v>
      </c>
      <c r="BJ127" s="128">
        <v>0</v>
      </c>
      <c r="BK127" s="125">
        <v>0</v>
      </c>
      <c r="BL127" s="136">
        <v>0</v>
      </c>
      <c r="BM127" s="127">
        <v>0</v>
      </c>
      <c r="BN127" s="142">
        <f t="shared" si="340"/>
        <v>0</v>
      </c>
      <c r="BO127" s="126">
        <f t="shared" si="341"/>
        <v>87750</v>
      </c>
      <c r="BP127" s="132">
        <f t="shared" si="342"/>
        <v>3375</v>
      </c>
      <c r="BQ127" s="141" t="str">
        <f t="shared" si="343"/>
        <v>Positive Margin</v>
      </c>
      <c r="BR127" s="143" t="s">
        <v>119</v>
      </c>
      <c r="BS127" s="125">
        <f t="shared" si="344"/>
        <v>3375</v>
      </c>
      <c r="BT127" s="144" t="str">
        <f t="shared" si="345"/>
        <v>Positive Margin at Inception</v>
      </c>
      <c r="BU127" s="145">
        <f t="shared" si="346"/>
        <v>3.8461538461538464E-2</v>
      </c>
      <c r="BV127" s="144" t="str">
        <f t="shared" si="347"/>
        <v>More than 2%</v>
      </c>
      <c r="BW127" s="125">
        <f t="shared" si="348"/>
        <v>0</v>
      </c>
      <c r="BX127" s="126">
        <f t="shared" si="349"/>
        <v>0</v>
      </c>
      <c r="BY127" s="125">
        <f t="shared" si="350"/>
        <v>0</v>
      </c>
      <c r="BZ127" s="146">
        <f t="shared" si="351"/>
        <v>0</v>
      </c>
      <c r="CA127" s="146">
        <f t="shared" si="352"/>
        <v>0</v>
      </c>
      <c r="CB127" s="127">
        <f t="shared" si="353"/>
        <v>0</v>
      </c>
      <c r="CC127" s="146" t="s">
        <v>397</v>
      </c>
      <c r="CD127" s="127">
        <v>0</v>
      </c>
      <c r="CE127" s="127" t="str">
        <f t="shared" si="354"/>
        <v>May-26</v>
      </c>
      <c r="CF127" s="127">
        <f t="shared" si="355"/>
        <v>84375</v>
      </c>
      <c r="CG127" s="127">
        <f t="shared" si="356"/>
        <v>87750</v>
      </c>
      <c r="CH127" s="127">
        <f t="shared" si="357"/>
        <v>7</v>
      </c>
      <c r="CI127" s="147" t="str">
        <f t="shared" si="358"/>
        <v>BG AHD</v>
      </c>
      <c r="CJ127" s="127">
        <v>0</v>
      </c>
      <c r="CK127" s="127">
        <v>0</v>
      </c>
      <c r="CL127" s="127">
        <f t="shared" si="359"/>
        <v>3375</v>
      </c>
      <c r="CM127" s="127">
        <f t="shared" si="360"/>
        <v>3375</v>
      </c>
      <c r="CN127" s="127">
        <f t="shared" si="361"/>
        <v>3375</v>
      </c>
      <c r="CO127" s="127">
        <f t="shared" si="362"/>
        <v>103545</v>
      </c>
      <c r="CP127" s="127">
        <f t="shared" si="363"/>
        <v>-99562.5</v>
      </c>
      <c r="CQ127" s="127">
        <f t="shared" si="364"/>
        <v>0</v>
      </c>
      <c r="CR127" s="127">
        <f t="shared" si="365"/>
        <v>0</v>
      </c>
      <c r="CS127" s="127">
        <f t="shared" si="366"/>
        <v>3982.5</v>
      </c>
      <c r="CT127" s="127" t="s">
        <v>361</v>
      </c>
      <c r="CU127" s="127" t="s">
        <v>361</v>
      </c>
      <c r="CV127" s="142" t="str">
        <f t="shared" si="367"/>
        <v>AAMCB5608A</v>
      </c>
      <c r="CW127" s="142" t="str">
        <f t="shared" si="368"/>
        <v>BJHPB3107J</v>
      </c>
    </row>
    <row r="128" spans="2:101" s="149" customFormat="1" ht="11.85" customHeight="1" x14ac:dyDescent="0.25">
      <c r="B128" s="120" t="str">
        <f t="shared" si="298"/>
        <v>Q1</v>
      </c>
      <c r="C128" s="121" t="str">
        <f t="shared" si="299"/>
        <v>May-26</v>
      </c>
      <c r="D128" s="122">
        <v>46156</v>
      </c>
      <c r="E128" s="123" t="s">
        <v>3586</v>
      </c>
      <c r="F128" s="123" t="s">
        <v>196</v>
      </c>
      <c r="G128" s="123" t="s">
        <v>198</v>
      </c>
      <c r="H128" s="124" t="s">
        <v>3587</v>
      </c>
      <c r="I128" s="122">
        <v>46156</v>
      </c>
      <c r="J128" s="123" t="s">
        <v>3588</v>
      </c>
      <c r="K128" s="122">
        <v>46156</v>
      </c>
      <c r="L128" s="123" t="s">
        <v>199</v>
      </c>
      <c r="M128" s="123" t="s">
        <v>3589</v>
      </c>
      <c r="N128" s="124" t="s">
        <v>204</v>
      </c>
      <c r="O128" s="123">
        <v>7800</v>
      </c>
      <c r="P128" s="124">
        <v>10</v>
      </c>
      <c r="Q128" s="125">
        <f t="shared" si="300"/>
        <v>78000</v>
      </c>
      <c r="R128" s="126">
        <v>0</v>
      </c>
      <c r="S128" s="125">
        <f t="shared" si="301"/>
        <v>7800</v>
      </c>
      <c r="T128" s="126">
        <v>0</v>
      </c>
      <c r="U128" s="127">
        <v>0</v>
      </c>
      <c r="V128" s="128">
        <v>0</v>
      </c>
      <c r="W128" s="127">
        <v>0</v>
      </c>
      <c r="X128" s="129">
        <v>0</v>
      </c>
      <c r="Y128" s="127">
        <v>0</v>
      </c>
      <c r="Z128" s="127">
        <v>0</v>
      </c>
      <c r="AA128" s="126">
        <v>0</v>
      </c>
      <c r="AB128" s="130">
        <f t="shared" si="302"/>
        <v>0</v>
      </c>
      <c r="AC128" s="129">
        <v>0</v>
      </c>
      <c r="AD128" s="125">
        <f t="shared" si="303"/>
        <v>10</v>
      </c>
      <c r="AE128" s="144">
        <v>0</v>
      </c>
      <c r="AF128" s="127">
        <v>0</v>
      </c>
      <c r="AG128" s="131">
        <v>0</v>
      </c>
      <c r="AH128" s="127">
        <v>0</v>
      </c>
      <c r="AI128" s="128">
        <v>0</v>
      </c>
      <c r="AJ128" s="127">
        <v>0</v>
      </c>
      <c r="AK128" s="127">
        <v>0</v>
      </c>
      <c r="AL128" s="127">
        <v>0</v>
      </c>
      <c r="AM128" s="132">
        <f t="shared" si="304"/>
        <v>78000</v>
      </c>
      <c r="AN128" s="133">
        <v>46156</v>
      </c>
      <c r="AO128" s="134" t="s">
        <v>3620</v>
      </c>
      <c r="AP128" s="135" t="s">
        <v>234</v>
      </c>
      <c r="AQ128" s="136" t="s">
        <v>235</v>
      </c>
      <c r="AR128" s="136" t="s">
        <v>236</v>
      </c>
      <c r="AS128" s="123" t="s">
        <v>237</v>
      </c>
      <c r="AT128" s="137" t="s">
        <v>238</v>
      </c>
      <c r="AU128" s="137" t="s">
        <v>197</v>
      </c>
      <c r="AV128" s="138" t="s">
        <v>329</v>
      </c>
      <c r="AW128" s="136">
        <v>7800</v>
      </c>
      <c r="AX128" s="138">
        <v>12</v>
      </c>
      <c r="AY128" s="136">
        <f t="shared" si="337"/>
        <v>93600</v>
      </c>
      <c r="AZ128" s="139" t="b">
        <f t="shared" si="338"/>
        <v>1</v>
      </c>
      <c r="BA128" s="125">
        <v>0</v>
      </c>
      <c r="BB128" s="140">
        <f t="shared" si="339"/>
        <v>7800</v>
      </c>
      <c r="BC128" s="141">
        <v>0</v>
      </c>
      <c r="BD128" s="140" t="s">
        <v>107</v>
      </c>
      <c r="BE128" s="141">
        <v>0</v>
      </c>
      <c r="BF128" s="140">
        <v>0</v>
      </c>
      <c r="BG128" s="141">
        <v>0</v>
      </c>
      <c r="BH128" s="127">
        <v>0</v>
      </c>
      <c r="BI128" s="130">
        <v>0</v>
      </c>
      <c r="BJ128" s="128">
        <v>0</v>
      </c>
      <c r="BK128" s="125">
        <v>0</v>
      </c>
      <c r="BL128" s="136">
        <v>0</v>
      </c>
      <c r="BM128" s="127">
        <v>0</v>
      </c>
      <c r="BN128" s="142">
        <f t="shared" si="340"/>
        <v>0</v>
      </c>
      <c r="BO128" s="126">
        <f t="shared" si="341"/>
        <v>93600</v>
      </c>
      <c r="BP128" s="132">
        <f t="shared" si="342"/>
        <v>15600</v>
      </c>
      <c r="BQ128" s="141" t="str">
        <f t="shared" si="343"/>
        <v>Positive Margin</v>
      </c>
      <c r="BR128" s="143" t="s">
        <v>119</v>
      </c>
      <c r="BS128" s="125">
        <f t="shared" si="344"/>
        <v>15600</v>
      </c>
      <c r="BT128" s="144" t="str">
        <f t="shared" si="345"/>
        <v>Positive Margin at Inception</v>
      </c>
      <c r="BU128" s="145">
        <f t="shared" si="346"/>
        <v>0.16666666666666666</v>
      </c>
      <c r="BV128" s="144" t="str">
        <f t="shared" si="347"/>
        <v>More than 2%</v>
      </c>
      <c r="BW128" s="125">
        <f t="shared" si="348"/>
        <v>0</v>
      </c>
      <c r="BX128" s="126">
        <f t="shared" si="349"/>
        <v>0</v>
      </c>
      <c r="BY128" s="125">
        <f t="shared" si="350"/>
        <v>0</v>
      </c>
      <c r="BZ128" s="146">
        <f t="shared" si="351"/>
        <v>0</v>
      </c>
      <c r="CA128" s="146">
        <f t="shared" si="352"/>
        <v>0</v>
      </c>
      <c r="CB128" s="127">
        <f t="shared" si="353"/>
        <v>0</v>
      </c>
      <c r="CC128" s="146" t="s">
        <v>397</v>
      </c>
      <c r="CD128" s="127">
        <v>0</v>
      </c>
      <c r="CE128" s="127" t="str">
        <f t="shared" si="354"/>
        <v>May-26</v>
      </c>
      <c r="CF128" s="127">
        <f t="shared" si="355"/>
        <v>78000</v>
      </c>
      <c r="CG128" s="127">
        <f t="shared" si="356"/>
        <v>93600</v>
      </c>
      <c r="CH128" s="127">
        <f t="shared" si="357"/>
        <v>7</v>
      </c>
      <c r="CI128" s="147" t="str">
        <f t="shared" si="358"/>
        <v>BG AHD</v>
      </c>
      <c r="CJ128" s="127">
        <v>0</v>
      </c>
      <c r="CK128" s="127">
        <v>0</v>
      </c>
      <c r="CL128" s="127">
        <f t="shared" si="359"/>
        <v>15600</v>
      </c>
      <c r="CM128" s="127">
        <f t="shared" si="360"/>
        <v>15600</v>
      </c>
      <c r="CN128" s="127">
        <f t="shared" si="361"/>
        <v>15600</v>
      </c>
      <c r="CO128" s="127">
        <f t="shared" si="362"/>
        <v>110448</v>
      </c>
      <c r="CP128" s="127">
        <f t="shared" si="363"/>
        <v>-92040</v>
      </c>
      <c r="CQ128" s="127">
        <f t="shared" si="364"/>
        <v>0</v>
      </c>
      <c r="CR128" s="127">
        <f t="shared" si="365"/>
        <v>0</v>
      </c>
      <c r="CS128" s="127">
        <f t="shared" si="366"/>
        <v>18408</v>
      </c>
      <c r="CT128" s="127" t="s">
        <v>361</v>
      </c>
      <c r="CU128" s="127" t="s">
        <v>361</v>
      </c>
      <c r="CV128" s="142" t="str">
        <f t="shared" si="367"/>
        <v>AAMCB5608A</v>
      </c>
      <c r="CW128" s="142" t="str">
        <f t="shared" si="368"/>
        <v>BJHPB3107J</v>
      </c>
    </row>
    <row r="129" spans="2:101" s="149" customFormat="1" ht="11.85" customHeight="1" x14ac:dyDescent="0.25">
      <c r="B129" s="120" t="str">
        <f t="shared" si="298"/>
        <v>Q1</v>
      </c>
      <c r="C129" s="121" t="str">
        <f t="shared" si="299"/>
        <v>May-26</v>
      </c>
      <c r="D129" s="122">
        <v>46156</v>
      </c>
      <c r="E129" s="123" t="s">
        <v>3590</v>
      </c>
      <c r="F129" s="123" t="s">
        <v>196</v>
      </c>
      <c r="G129" s="123" t="s">
        <v>198</v>
      </c>
      <c r="H129" s="124" t="s">
        <v>3591</v>
      </c>
      <c r="I129" s="122">
        <v>46156</v>
      </c>
      <c r="J129" s="123" t="s">
        <v>3592</v>
      </c>
      <c r="K129" s="122">
        <v>46156</v>
      </c>
      <c r="L129" s="123" t="s">
        <v>199</v>
      </c>
      <c r="M129" s="123" t="s">
        <v>2331</v>
      </c>
      <c r="N129" s="124" t="s">
        <v>268</v>
      </c>
      <c r="O129" s="123">
        <v>775</v>
      </c>
      <c r="P129" s="124">
        <v>125</v>
      </c>
      <c r="Q129" s="125">
        <f t="shared" si="300"/>
        <v>96875</v>
      </c>
      <c r="R129" s="126">
        <v>0</v>
      </c>
      <c r="S129" s="125">
        <f t="shared" si="301"/>
        <v>775</v>
      </c>
      <c r="T129" s="126">
        <v>0</v>
      </c>
      <c r="U129" s="127">
        <v>0</v>
      </c>
      <c r="V129" s="128">
        <v>0</v>
      </c>
      <c r="W129" s="127">
        <v>0</v>
      </c>
      <c r="X129" s="129">
        <v>0</v>
      </c>
      <c r="Y129" s="127">
        <v>0</v>
      </c>
      <c r="Z129" s="127">
        <v>0</v>
      </c>
      <c r="AA129" s="126">
        <v>0</v>
      </c>
      <c r="AB129" s="130">
        <f t="shared" si="302"/>
        <v>0</v>
      </c>
      <c r="AC129" s="129">
        <v>0</v>
      </c>
      <c r="AD129" s="125">
        <f t="shared" si="303"/>
        <v>125</v>
      </c>
      <c r="AE129" s="144">
        <v>0</v>
      </c>
      <c r="AF129" s="127">
        <v>0</v>
      </c>
      <c r="AG129" s="131">
        <v>0</v>
      </c>
      <c r="AH129" s="127">
        <v>0</v>
      </c>
      <c r="AI129" s="128">
        <v>0</v>
      </c>
      <c r="AJ129" s="127">
        <v>0</v>
      </c>
      <c r="AK129" s="127">
        <v>0</v>
      </c>
      <c r="AL129" s="127">
        <v>0</v>
      </c>
      <c r="AM129" s="132">
        <f t="shared" si="304"/>
        <v>96875</v>
      </c>
      <c r="AN129" s="133">
        <v>46156</v>
      </c>
      <c r="AO129" s="134" t="s">
        <v>3616</v>
      </c>
      <c r="AP129" s="135" t="s">
        <v>234</v>
      </c>
      <c r="AQ129" s="136" t="s">
        <v>235</v>
      </c>
      <c r="AR129" s="136" t="s">
        <v>236</v>
      </c>
      <c r="AS129" s="123" t="s">
        <v>237</v>
      </c>
      <c r="AT129" s="137" t="s">
        <v>238</v>
      </c>
      <c r="AU129" s="137" t="s">
        <v>197</v>
      </c>
      <c r="AV129" s="138" t="s">
        <v>329</v>
      </c>
      <c r="AW129" s="136">
        <v>775</v>
      </c>
      <c r="AX129" s="138">
        <v>130</v>
      </c>
      <c r="AY129" s="136">
        <f t="shared" si="337"/>
        <v>100750</v>
      </c>
      <c r="AZ129" s="139" t="b">
        <f t="shared" si="338"/>
        <v>1</v>
      </c>
      <c r="BA129" s="125">
        <v>0</v>
      </c>
      <c r="BB129" s="140">
        <f t="shared" si="339"/>
        <v>775</v>
      </c>
      <c r="BC129" s="141">
        <v>0</v>
      </c>
      <c r="BD129" s="140" t="s">
        <v>107</v>
      </c>
      <c r="BE129" s="141">
        <v>0</v>
      </c>
      <c r="BF129" s="140">
        <v>0</v>
      </c>
      <c r="BG129" s="141">
        <v>0</v>
      </c>
      <c r="BH129" s="127">
        <v>0</v>
      </c>
      <c r="BI129" s="130">
        <v>0</v>
      </c>
      <c r="BJ129" s="128">
        <v>0</v>
      </c>
      <c r="BK129" s="125">
        <v>0</v>
      </c>
      <c r="BL129" s="136">
        <v>0</v>
      </c>
      <c r="BM129" s="127">
        <v>0</v>
      </c>
      <c r="BN129" s="142">
        <f t="shared" si="340"/>
        <v>0</v>
      </c>
      <c r="BO129" s="126">
        <f t="shared" si="341"/>
        <v>100750</v>
      </c>
      <c r="BP129" s="132">
        <f t="shared" si="342"/>
        <v>3875</v>
      </c>
      <c r="BQ129" s="141" t="str">
        <f t="shared" si="343"/>
        <v>Positive Margin</v>
      </c>
      <c r="BR129" s="143" t="s">
        <v>119</v>
      </c>
      <c r="BS129" s="125">
        <f t="shared" si="344"/>
        <v>3875</v>
      </c>
      <c r="BT129" s="144" t="str">
        <f t="shared" si="345"/>
        <v>Positive Margin at Inception</v>
      </c>
      <c r="BU129" s="145">
        <f t="shared" si="346"/>
        <v>3.8461538461538464E-2</v>
      </c>
      <c r="BV129" s="144" t="str">
        <f t="shared" si="347"/>
        <v>More than 2%</v>
      </c>
      <c r="BW129" s="125">
        <f t="shared" si="348"/>
        <v>0</v>
      </c>
      <c r="BX129" s="126">
        <f t="shared" si="349"/>
        <v>0</v>
      </c>
      <c r="BY129" s="125">
        <f t="shared" si="350"/>
        <v>0</v>
      </c>
      <c r="BZ129" s="146">
        <f t="shared" si="351"/>
        <v>0</v>
      </c>
      <c r="CA129" s="146">
        <f t="shared" si="352"/>
        <v>0</v>
      </c>
      <c r="CB129" s="127">
        <f t="shared" si="353"/>
        <v>0</v>
      </c>
      <c r="CC129" s="146" t="s">
        <v>397</v>
      </c>
      <c r="CD129" s="127">
        <v>0</v>
      </c>
      <c r="CE129" s="127" t="str">
        <f t="shared" si="354"/>
        <v>May-26</v>
      </c>
      <c r="CF129" s="127">
        <f t="shared" si="355"/>
        <v>96875</v>
      </c>
      <c r="CG129" s="127">
        <f t="shared" si="356"/>
        <v>100750</v>
      </c>
      <c r="CH129" s="127">
        <f t="shared" si="357"/>
        <v>7</v>
      </c>
      <c r="CI129" s="147" t="str">
        <f t="shared" si="358"/>
        <v>BG AHD</v>
      </c>
      <c r="CJ129" s="127">
        <v>0</v>
      </c>
      <c r="CK129" s="127">
        <v>0</v>
      </c>
      <c r="CL129" s="127">
        <f t="shared" si="359"/>
        <v>3875</v>
      </c>
      <c r="CM129" s="127">
        <f t="shared" si="360"/>
        <v>3875</v>
      </c>
      <c r="CN129" s="127">
        <f t="shared" si="361"/>
        <v>3875</v>
      </c>
      <c r="CO129" s="127">
        <f t="shared" si="362"/>
        <v>118885</v>
      </c>
      <c r="CP129" s="127">
        <f t="shared" si="363"/>
        <v>-114312.5</v>
      </c>
      <c r="CQ129" s="127">
        <f t="shared" si="364"/>
        <v>0</v>
      </c>
      <c r="CR129" s="127">
        <f t="shared" si="365"/>
        <v>0</v>
      </c>
      <c r="CS129" s="127">
        <f t="shared" si="366"/>
        <v>4572.5</v>
      </c>
      <c r="CT129" s="127" t="s">
        <v>361</v>
      </c>
      <c r="CU129" s="127" t="s">
        <v>361</v>
      </c>
      <c r="CV129" s="142" t="str">
        <f t="shared" si="367"/>
        <v>AAMCB5608A</v>
      </c>
      <c r="CW129" s="142" t="str">
        <f t="shared" si="368"/>
        <v>BJHPB3107J</v>
      </c>
    </row>
    <row r="130" spans="2:101" s="149" customFormat="1" ht="11.85" customHeight="1" x14ac:dyDescent="0.25">
      <c r="B130" s="120" t="str">
        <f t="shared" si="298"/>
        <v>Q1</v>
      </c>
      <c r="C130" s="121" t="str">
        <f t="shared" si="299"/>
        <v>May-26</v>
      </c>
      <c r="D130" s="122">
        <v>46156</v>
      </c>
      <c r="E130" s="123" t="s">
        <v>3593</v>
      </c>
      <c r="F130" s="123" t="s">
        <v>196</v>
      </c>
      <c r="G130" s="123" t="s">
        <v>198</v>
      </c>
      <c r="H130" s="124" t="s">
        <v>3594</v>
      </c>
      <c r="I130" s="122">
        <v>46156</v>
      </c>
      <c r="J130" s="123" t="s">
        <v>3595</v>
      </c>
      <c r="K130" s="122">
        <v>46156</v>
      </c>
      <c r="L130" s="123" t="s">
        <v>199</v>
      </c>
      <c r="M130" s="123" t="s">
        <v>244</v>
      </c>
      <c r="N130" s="124" t="s">
        <v>205</v>
      </c>
      <c r="O130" s="123">
        <v>410</v>
      </c>
      <c r="P130" s="124">
        <v>12</v>
      </c>
      <c r="Q130" s="125">
        <f t="shared" si="300"/>
        <v>4920</v>
      </c>
      <c r="R130" s="126">
        <v>0</v>
      </c>
      <c r="S130" s="125">
        <f t="shared" si="301"/>
        <v>410</v>
      </c>
      <c r="T130" s="126">
        <v>0</v>
      </c>
      <c r="U130" s="127">
        <v>0</v>
      </c>
      <c r="V130" s="128">
        <v>0</v>
      </c>
      <c r="W130" s="127">
        <v>0</v>
      </c>
      <c r="X130" s="129">
        <v>0</v>
      </c>
      <c r="Y130" s="127">
        <v>0</v>
      </c>
      <c r="Z130" s="127">
        <v>0</v>
      </c>
      <c r="AA130" s="126">
        <v>0</v>
      </c>
      <c r="AB130" s="130">
        <f t="shared" si="302"/>
        <v>0</v>
      </c>
      <c r="AC130" s="129">
        <v>0</v>
      </c>
      <c r="AD130" s="125">
        <f t="shared" si="303"/>
        <v>12</v>
      </c>
      <c r="AE130" s="144">
        <v>0</v>
      </c>
      <c r="AF130" s="127">
        <v>0</v>
      </c>
      <c r="AG130" s="131">
        <v>0</v>
      </c>
      <c r="AH130" s="127">
        <v>0</v>
      </c>
      <c r="AI130" s="128">
        <v>0</v>
      </c>
      <c r="AJ130" s="127">
        <v>0</v>
      </c>
      <c r="AK130" s="127">
        <v>0</v>
      </c>
      <c r="AL130" s="127">
        <v>0</v>
      </c>
      <c r="AM130" s="132">
        <f t="shared" si="304"/>
        <v>4920</v>
      </c>
      <c r="AN130" s="133">
        <v>46156</v>
      </c>
      <c r="AO130" s="134" t="s">
        <v>3618</v>
      </c>
      <c r="AP130" s="135" t="s">
        <v>234</v>
      </c>
      <c r="AQ130" s="136" t="s">
        <v>235</v>
      </c>
      <c r="AR130" s="136" t="s">
        <v>236</v>
      </c>
      <c r="AS130" s="123" t="s">
        <v>237</v>
      </c>
      <c r="AT130" s="137" t="s">
        <v>238</v>
      </c>
      <c r="AU130" s="137" t="s">
        <v>197</v>
      </c>
      <c r="AV130" s="138" t="s">
        <v>329</v>
      </c>
      <c r="AW130" s="136">
        <v>410</v>
      </c>
      <c r="AX130" s="138">
        <v>14</v>
      </c>
      <c r="AY130" s="136">
        <f t="shared" si="337"/>
        <v>5740</v>
      </c>
      <c r="AZ130" s="139" t="b">
        <f t="shared" si="338"/>
        <v>1</v>
      </c>
      <c r="BA130" s="125">
        <v>0</v>
      </c>
      <c r="BB130" s="140">
        <f t="shared" si="339"/>
        <v>410</v>
      </c>
      <c r="BC130" s="141">
        <v>0</v>
      </c>
      <c r="BD130" s="140" t="s">
        <v>107</v>
      </c>
      <c r="BE130" s="141">
        <v>0</v>
      </c>
      <c r="BF130" s="140">
        <v>0</v>
      </c>
      <c r="BG130" s="141">
        <v>0</v>
      </c>
      <c r="BH130" s="127">
        <v>0</v>
      </c>
      <c r="BI130" s="130">
        <v>0</v>
      </c>
      <c r="BJ130" s="128">
        <v>0</v>
      </c>
      <c r="BK130" s="125">
        <v>0</v>
      </c>
      <c r="BL130" s="136">
        <v>0</v>
      </c>
      <c r="BM130" s="127">
        <v>0</v>
      </c>
      <c r="BN130" s="142">
        <f t="shared" si="340"/>
        <v>0</v>
      </c>
      <c r="BO130" s="126">
        <f t="shared" si="341"/>
        <v>5740</v>
      </c>
      <c r="BP130" s="132">
        <f t="shared" si="342"/>
        <v>820</v>
      </c>
      <c r="BQ130" s="141" t="str">
        <f t="shared" si="343"/>
        <v>Positive Margin</v>
      </c>
      <c r="BR130" s="143" t="s">
        <v>119</v>
      </c>
      <c r="BS130" s="125">
        <f t="shared" si="344"/>
        <v>820</v>
      </c>
      <c r="BT130" s="144" t="str">
        <f t="shared" si="345"/>
        <v>Positive Margin at Inception</v>
      </c>
      <c r="BU130" s="145">
        <f t="shared" si="346"/>
        <v>0.14285714285714285</v>
      </c>
      <c r="BV130" s="144" t="str">
        <f t="shared" si="347"/>
        <v>More than 2%</v>
      </c>
      <c r="BW130" s="125">
        <f t="shared" si="348"/>
        <v>0</v>
      </c>
      <c r="BX130" s="126">
        <f t="shared" si="349"/>
        <v>0</v>
      </c>
      <c r="BY130" s="125">
        <f t="shared" si="350"/>
        <v>0</v>
      </c>
      <c r="BZ130" s="146">
        <f t="shared" si="351"/>
        <v>0</v>
      </c>
      <c r="CA130" s="146">
        <f t="shared" si="352"/>
        <v>0</v>
      </c>
      <c r="CB130" s="127">
        <f t="shared" si="353"/>
        <v>0</v>
      </c>
      <c r="CC130" s="146" t="s">
        <v>397</v>
      </c>
      <c r="CD130" s="127">
        <v>0</v>
      </c>
      <c r="CE130" s="127" t="str">
        <f t="shared" si="354"/>
        <v>May-26</v>
      </c>
      <c r="CF130" s="127">
        <f t="shared" si="355"/>
        <v>4920</v>
      </c>
      <c r="CG130" s="127">
        <f t="shared" si="356"/>
        <v>5740</v>
      </c>
      <c r="CH130" s="127">
        <f t="shared" si="357"/>
        <v>7</v>
      </c>
      <c r="CI130" s="147" t="str">
        <f t="shared" si="358"/>
        <v>BG AHD</v>
      </c>
      <c r="CJ130" s="127">
        <v>0</v>
      </c>
      <c r="CK130" s="127">
        <v>0</v>
      </c>
      <c r="CL130" s="127">
        <f t="shared" si="359"/>
        <v>820</v>
      </c>
      <c r="CM130" s="127">
        <f t="shared" si="360"/>
        <v>820</v>
      </c>
      <c r="CN130" s="127">
        <f t="shared" si="361"/>
        <v>820</v>
      </c>
      <c r="CO130" s="127">
        <f t="shared" si="362"/>
        <v>6773.2</v>
      </c>
      <c r="CP130" s="127">
        <f t="shared" si="363"/>
        <v>-5805.5999999999995</v>
      </c>
      <c r="CQ130" s="127">
        <f t="shared" si="364"/>
        <v>0</v>
      </c>
      <c r="CR130" s="127">
        <f t="shared" si="365"/>
        <v>0</v>
      </c>
      <c r="CS130" s="127">
        <f t="shared" si="366"/>
        <v>967.60000000000036</v>
      </c>
      <c r="CT130" s="127" t="s">
        <v>361</v>
      </c>
      <c r="CU130" s="127" t="s">
        <v>361</v>
      </c>
      <c r="CV130" s="142" t="str">
        <f t="shared" si="367"/>
        <v>AAMCB5608A</v>
      </c>
      <c r="CW130" s="142" t="str">
        <f t="shared" si="368"/>
        <v>BJHPB3107J</v>
      </c>
    </row>
    <row r="131" spans="2:101" s="149" customFormat="1" ht="11.85" customHeight="1" x14ac:dyDescent="0.25">
      <c r="B131" s="120" t="str">
        <f t="shared" si="298"/>
        <v>Q1</v>
      </c>
      <c r="C131" s="121" t="str">
        <f t="shared" si="299"/>
        <v>May-26</v>
      </c>
      <c r="D131" s="122">
        <v>46156</v>
      </c>
      <c r="E131" s="123" t="s">
        <v>3593</v>
      </c>
      <c r="F131" s="123" t="s">
        <v>196</v>
      </c>
      <c r="G131" s="123" t="s">
        <v>198</v>
      </c>
      <c r="H131" s="124" t="s">
        <v>3594</v>
      </c>
      <c r="I131" s="122">
        <v>46156</v>
      </c>
      <c r="J131" s="123" t="s">
        <v>3595</v>
      </c>
      <c r="K131" s="122">
        <v>46156</v>
      </c>
      <c r="L131" s="123" t="s">
        <v>199</v>
      </c>
      <c r="M131" s="123" t="s">
        <v>244</v>
      </c>
      <c r="N131" s="124" t="s">
        <v>206</v>
      </c>
      <c r="O131" s="123">
        <v>344</v>
      </c>
      <c r="P131" s="124">
        <v>50</v>
      </c>
      <c r="Q131" s="125">
        <f t="shared" si="300"/>
        <v>17200</v>
      </c>
      <c r="R131" s="126">
        <v>0</v>
      </c>
      <c r="S131" s="125">
        <f t="shared" si="301"/>
        <v>344</v>
      </c>
      <c r="T131" s="126">
        <v>0</v>
      </c>
      <c r="U131" s="127">
        <v>0</v>
      </c>
      <c r="V131" s="128">
        <v>0</v>
      </c>
      <c r="W131" s="127">
        <v>0</v>
      </c>
      <c r="X131" s="129">
        <v>0</v>
      </c>
      <c r="Y131" s="127">
        <v>0</v>
      </c>
      <c r="Z131" s="127">
        <v>0</v>
      </c>
      <c r="AA131" s="126">
        <v>0</v>
      </c>
      <c r="AB131" s="130">
        <f t="shared" si="302"/>
        <v>0</v>
      </c>
      <c r="AC131" s="129">
        <v>0</v>
      </c>
      <c r="AD131" s="125">
        <f t="shared" si="303"/>
        <v>50</v>
      </c>
      <c r="AE131" s="144">
        <v>0</v>
      </c>
      <c r="AF131" s="127">
        <v>0</v>
      </c>
      <c r="AG131" s="131">
        <v>0</v>
      </c>
      <c r="AH131" s="127">
        <v>0</v>
      </c>
      <c r="AI131" s="128">
        <v>0</v>
      </c>
      <c r="AJ131" s="127">
        <v>0</v>
      </c>
      <c r="AK131" s="127">
        <v>0</v>
      </c>
      <c r="AL131" s="127">
        <v>0</v>
      </c>
      <c r="AM131" s="132">
        <f t="shared" si="304"/>
        <v>17200</v>
      </c>
      <c r="AN131" s="133">
        <v>46156</v>
      </c>
      <c r="AO131" s="134" t="s">
        <v>3618</v>
      </c>
      <c r="AP131" s="135" t="s">
        <v>234</v>
      </c>
      <c r="AQ131" s="136" t="s">
        <v>235</v>
      </c>
      <c r="AR131" s="136" t="s">
        <v>236</v>
      </c>
      <c r="AS131" s="123" t="s">
        <v>237</v>
      </c>
      <c r="AT131" s="137" t="s">
        <v>238</v>
      </c>
      <c r="AU131" s="137" t="s">
        <v>197</v>
      </c>
      <c r="AV131" s="138" t="s">
        <v>329</v>
      </c>
      <c r="AW131" s="136">
        <v>344</v>
      </c>
      <c r="AX131" s="138">
        <v>70</v>
      </c>
      <c r="AY131" s="136">
        <f t="shared" si="337"/>
        <v>24080</v>
      </c>
      <c r="AZ131" s="139" t="b">
        <f t="shared" si="338"/>
        <v>1</v>
      </c>
      <c r="BA131" s="125">
        <v>0</v>
      </c>
      <c r="BB131" s="140">
        <f t="shared" si="339"/>
        <v>344</v>
      </c>
      <c r="BC131" s="141">
        <v>0</v>
      </c>
      <c r="BD131" s="140" t="s">
        <v>107</v>
      </c>
      <c r="BE131" s="141">
        <v>0</v>
      </c>
      <c r="BF131" s="140">
        <v>0</v>
      </c>
      <c r="BG131" s="141">
        <v>0</v>
      </c>
      <c r="BH131" s="127">
        <v>0</v>
      </c>
      <c r="BI131" s="130">
        <v>0</v>
      </c>
      <c r="BJ131" s="128">
        <v>0</v>
      </c>
      <c r="BK131" s="125">
        <v>0</v>
      </c>
      <c r="BL131" s="136">
        <v>0</v>
      </c>
      <c r="BM131" s="127">
        <v>0</v>
      </c>
      <c r="BN131" s="142">
        <f t="shared" si="340"/>
        <v>0</v>
      </c>
      <c r="BO131" s="126">
        <f t="shared" si="341"/>
        <v>24080</v>
      </c>
      <c r="BP131" s="132">
        <f t="shared" si="342"/>
        <v>6880</v>
      </c>
      <c r="BQ131" s="141" t="str">
        <f t="shared" si="343"/>
        <v>Positive Margin</v>
      </c>
      <c r="BR131" s="143" t="s">
        <v>119</v>
      </c>
      <c r="BS131" s="125">
        <f t="shared" si="344"/>
        <v>6880</v>
      </c>
      <c r="BT131" s="144" t="str">
        <f t="shared" si="345"/>
        <v>Positive Margin at Inception</v>
      </c>
      <c r="BU131" s="145">
        <f t="shared" si="346"/>
        <v>0.2857142857142857</v>
      </c>
      <c r="BV131" s="144" t="str">
        <f t="shared" si="347"/>
        <v>More than 2%</v>
      </c>
      <c r="BW131" s="125">
        <f t="shared" si="348"/>
        <v>0</v>
      </c>
      <c r="BX131" s="126">
        <f t="shared" si="349"/>
        <v>0</v>
      </c>
      <c r="BY131" s="125">
        <f t="shared" si="350"/>
        <v>0</v>
      </c>
      <c r="BZ131" s="146">
        <f t="shared" si="351"/>
        <v>0</v>
      </c>
      <c r="CA131" s="146">
        <f t="shared" si="352"/>
        <v>0</v>
      </c>
      <c r="CB131" s="127">
        <f t="shared" si="353"/>
        <v>0</v>
      </c>
      <c r="CC131" s="146" t="s">
        <v>397</v>
      </c>
      <c r="CD131" s="127">
        <v>0</v>
      </c>
      <c r="CE131" s="127" t="str">
        <f t="shared" si="354"/>
        <v>May-26</v>
      </c>
      <c r="CF131" s="127">
        <f t="shared" si="355"/>
        <v>17200</v>
      </c>
      <c r="CG131" s="127">
        <f t="shared" si="356"/>
        <v>24080</v>
      </c>
      <c r="CH131" s="127">
        <f t="shared" si="357"/>
        <v>7</v>
      </c>
      <c r="CI131" s="147" t="str">
        <f t="shared" si="358"/>
        <v>BG AHD</v>
      </c>
      <c r="CJ131" s="127">
        <v>0</v>
      </c>
      <c r="CK131" s="127">
        <v>0</v>
      </c>
      <c r="CL131" s="127">
        <f t="shared" si="359"/>
        <v>6880</v>
      </c>
      <c r="CM131" s="127">
        <f t="shared" si="360"/>
        <v>6880</v>
      </c>
      <c r="CN131" s="127">
        <f t="shared" si="361"/>
        <v>6880</v>
      </c>
      <c r="CO131" s="127">
        <f t="shared" si="362"/>
        <v>28414.399999999998</v>
      </c>
      <c r="CP131" s="127">
        <f t="shared" si="363"/>
        <v>-20296</v>
      </c>
      <c r="CQ131" s="127">
        <f t="shared" si="364"/>
        <v>0</v>
      </c>
      <c r="CR131" s="127">
        <f t="shared" si="365"/>
        <v>0</v>
      </c>
      <c r="CS131" s="127">
        <f t="shared" si="366"/>
        <v>8118.3999999999978</v>
      </c>
      <c r="CT131" s="127" t="s">
        <v>361</v>
      </c>
      <c r="CU131" s="127" t="s">
        <v>361</v>
      </c>
      <c r="CV131" s="142" t="str">
        <f t="shared" si="367"/>
        <v>AAMCB5608A</v>
      </c>
      <c r="CW131" s="142" t="str">
        <f t="shared" si="368"/>
        <v>BJHPB3107J</v>
      </c>
    </row>
    <row r="132" spans="2:101" s="149" customFormat="1" ht="11.85" customHeight="1" x14ac:dyDescent="0.25">
      <c r="B132" s="120" t="str">
        <f t="shared" si="298"/>
        <v>Q1</v>
      </c>
      <c r="C132" s="121" t="str">
        <f t="shared" si="299"/>
        <v>May-26</v>
      </c>
      <c r="D132" s="122">
        <v>46156</v>
      </c>
      <c r="E132" s="123" t="s">
        <v>3593</v>
      </c>
      <c r="F132" s="123" t="s">
        <v>196</v>
      </c>
      <c r="G132" s="123" t="s">
        <v>198</v>
      </c>
      <c r="H132" s="124" t="s">
        <v>3594</v>
      </c>
      <c r="I132" s="122">
        <v>46156</v>
      </c>
      <c r="J132" s="123" t="s">
        <v>3595</v>
      </c>
      <c r="K132" s="122">
        <v>46156</v>
      </c>
      <c r="L132" s="123" t="s">
        <v>199</v>
      </c>
      <c r="M132" s="123" t="s">
        <v>244</v>
      </c>
      <c r="N132" s="124" t="s">
        <v>207</v>
      </c>
      <c r="O132" s="123">
        <v>80</v>
      </c>
      <c r="P132" s="124">
        <v>6.5</v>
      </c>
      <c r="Q132" s="125">
        <f t="shared" si="300"/>
        <v>520</v>
      </c>
      <c r="R132" s="126">
        <v>0</v>
      </c>
      <c r="S132" s="125">
        <f t="shared" si="301"/>
        <v>80</v>
      </c>
      <c r="T132" s="126">
        <v>0</v>
      </c>
      <c r="U132" s="127">
        <v>0</v>
      </c>
      <c r="V132" s="128">
        <v>0</v>
      </c>
      <c r="W132" s="127">
        <v>0</v>
      </c>
      <c r="X132" s="129">
        <v>0</v>
      </c>
      <c r="Y132" s="127">
        <v>0</v>
      </c>
      <c r="Z132" s="127">
        <v>0</v>
      </c>
      <c r="AA132" s="126">
        <v>0</v>
      </c>
      <c r="AB132" s="130">
        <f t="shared" si="302"/>
        <v>0</v>
      </c>
      <c r="AC132" s="129">
        <v>0</v>
      </c>
      <c r="AD132" s="125">
        <f t="shared" si="303"/>
        <v>6.5</v>
      </c>
      <c r="AE132" s="144">
        <v>0</v>
      </c>
      <c r="AF132" s="127">
        <v>0</v>
      </c>
      <c r="AG132" s="131">
        <v>0</v>
      </c>
      <c r="AH132" s="127">
        <v>0</v>
      </c>
      <c r="AI132" s="128">
        <v>0</v>
      </c>
      <c r="AJ132" s="127">
        <v>0</v>
      </c>
      <c r="AK132" s="127">
        <v>0</v>
      </c>
      <c r="AL132" s="127">
        <v>0</v>
      </c>
      <c r="AM132" s="132">
        <f t="shared" si="304"/>
        <v>520</v>
      </c>
      <c r="AN132" s="133">
        <v>46156</v>
      </c>
      <c r="AO132" s="134" t="s">
        <v>3618</v>
      </c>
      <c r="AP132" s="135" t="s">
        <v>234</v>
      </c>
      <c r="AQ132" s="136" t="s">
        <v>235</v>
      </c>
      <c r="AR132" s="136" t="s">
        <v>236</v>
      </c>
      <c r="AS132" s="123" t="s">
        <v>237</v>
      </c>
      <c r="AT132" s="137" t="s">
        <v>238</v>
      </c>
      <c r="AU132" s="137" t="s">
        <v>197</v>
      </c>
      <c r="AV132" s="138" t="s">
        <v>329</v>
      </c>
      <c r="AW132" s="136">
        <v>80</v>
      </c>
      <c r="AX132" s="138">
        <v>8</v>
      </c>
      <c r="AY132" s="136">
        <f t="shared" si="337"/>
        <v>640</v>
      </c>
      <c r="AZ132" s="139" t="b">
        <f t="shared" si="338"/>
        <v>1</v>
      </c>
      <c r="BA132" s="125">
        <v>0</v>
      </c>
      <c r="BB132" s="140">
        <f t="shared" si="339"/>
        <v>80</v>
      </c>
      <c r="BC132" s="141">
        <v>0</v>
      </c>
      <c r="BD132" s="140" t="s">
        <v>107</v>
      </c>
      <c r="BE132" s="141">
        <v>0</v>
      </c>
      <c r="BF132" s="140">
        <v>0</v>
      </c>
      <c r="BG132" s="141">
        <v>0</v>
      </c>
      <c r="BH132" s="127">
        <v>0</v>
      </c>
      <c r="BI132" s="130">
        <v>0</v>
      </c>
      <c r="BJ132" s="128">
        <v>0</v>
      </c>
      <c r="BK132" s="125">
        <v>0</v>
      </c>
      <c r="BL132" s="136">
        <v>0</v>
      </c>
      <c r="BM132" s="127">
        <v>0</v>
      </c>
      <c r="BN132" s="142">
        <f t="shared" si="340"/>
        <v>0</v>
      </c>
      <c r="BO132" s="126">
        <f t="shared" si="341"/>
        <v>640</v>
      </c>
      <c r="BP132" s="132">
        <f t="shared" si="342"/>
        <v>120</v>
      </c>
      <c r="BQ132" s="141" t="str">
        <f t="shared" si="343"/>
        <v>Positive Margin</v>
      </c>
      <c r="BR132" s="143" t="s">
        <v>119</v>
      </c>
      <c r="BS132" s="125">
        <f t="shared" si="344"/>
        <v>120</v>
      </c>
      <c r="BT132" s="144" t="str">
        <f t="shared" si="345"/>
        <v>Positive Margin at Inception</v>
      </c>
      <c r="BU132" s="145">
        <f t="shared" si="346"/>
        <v>0.1875</v>
      </c>
      <c r="BV132" s="144" t="str">
        <f t="shared" si="347"/>
        <v>More than 2%</v>
      </c>
      <c r="BW132" s="125">
        <f t="shared" si="348"/>
        <v>0</v>
      </c>
      <c r="BX132" s="126">
        <f t="shared" si="349"/>
        <v>0</v>
      </c>
      <c r="BY132" s="125">
        <f t="shared" si="350"/>
        <v>0</v>
      </c>
      <c r="BZ132" s="146">
        <f t="shared" si="351"/>
        <v>0</v>
      </c>
      <c r="CA132" s="146">
        <f t="shared" si="352"/>
        <v>0</v>
      </c>
      <c r="CB132" s="127">
        <f t="shared" si="353"/>
        <v>0</v>
      </c>
      <c r="CC132" s="146" t="s">
        <v>397</v>
      </c>
      <c r="CD132" s="127">
        <v>0</v>
      </c>
      <c r="CE132" s="127" t="str">
        <f t="shared" si="354"/>
        <v>May-26</v>
      </c>
      <c r="CF132" s="127">
        <f t="shared" si="355"/>
        <v>520</v>
      </c>
      <c r="CG132" s="127">
        <f t="shared" si="356"/>
        <v>640</v>
      </c>
      <c r="CH132" s="127">
        <f t="shared" si="357"/>
        <v>7</v>
      </c>
      <c r="CI132" s="147" t="str">
        <f t="shared" si="358"/>
        <v>BG AHD</v>
      </c>
      <c r="CJ132" s="127">
        <v>0</v>
      </c>
      <c r="CK132" s="127">
        <v>0</v>
      </c>
      <c r="CL132" s="127">
        <f t="shared" si="359"/>
        <v>120</v>
      </c>
      <c r="CM132" s="127">
        <f t="shared" si="360"/>
        <v>120</v>
      </c>
      <c r="CN132" s="127">
        <f t="shared" si="361"/>
        <v>120</v>
      </c>
      <c r="CO132" s="127">
        <f t="shared" si="362"/>
        <v>755.19999999999993</v>
      </c>
      <c r="CP132" s="127">
        <f t="shared" si="363"/>
        <v>-613.6</v>
      </c>
      <c r="CQ132" s="127">
        <f t="shared" si="364"/>
        <v>0</v>
      </c>
      <c r="CR132" s="127">
        <f t="shared" si="365"/>
        <v>0</v>
      </c>
      <c r="CS132" s="127">
        <f t="shared" si="366"/>
        <v>141.59999999999991</v>
      </c>
      <c r="CT132" s="127" t="s">
        <v>361</v>
      </c>
      <c r="CU132" s="127" t="s">
        <v>361</v>
      </c>
      <c r="CV132" s="142" t="str">
        <f t="shared" si="367"/>
        <v>AAMCB5608A</v>
      </c>
      <c r="CW132" s="142" t="str">
        <f t="shared" si="368"/>
        <v>BJHPB3107J</v>
      </c>
    </row>
    <row r="133" spans="2:101" s="149" customFormat="1" ht="11.85" customHeight="1" x14ac:dyDescent="0.25">
      <c r="B133" s="120" t="str">
        <f t="shared" si="298"/>
        <v>Q1</v>
      </c>
      <c r="C133" s="121" t="str">
        <f t="shared" si="299"/>
        <v>May-26</v>
      </c>
      <c r="D133" s="122">
        <v>46157</v>
      </c>
      <c r="E133" s="123" t="s">
        <v>3596</v>
      </c>
      <c r="F133" s="123" t="s">
        <v>196</v>
      </c>
      <c r="G133" s="123" t="s">
        <v>198</v>
      </c>
      <c r="H133" s="124" t="s">
        <v>3597</v>
      </c>
      <c r="I133" s="122">
        <v>46157</v>
      </c>
      <c r="J133" s="123" t="s">
        <v>3598</v>
      </c>
      <c r="K133" s="122">
        <v>46157</v>
      </c>
      <c r="L133" s="123" t="s">
        <v>199</v>
      </c>
      <c r="M133" s="123" t="s">
        <v>2336</v>
      </c>
      <c r="N133" s="124" t="s">
        <v>204</v>
      </c>
      <c r="O133" s="123">
        <v>7900</v>
      </c>
      <c r="P133" s="124">
        <v>10</v>
      </c>
      <c r="Q133" s="125">
        <f t="shared" si="300"/>
        <v>79000</v>
      </c>
      <c r="R133" s="126">
        <v>0</v>
      </c>
      <c r="S133" s="125">
        <f t="shared" si="301"/>
        <v>7900</v>
      </c>
      <c r="T133" s="126">
        <v>0</v>
      </c>
      <c r="U133" s="127">
        <v>0</v>
      </c>
      <c r="V133" s="128">
        <v>0</v>
      </c>
      <c r="W133" s="127">
        <v>0</v>
      </c>
      <c r="X133" s="129">
        <v>0</v>
      </c>
      <c r="Y133" s="127">
        <v>0</v>
      </c>
      <c r="Z133" s="127">
        <v>0</v>
      </c>
      <c r="AA133" s="126">
        <v>0</v>
      </c>
      <c r="AB133" s="130">
        <f t="shared" si="302"/>
        <v>0</v>
      </c>
      <c r="AC133" s="129">
        <v>0</v>
      </c>
      <c r="AD133" s="125">
        <f t="shared" si="303"/>
        <v>10</v>
      </c>
      <c r="AE133" s="144">
        <v>0</v>
      </c>
      <c r="AF133" s="127">
        <v>0</v>
      </c>
      <c r="AG133" s="131">
        <v>0</v>
      </c>
      <c r="AH133" s="127">
        <v>0</v>
      </c>
      <c r="AI133" s="128">
        <v>0</v>
      </c>
      <c r="AJ133" s="127">
        <v>0</v>
      </c>
      <c r="AK133" s="127">
        <v>0</v>
      </c>
      <c r="AL133" s="127">
        <v>0</v>
      </c>
      <c r="AM133" s="132">
        <f t="shared" si="304"/>
        <v>79000</v>
      </c>
      <c r="AN133" s="133">
        <v>46157</v>
      </c>
      <c r="AO133" s="134" t="s">
        <v>3615</v>
      </c>
      <c r="AP133" s="135" t="s">
        <v>234</v>
      </c>
      <c r="AQ133" s="136" t="s">
        <v>235</v>
      </c>
      <c r="AR133" s="136" t="s">
        <v>236</v>
      </c>
      <c r="AS133" s="123" t="s">
        <v>237</v>
      </c>
      <c r="AT133" s="137" t="s">
        <v>238</v>
      </c>
      <c r="AU133" s="137" t="s">
        <v>197</v>
      </c>
      <c r="AV133" s="138" t="s">
        <v>329</v>
      </c>
      <c r="AW133" s="136">
        <v>7900</v>
      </c>
      <c r="AX133" s="138">
        <v>12</v>
      </c>
      <c r="AY133" s="136">
        <f t="shared" si="337"/>
        <v>94800</v>
      </c>
      <c r="AZ133" s="139" t="b">
        <f t="shared" si="338"/>
        <v>1</v>
      </c>
      <c r="BA133" s="125">
        <v>0</v>
      </c>
      <c r="BB133" s="140">
        <f t="shared" si="339"/>
        <v>7900</v>
      </c>
      <c r="BC133" s="141">
        <v>0</v>
      </c>
      <c r="BD133" s="140" t="s">
        <v>107</v>
      </c>
      <c r="BE133" s="141">
        <v>0</v>
      </c>
      <c r="BF133" s="140">
        <v>0</v>
      </c>
      <c r="BG133" s="141">
        <v>0</v>
      </c>
      <c r="BH133" s="127">
        <v>0</v>
      </c>
      <c r="BI133" s="130">
        <v>0</v>
      </c>
      <c r="BJ133" s="128">
        <v>0</v>
      </c>
      <c r="BK133" s="125">
        <v>0</v>
      </c>
      <c r="BL133" s="136">
        <v>0</v>
      </c>
      <c r="BM133" s="127">
        <v>0</v>
      </c>
      <c r="BN133" s="142">
        <f t="shared" si="340"/>
        <v>0</v>
      </c>
      <c r="BO133" s="126">
        <f t="shared" si="341"/>
        <v>94800</v>
      </c>
      <c r="BP133" s="132">
        <f t="shared" si="342"/>
        <v>15800</v>
      </c>
      <c r="BQ133" s="141" t="str">
        <f t="shared" si="343"/>
        <v>Positive Margin</v>
      </c>
      <c r="BR133" s="143" t="s">
        <v>119</v>
      </c>
      <c r="BS133" s="125">
        <f t="shared" si="344"/>
        <v>15800</v>
      </c>
      <c r="BT133" s="144" t="str">
        <f t="shared" si="345"/>
        <v>Positive Margin at Inception</v>
      </c>
      <c r="BU133" s="145">
        <f t="shared" si="346"/>
        <v>0.16666666666666666</v>
      </c>
      <c r="BV133" s="144" t="str">
        <f t="shared" si="347"/>
        <v>More than 2%</v>
      </c>
      <c r="BW133" s="125">
        <f t="shared" si="348"/>
        <v>0</v>
      </c>
      <c r="BX133" s="126">
        <f t="shared" si="349"/>
        <v>0</v>
      </c>
      <c r="BY133" s="125">
        <f t="shared" si="350"/>
        <v>0</v>
      </c>
      <c r="BZ133" s="146">
        <f t="shared" si="351"/>
        <v>0</v>
      </c>
      <c r="CA133" s="146">
        <f t="shared" si="352"/>
        <v>0</v>
      </c>
      <c r="CB133" s="127">
        <f t="shared" si="353"/>
        <v>0</v>
      </c>
      <c r="CC133" s="146" t="s">
        <v>397</v>
      </c>
      <c r="CD133" s="127">
        <v>0</v>
      </c>
      <c r="CE133" s="127" t="str">
        <f t="shared" si="354"/>
        <v>May-26</v>
      </c>
      <c r="CF133" s="127">
        <f t="shared" si="355"/>
        <v>79000</v>
      </c>
      <c r="CG133" s="127">
        <f t="shared" si="356"/>
        <v>94800</v>
      </c>
      <c r="CH133" s="127">
        <f t="shared" si="357"/>
        <v>7</v>
      </c>
      <c r="CI133" s="147" t="str">
        <f t="shared" si="358"/>
        <v>BG AHD</v>
      </c>
      <c r="CJ133" s="127">
        <v>0</v>
      </c>
      <c r="CK133" s="127">
        <v>0</v>
      </c>
      <c r="CL133" s="127">
        <f t="shared" si="359"/>
        <v>15800</v>
      </c>
      <c r="CM133" s="127">
        <f t="shared" si="360"/>
        <v>15800</v>
      </c>
      <c r="CN133" s="127">
        <f t="shared" si="361"/>
        <v>15800</v>
      </c>
      <c r="CO133" s="127">
        <f t="shared" si="362"/>
        <v>111864</v>
      </c>
      <c r="CP133" s="127">
        <f t="shared" si="363"/>
        <v>-93220</v>
      </c>
      <c r="CQ133" s="127">
        <f t="shared" si="364"/>
        <v>0</v>
      </c>
      <c r="CR133" s="127">
        <f t="shared" si="365"/>
        <v>0</v>
      </c>
      <c r="CS133" s="127">
        <f t="shared" si="366"/>
        <v>18644</v>
      </c>
      <c r="CT133" s="127" t="s">
        <v>361</v>
      </c>
      <c r="CU133" s="127" t="s">
        <v>361</v>
      </c>
      <c r="CV133" s="142" t="str">
        <f t="shared" si="367"/>
        <v>AAMCB5608A</v>
      </c>
      <c r="CW133" s="142" t="str">
        <f t="shared" si="368"/>
        <v>BJHPB3107J</v>
      </c>
    </row>
    <row r="134" spans="2:101" s="149" customFormat="1" ht="11.85" customHeight="1" x14ac:dyDescent="0.25">
      <c r="B134" s="120" t="str">
        <f t="shared" si="298"/>
        <v>Q1</v>
      </c>
      <c r="C134" s="121" t="str">
        <f t="shared" si="299"/>
        <v>May-26</v>
      </c>
      <c r="D134" s="122">
        <v>46157</v>
      </c>
      <c r="E134" s="123" t="s">
        <v>3599</v>
      </c>
      <c r="F134" s="123" t="s">
        <v>196</v>
      </c>
      <c r="G134" s="123" t="s">
        <v>198</v>
      </c>
      <c r="H134" s="124" t="s">
        <v>3600</v>
      </c>
      <c r="I134" s="122">
        <v>46157</v>
      </c>
      <c r="J134" s="123" t="s">
        <v>3601</v>
      </c>
      <c r="K134" s="122">
        <v>46157</v>
      </c>
      <c r="L134" s="123" t="s">
        <v>199</v>
      </c>
      <c r="M134" s="123" t="s">
        <v>244</v>
      </c>
      <c r="N134" s="124" t="s">
        <v>3539</v>
      </c>
      <c r="O134" s="123">
        <v>2940</v>
      </c>
      <c r="P134" s="124">
        <v>5</v>
      </c>
      <c r="Q134" s="125">
        <f t="shared" si="300"/>
        <v>14700</v>
      </c>
      <c r="R134" s="126">
        <v>0</v>
      </c>
      <c r="S134" s="125">
        <f t="shared" si="301"/>
        <v>2940</v>
      </c>
      <c r="T134" s="126">
        <v>0</v>
      </c>
      <c r="U134" s="127">
        <v>0</v>
      </c>
      <c r="V134" s="128">
        <v>0</v>
      </c>
      <c r="W134" s="127">
        <v>0</v>
      </c>
      <c r="X134" s="129">
        <v>0</v>
      </c>
      <c r="Y134" s="127">
        <v>0</v>
      </c>
      <c r="Z134" s="127">
        <v>0</v>
      </c>
      <c r="AA134" s="126">
        <v>0</v>
      </c>
      <c r="AB134" s="130">
        <f t="shared" si="302"/>
        <v>0</v>
      </c>
      <c r="AC134" s="129">
        <v>0</v>
      </c>
      <c r="AD134" s="125">
        <f t="shared" si="303"/>
        <v>5</v>
      </c>
      <c r="AE134" s="144">
        <v>0</v>
      </c>
      <c r="AF134" s="127">
        <v>0</v>
      </c>
      <c r="AG134" s="131">
        <v>0</v>
      </c>
      <c r="AH134" s="127">
        <v>0</v>
      </c>
      <c r="AI134" s="128">
        <v>0</v>
      </c>
      <c r="AJ134" s="127">
        <v>0</v>
      </c>
      <c r="AK134" s="127">
        <v>0</v>
      </c>
      <c r="AL134" s="127">
        <v>0</v>
      </c>
      <c r="AM134" s="132">
        <f t="shared" si="304"/>
        <v>14700</v>
      </c>
      <c r="AN134" s="133">
        <v>46157</v>
      </c>
      <c r="AO134" s="134" t="s">
        <v>3619</v>
      </c>
      <c r="AP134" s="135" t="s">
        <v>234</v>
      </c>
      <c r="AQ134" s="136" t="s">
        <v>235</v>
      </c>
      <c r="AR134" s="136" t="s">
        <v>236</v>
      </c>
      <c r="AS134" s="123" t="s">
        <v>2005</v>
      </c>
      <c r="AT134" s="137" t="s">
        <v>238</v>
      </c>
      <c r="AU134" s="137" t="s">
        <v>197</v>
      </c>
      <c r="AV134" s="138" t="s">
        <v>329</v>
      </c>
      <c r="AW134" s="136">
        <v>2940</v>
      </c>
      <c r="AX134" s="138">
        <v>5.5</v>
      </c>
      <c r="AY134" s="136">
        <f t="shared" si="337"/>
        <v>16170</v>
      </c>
      <c r="AZ134" s="139" t="b">
        <f t="shared" si="338"/>
        <v>1</v>
      </c>
      <c r="BA134" s="125">
        <v>0</v>
      </c>
      <c r="BB134" s="140">
        <f t="shared" si="339"/>
        <v>2940</v>
      </c>
      <c r="BC134" s="141">
        <v>0</v>
      </c>
      <c r="BD134" s="140" t="s">
        <v>107</v>
      </c>
      <c r="BE134" s="141">
        <v>0</v>
      </c>
      <c r="BF134" s="140">
        <v>0</v>
      </c>
      <c r="BG134" s="141">
        <v>0</v>
      </c>
      <c r="BH134" s="127">
        <v>0</v>
      </c>
      <c r="BI134" s="130">
        <v>0</v>
      </c>
      <c r="BJ134" s="128">
        <v>0</v>
      </c>
      <c r="BK134" s="125">
        <v>0</v>
      </c>
      <c r="BL134" s="136">
        <v>0</v>
      </c>
      <c r="BM134" s="127">
        <v>0</v>
      </c>
      <c r="BN134" s="142">
        <f t="shared" si="340"/>
        <v>0</v>
      </c>
      <c r="BO134" s="126">
        <f t="shared" si="341"/>
        <v>16170</v>
      </c>
      <c r="BP134" s="132">
        <f t="shared" si="342"/>
        <v>1470</v>
      </c>
      <c r="BQ134" s="141" t="str">
        <f t="shared" si="343"/>
        <v>Positive Margin</v>
      </c>
      <c r="BR134" s="143" t="s">
        <v>119</v>
      </c>
      <c r="BS134" s="125">
        <f t="shared" si="344"/>
        <v>1470</v>
      </c>
      <c r="BT134" s="144" t="str">
        <f t="shared" si="345"/>
        <v>Positive Margin at Inception</v>
      </c>
      <c r="BU134" s="145">
        <f t="shared" si="346"/>
        <v>9.0909090909090912E-2</v>
      </c>
      <c r="BV134" s="144" t="str">
        <f t="shared" si="347"/>
        <v>More than 2%</v>
      </c>
      <c r="BW134" s="125">
        <f t="shared" si="348"/>
        <v>0</v>
      </c>
      <c r="BX134" s="126">
        <f t="shared" si="349"/>
        <v>0</v>
      </c>
      <c r="BY134" s="125">
        <f t="shared" si="350"/>
        <v>0</v>
      </c>
      <c r="BZ134" s="146">
        <f t="shared" si="351"/>
        <v>0</v>
      </c>
      <c r="CA134" s="146">
        <f t="shared" si="352"/>
        <v>0</v>
      </c>
      <c r="CB134" s="127">
        <f t="shared" si="353"/>
        <v>0</v>
      </c>
      <c r="CC134" s="146" t="s">
        <v>397</v>
      </c>
      <c r="CD134" s="127">
        <v>0</v>
      </c>
      <c r="CE134" s="127" t="str">
        <f t="shared" si="354"/>
        <v>May-26</v>
      </c>
      <c r="CF134" s="127">
        <f t="shared" si="355"/>
        <v>14700</v>
      </c>
      <c r="CG134" s="127">
        <f t="shared" si="356"/>
        <v>16170</v>
      </c>
      <c r="CH134" s="127">
        <f t="shared" si="357"/>
        <v>7</v>
      </c>
      <c r="CI134" s="147" t="str">
        <f t="shared" si="358"/>
        <v>BG AHD</v>
      </c>
      <c r="CJ134" s="127">
        <v>0</v>
      </c>
      <c r="CK134" s="127">
        <v>0</v>
      </c>
      <c r="CL134" s="127">
        <f t="shared" si="359"/>
        <v>1470</v>
      </c>
      <c r="CM134" s="127">
        <f t="shared" si="360"/>
        <v>1470</v>
      </c>
      <c r="CN134" s="127">
        <f t="shared" si="361"/>
        <v>1470</v>
      </c>
      <c r="CO134" s="127">
        <f t="shared" si="362"/>
        <v>19080.599999999999</v>
      </c>
      <c r="CP134" s="127">
        <f t="shared" si="363"/>
        <v>-17346</v>
      </c>
      <c r="CQ134" s="127">
        <f t="shared" si="364"/>
        <v>0</v>
      </c>
      <c r="CR134" s="127">
        <f t="shared" si="365"/>
        <v>0</v>
      </c>
      <c r="CS134" s="127">
        <f t="shared" si="366"/>
        <v>1734.5999999999985</v>
      </c>
      <c r="CT134" s="127" t="s">
        <v>361</v>
      </c>
      <c r="CU134" s="127" t="s">
        <v>361</v>
      </c>
      <c r="CV134" s="142" t="str">
        <f t="shared" si="367"/>
        <v>AAMCB5608A</v>
      </c>
      <c r="CW134" s="142" t="str">
        <f t="shared" si="368"/>
        <v>BJHPB3107J</v>
      </c>
    </row>
    <row r="135" spans="2:101" s="149" customFormat="1" ht="11.85" customHeight="1" x14ac:dyDescent="0.25">
      <c r="B135" s="120" t="str">
        <f t="shared" si="298"/>
        <v>Q1</v>
      </c>
      <c r="C135" s="121" t="str">
        <f t="shared" si="299"/>
        <v>May-26</v>
      </c>
      <c r="D135" s="122">
        <v>46157</v>
      </c>
      <c r="E135" s="123" t="s">
        <v>3602</v>
      </c>
      <c r="F135" s="123" t="s">
        <v>196</v>
      </c>
      <c r="G135" s="123" t="s">
        <v>198</v>
      </c>
      <c r="H135" s="124" t="s">
        <v>3603</v>
      </c>
      <c r="I135" s="122">
        <v>46157</v>
      </c>
      <c r="J135" s="123" t="s">
        <v>3604</v>
      </c>
      <c r="K135" s="122">
        <v>46157</v>
      </c>
      <c r="L135" s="123" t="s">
        <v>199</v>
      </c>
      <c r="M135" s="123" t="s">
        <v>2331</v>
      </c>
      <c r="N135" s="124" t="s">
        <v>271</v>
      </c>
      <c r="O135" s="123">
        <v>516</v>
      </c>
      <c r="P135" s="124">
        <v>100</v>
      </c>
      <c r="Q135" s="125">
        <f t="shared" si="300"/>
        <v>51600</v>
      </c>
      <c r="R135" s="126">
        <v>0</v>
      </c>
      <c r="S135" s="125">
        <f t="shared" si="301"/>
        <v>516</v>
      </c>
      <c r="T135" s="126">
        <v>0</v>
      </c>
      <c r="U135" s="127">
        <v>0</v>
      </c>
      <c r="V135" s="128">
        <v>0</v>
      </c>
      <c r="W135" s="127">
        <v>0</v>
      </c>
      <c r="X135" s="129">
        <v>0</v>
      </c>
      <c r="Y135" s="127">
        <v>0</v>
      </c>
      <c r="Z135" s="127">
        <v>0</v>
      </c>
      <c r="AA135" s="126">
        <v>0</v>
      </c>
      <c r="AB135" s="130">
        <f t="shared" si="302"/>
        <v>0</v>
      </c>
      <c r="AC135" s="129">
        <v>0</v>
      </c>
      <c r="AD135" s="125">
        <f t="shared" si="303"/>
        <v>100</v>
      </c>
      <c r="AE135" s="144">
        <v>0</v>
      </c>
      <c r="AF135" s="127">
        <v>0</v>
      </c>
      <c r="AG135" s="131">
        <v>0</v>
      </c>
      <c r="AH135" s="127">
        <v>0</v>
      </c>
      <c r="AI135" s="128">
        <v>0</v>
      </c>
      <c r="AJ135" s="127">
        <v>0</v>
      </c>
      <c r="AK135" s="127">
        <v>0</v>
      </c>
      <c r="AL135" s="127">
        <v>0</v>
      </c>
      <c r="AM135" s="132">
        <f t="shared" si="304"/>
        <v>51600</v>
      </c>
      <c r="AN135" s="133">
        <v>46157</v>
      </c>
      <c r="AO135" s="134" t="s">
        <v>3617</v>
      </c>
      <c r="AP135" s="135" t="s">
        <v>234</v>
      </c>
      <c r="AQ135" s="136" t="s">
        <v>235</v>
      </c>
      <c r="AR135" s="136" t="s">
        <v>236</v>
      </c>
      <c r="AS135" s="123" t="s">
        <v>237</v>
      </c>
      <c r="AT135" s="137" t="s">
        <v>238</v>
      </c>
      <c r="AU135" s="137" t="s">
        <v>197</v>
      </c>
      <c r="AV135" s="138" t="s">
        <v>329</v>
      </c>
      <c r="AW135" s="136">
        <v>516</v>
      </c>
      <c r="AX135" s="138">
        <v>120</v>
      </c>
      <c r="AY135" s="136">
        <f t="shared" si="337"/>
        <v>61920</v>
      </c>
      <c r="AZ135" s="139" t="b">
        <f t="shared" si="338"/>
        <v>1</v>
      </c>
      <c r="BA135" s="125">
        <v>0</v>
      </c>
      <c r="BB135" s="140">
        <f t="shared" si="339"/>
        <v>516</v>
      </c>
      <c r="BC135" s="141">
        <v>0</v>
      </c>
      <c r="BD135" s="140" t="s">
        <v>107</v>
      </c>
      <c r="BE135" s="141">
        <v>0</v>
      </c>
      <c r="BF135" s="140">
        <v>0</v>
      </c>
      <c r="BG135" s="141">
        <v>0</v>
      </c>
      <c r="BH135" s="127">
        <v>0</v>
      </c>
      <c r="BI135" s="130">
        <v>0</v>
      </c>
      <c r="BJ135" s="128">
        <v>0</v>
      </c>
      <c r="BK135" s="125">
        <v>0</v>
      </c>
      <c r="BL135" s="136">
        <v>0</v>
      </c>
      <c r="BM135" s="127">
        <v>0</v>
      </c>
      <c r="BN135" s="142">
        <f t="shared" si="340"/>
        <v>0</v>
      </c>
      <c r="BO135" s="126">
        <f t="shared" si="341"/>
        <v>61920</v>
      </c>
      <c r="BP135" s="132">
        <f t="shared" si="342"/>
        <v>10320</v>
      </c>
      <c r="BQ135" s="141" t="str">
        <f t="shared" si="343"/>
        <v>Positive Margin</v>
      </c>
      <c r="BR135" s="143" t="s">
        <v>119</v>
      </c>
      <c r="BS135" s="125">
        <f t="shared" si="344"/>
        <v>10320</v>
      </c>
      <c r="BT135" s="144" t="str">
        <f t="shared" si="345"/>
        <v>Positive Margin at Inception</v>
      </c>
      <c r="BU135" s="145">
        <f t="shared" si="346"/>
        <v>0.16666666666666666</v>
      </c>
      <c r="BV135" s="144" t="str">
        <f t="shared" si="347"/>
        <v>More than 2%</v>
      </c>
      <c r="BW135" s="125">
        <f t="shared" si="348"/>
        <v>0</v>
      </c>
      <c r="BX135" s="126">
        <f t="shared" si="349"/>
        <v>0</v>
      </c>
      <c r="BY135" s="125">
        <f t="shared" si="350"/>
        <v>0</v>
      </c>
      <c r="BZ135" s="146">
        <f t="shared" si="351"/>
        <v>0</v>
      </c>
      <c r="CA135" s="146">
        <f t="shared" si="352"/>
        <v>0</v>
      </c>
      <c r="CB135" s="127">
        <f t="shared" si="353"/>
        <v>0</v>
      </c>
      <c r="CC135" s="146" t="s">
        <v>397</v>
      </c>
      <c r="CD135" s="127">
        <v>0</v>
      </c>
      <c r="CE135" s="127" t="str">
        <f t="shared" si="354"/>
        <v>May-26</v>
      </c>
      <c r="CF135" s="127">
        <f t="shared" si="355"/>
        <v>51600</v>
      </c>
      <c r="CG135" s="127">
        <f t="shared" si="356"/>
        <v>61920</v>
      </c>
      <c r="CH135" s="127">
        <f t="shared" si="357"/>
        <v>7</v>
      </c>
      <c r="CI135" s="147" t="str">
        <f t="shared" si="358"/>
        <v>BG AHD</v>
      </c>
      <c r="CJ135" s="127">
        <v>0</v>
      </c>
      <c r="CK135" s="127">
        <v>0</v>
      </c>
      <c r="CL135" s="127">
        <f t="shared" si="359"/>
        <v>10320</v>
      </c>
      <c r="CM135" s="127">
        <f t="shared" si="360"/>
        <v>10320</v>
      </c>
      <c r="CN135" s="127">
        <f t="shared" si="361"/>
        <v>10320</v>
      </c>
      <c r="CO135" s="127">
        <f t="shared" si="362"/>
        <v>73065.599999999991</v>
      </c>
      <c r="CP135" s="127">
        <f t="shared" si="363"/>
        <v>-60888</v>
      </c>
      <c r="CQ135" s="127">
        <f t="shared" si="364"/>
        <v>0</v>
      </c>
      <c r="CR135" s="127">
        <f t="shared" si="365"/>
        <v>0</v>
      </c>
      <c r="CS135" s="127">
        <f t="shared" si="366"/>
        <v>12177.599999999991</v>
      </c>
      <c r="CT135" s="127" t="s">
        <v>361</v>
      </c>
      <c r="CU135" s="127" t="s">
        <v>361</v>
      </c>
      <c r="CV135" s="142" t="str">
        <f t="shared" si="367"/>
        <v>AAMCB5608A</v>
      </c>
      <c r="CW135" s="142" t="str">
        <f t="shared" si="368"/>
        <v>BJHPB3107J</v>
      </c>
    </row>
    <row r="136" spans="2:101" s="149" customFormat="1" ht="11.85" customHeight="1" x14ac:dyDescent="0.25">
      <c r="B136" s="120" t="str">
        <f t="shared" si="298"/>
        <v>Q1</v>
      </c>
      <c r="C136" s="121" t="str">
        <f t="shared" si="299"/>
        <v>May-26</v>
      </c>
      <c r="D136" s="122">
        <v>46158</v>
      </c>
      <c r="E136" s="123" t="s">
        <v>3605</v>
      </c>
      <c r="F136" s="123" t="s">
        <v>196</v>
      </c>
      <c r="G136" s="123" t="s">
        <v>198</v>
      </c>
      <c r="H136" s="124" t="s">
        <v>3606</v>
      </c>
      <c r="I136" s="122">
        <v>46158</v>
      </c>
      <c r="J136" s="123" t="s">
        <v>3607</v>
      </c>
      <c r="K136" s="122">
        <v>46158</v>
      </c>
      <c r="L136" s="123" t="s">
        <v>199</v>
      </c>
      <c r="M136" s="123" t="s">
        <v>244</v>
      </c>
      <c r="N136" s="124" t="s">
        <v>271</v>
      </c>
      <c r="O136" s="123">
        <v>540</v>
      </c>
      <c r="P136" s="124">
        <v>100</v>
      </c>
      <c r="Q136" s="125">
        <f t="shared" si="300"/>
        <v>54000</v>
      </c>
      <c r="R136" s="126">
        <v>0</v>
      </c>
      <c r="S136" s="125">
        <f t="shared" si="301"/>
        <v>540</v>
      </c>
      <c r="T136" s="126">
        <v>0</v>
      </c>
      <c r="U136" s="127">
        <v>0</v>
      </c>
      <c r="V136" s="128">
        <v>0</v>
      </c>
      <c r="W136" s="127">
        <v>0</v>
      </c>
      <c r="X136" s="129">
        <v>0</v>
      </c>
      <c r="Y136" s="127">
        <v>0</v>
      </c>
      <c r="Z136" s="127">
        <v>0</v>
      </c>
      <c r="AA136" s="126">
        <v>0</v>
      </c>
      <c r="AB136" s="130">
        <f t="shared" si="302"/>
        <v>0</v>
      </c>
      <c r="AC136" s="129">
        <v>0</v>
      </c>
      <c r="AD136" s="125">
        <f t="shared" si="303"/>
        <v>100</v>
      </c>
      <c r="AE136" s="144">
        <v>0</v>
      </c>
      <c r="AF136" s="127">
        <v>0</v>
      </c>
      <c r="AG136" s="131">
        <v>0</v>
      </c>
      <c r="AH136" s="127">
        <v>0</v>
      </c>
      <c r="AI136" s="128">
        <v>0</v>
      </c>
      <c r="AJ136" s="127">
        <v>0</v>
      </c>
      <c r="AK136" s="127">
        <v>0</v>
      </c>
      <c r="AL136" s="127">
        <v>0</v>
      </c>
      <c r="AM136" s="132">
        <f t="shared" si="304"/>
        <v>54000</v>
      </c>
      <c r="AN136" s="133">
        <v>46158</v>
      </c>
      <c r="AO136" s="134" t="s">
        <v>3609</v>
      </c>
      <c r="AP136" s="135" t="s">
        <v>234</v>
      </c>
      <c r="AQ136" s="136" t="s">
        <v>235</v>
      </c>
      <c r="AR136" s="136" t="s">
        <v>236</v>
      </c>
      <c r="AS136" s="123" t="s">
        <v>239</v>
      </c>
      <c r="AT136" s="137" t="s">
        <v>238</v>
      </c>
      <c r="AU136" s="137" t="s">
        <v>197</v>
      </c>
      <c r="AV136" s="138" t="s">
        <v>329</v>
      </c>
      <c r="AW136" s="136">
        <v>540</v>
      </c>
      <c r="AX136" s="138">
        <v>120</v>
      </c>
      <c r="AY136" s="136">
        <f t="shared" si="337"/>
        <v>64800</v>
      </c>
      <c r="AZ136" s="139" t="b">
        <f t="shared" si="338"/>
        <v>1</v>
      </c>
      <c r="BA136" s="125">
        <v>0</v>
      </c>
      <c r="BB136" s="140">
        <f t="shared" si="339"/>
        <v>540</v>
      </c>
      <c r="BC136" s="141">
        <v>0</v>
      </c>
      <c r="BD136" s="140" t="s">
        <v>107</v>
      </c>
      <c r="BE136" s="141">
        <v>0</v>
      </c>
      <c r="BF136" s="140">
        <v>0</v>
      </c>
      <c r="BG136" s="141">
        <v>0</v>
      </c>
      <c r="BH136" s="127">
        <v>0</v>
      </c>
      <c r="BI136" s="130">
        <v>0</v>
      </c>
      <c r="BJ136" s="128">
        <v>0</v>
      </c>
      <c r="BK136" s="125">
        <v>0</v>
      </c>
      <c r="BL136" s="136">
        <v>0</v>
      </c>
      <c r="BM136" s="127">
        <v>0</v>
      </c>
      <c r="BN136" s="142">
        <f t="shared" si="340"/>
        <v>0</v>
      </c>
      <c r="BO136" s="126">
        <f t="shared" si="341"/>
        <v>64800</v>
      </c>
      <c r="BP136" s="132">
        <f t="shared" si="342"/>
        <v>10800</v>
      </c>
      <c r="BQ136" s="141" t="str">
        <f t="shared" si="343"/>
        <v>Positive Margin</v>
      </c>
      <c r="BR136" s="143" t="s">
        <v>119</v>
      </c>
      <c r="BS136" s="125">
        <f t="shared" si="344"/>
        <v>10800</v>
      </c>
      <c r="BT136" s="144" t="str">
        <f t="shared" si="345"/>
        <v>Positive Margin at Inception</v>
      </c>
      <c r="BU136" s="145">
        <f t="shared" si="346"/>
        <v>0.16666666666666666</v>
      </c>
      <c r="BV136" s="144" t="str">
        <f t="shared" si="347"/>
        <v>More than 2%</v>
      </c>
      <c r="BW136" s="125">
        <f t="shared" si="348"/>
        <v>0</v>
      </c>
      <c r="BX136" s="126">
        <f t="shared" si="349"/>
        <v>0</v>
      </c>
      <c r="BY136" s="125">
        <f t="shared" si="350"/>
        <v>0</v>
      </c>
      <c r="BZ136" s="146">
        <f t="shared" si="351"/>
        <v>0</v>
      </c>
      <c r="CA136" s="146">
        <f t="shared" si="352"/>
        <v>0</v>
      </c>
      <c r="CB136" s="127">
        <f t="shared" si="353"/>
        <v>0</v>
      </c>
      <c r="CC136" s="146" t="s">
        <v>397</v>
      </c>
      <c r="CD136" s="127">
        <v>0</v>
      </c>
      <c r="CE136" s="127" t="str">
        <f t="shared" si="354"/>
        <v>May-26</v>
      </c>
      <c r="CF136" s="127">
        <f t="shared" si="355"/>
        <v>54000</v>
      </c>
      <c r="CG136" s="127">
        <f t="shared" si="356"/>
        <v>64800</v>
      </c>
      <c r="CH136" s="127">
        <f t="shared" si="357"/>
        <v>7</v>
      </c>
      <c r="CI136" s="147" t="str">
        <f t="shared" si="358"/>
        <v>BG AHD</v>
      </c>
      <c r="CJ136" s="127">
        <v>0</v>
      </c>
      <c r="CK136" s="127">
        <v>0</v>
      </c>
      <c r="CL136" s="127">
        <f t="shared" si="359"/>
        <v>10800</v>
      </c>
      <c r="CM136" s="127">
        <f t="shared" si="360"/>
        <v>10800</v>
      </c>
      <c r="CN136" s="127">
        <f t="shared" si="361"/>
        <v>10800</v>
      </c>
      <c r="CO136" s="127">
        <f t="shared" si="362"/>
        <v>76464</v>
      </c>
      <c r="CP136" s="127">
        <f t="shared" si="363"/>
        <v>-63720</v>
      </c>
      <c r="CQ136" s="127">
        <f t="shared" si="364"/>
        <v>0</v>
      </c>
      <c r="CR136" s="127">
        <f t="shared" si="365"/>
        <v>0</v>
      </c>
      <c r="CS136" s="127">
        <f t="shared" si="366"/>
        <v>12744</v>
      </c>
      <c r="CT136" s="127" t="s">
        <v>361</v>
      </c>
      <c r="CU136" s="127" t="s">
        <v>361</v>
      </c>
      <c r="CV136" s="142" t="str">
        <f t="shared" si="367"/>
        <v>AAMCB5608A</v>
      </c>
      <c r="CW136" s="142" t="str">
        <f t="shared" si="368"/>
        <v>BJHPB3107J</v>
      </c>
    </row>
    <row r="137" spans="2:101" s="149" customFormat="1" ht="11.85" customHeight="1" x14ac:dyDescent="0.25">
      <c r="B137" s="120" t="str">
        <f t="shared" ref="B137:B153" si="369">"Q" &amp; IF(ROUNDUP(MONTH(D137)/3,0)-1=0,4,ROUNDUP(MONTH(D137)/3,0)-1)</f>
        <v>Q1</v>
      </c>
      <c r="C137" s="121" t="str">
        <f t="shared" ref="C137:C153" si="370">TEXT(AN137,"mmm-yy")</f>
        <v>May-26</v>
      </c>
      <c r="D137" s="122">
        <v>46160</v>
      </c>
      <c r="E137" s="123" t="s">
        <v>3634</v>
      </c>
      <c r="F137" s="123" t="s">
        <v>3635</v>
      </c>
      <c r="G137" s="123" t="s">
        <v>3636</v>
      </c>
      <c r="H137" s="124" t="s">
        <v>3637</v>
      </c>
      <c r="I137" s="122">
        <v>46160</v>
      </c>
      <c r="J137" s="123" t="s">
        <v>3638</v>
      </c>
      <c r="K137" s="122">
        <v>46161</v>
      </c>
      <c r="L137" s="123" t="s">
        <v>199</v>
      </c>
      <c r="M137" s="123" t="s">
        <v>3137</v>
      </c>
      <c r="N137" s="124" t="s">
        <v>257</v>
      </c>
      <c r="O137" s="123">
        <v>2960</v>
      </c>
      <c r="P137" s="124">
        <v>27.3</v>
      </c>
      <c r="Q137" s="125">
        <f t="shared" ref="Q137:Q153" si="371">O137*P137</f>
        <v>80808</v>
      </c>
      <c r="R137" s="126">
        <v>0</v>
      </c>
      <c r="S137" s="125">
        <f t="shared" ref="S137:S153" si="372">O137-R137</f>
        <v>2960</v>
      </c>
      <c r="T137" s="126">
        <v>0</v>
      </c>
      <c r="U137" s="127">
        <v>0</v>
      </c>
      <c r="V137" s="128">
        <v>0</v>
      </c>
      <c r="W137" s="127">
        <v>0</v>
      </c>
      <c r="X137" s="129">
        <v>0</v>
      </c>
      <c r="Y137" s="127">
        <v>0</v>
      </c>
      <c r="Z137" s="127">
        <v>0</v>
      </c>
      <c r="AA137" s="126">
        <v>0</v>
      </c>
      <c r="AB137" s="130">
        <f t="shared" ref="AB137:AB153" si="373">Y137+AA137+Z137</f>
        <v>0</v>
      </c>
      <c r="AC137" s="129">
        <v>0</v>
      </c>
      <c r="AD137" s="125">
        <f t="shared" ref="AD137:AD153" si="374">Q137/O137</f>
        <v>27.3</v>
      </c>
      <c r="AE137" s="144">
        <v>0</v>
      </c>
      <c r="AF137" s="127">
        <v>0</v>
      </c>
      <c r="AG137" s="131">
        <v>0</v>
      </c>
      <c r="AH137" s="127">
        <v>0</v>
      </c>
      <c r="AI137" s="128">
        <v>0</v>
      </c>
      <c r="AJ137" s="127">
        <v>0</v>
      </c>
      <c r="AK137" s="127">
        <v>0</v>
      </c>
      <c r="AL137" s="127">
        <v>0</v>
      </c>
      <c r="AM137" s="132">
        <f t="shared" ref="AM137:AM153" si="375">Q137+AB137+AL137+AK137+AJ137+T137+AE137</f>
        <v>80808</v>
      </c>
      <c r="AN137" s="133">
        <v>46161</v>
      </c>
      <c r="AO137" s="134" t="s">
        <v>3677</v>
      </c>
      <c r="AP137" s="135" t="s">
        <v>1937</v>
      </c>
      <c r="AQ137" s="136" t="s">
        <v>1938</v>
      </c>
      <c r="AR137" s="136" t="s">
        <v>1939</v>
      </c>
      <c r="AS137" s="123" t="s">
        <v>3678</v>
      </c>
      <c r="AT137" s="137" t="s">
        <v>1940</v>
      </c>
      <c r="AU137" s="137" t="s">
        <v>197</v>
      </c>
      <c r="AV137" s="138" t="s">
        <v>3679</v>
      </c>
      <c r="AW137" s="136">
        <v>2960</v>
      </c>
      <c r="AX137" s="138">
        <v>27.9</v>
      </c>
      <c r="AY137" s="136">
        <f t="shared" ref="AY137" si="376">AW137*AX137</f>
        <v>82584</v>
      </c>
      <c r="AZ137" s="139" t="b">
        <f t="shared" ref="AZ137" si="377">AW137=O137</f>
        <v>1</v>
      </c>
      <c r="BA137" s="125">
        <v>0</v>
      </c>
      <c r="BB137" s="140">
        <f t="shared" ref="BB137" si="378">AW137-BA137</f>
        <v>2960</v>
      </c>
      <c r="BC137" s="141">
        <v>0</v>
      </c>
      <c r="BD137" s="140" t="s">
        <v>107</v>
      </c>
      <c r="BE137" s="141">
        <v>0</v>
      </c>
      <c r="BF137" s="140">
        <v>0</v>
      </c>
      <c r="BG137" s="141">
        <v>0</v>
      </c>
      <c r="BH137" s="127">
        <v>0</v>
      </c>
      <c r="BI137" s="130">
        <v>0</v>
      </c>
      <c r="BJ137" s="128">
        <v>0</v>
      </c>
      <c r="BK137" s="125">
        <v>0</v>
      </c>
      <c r="BL137" s="136">
        <v>0</v>
      </c>
      <c r="BM137" s="127">
        <v>0</v>
      </c>
      <c r="BN137" s="142">
        <f t="shared" ref="BN137" si="379">AY137*$BN$3</f>
        <v>0</v>
      </c>
      <c r="BO137" s="126">
        <f t="shared" ref="BO137" si="380">AY137+BL137+BM137+BN137+BC137+BG137</f>
        <v>82584</v>
      </c>
      <c r="BP137" s="132">
        <f t="shared" ref="BP137" si="381">BO137-AM137</f>
        <v>1776</v>
      </c>
      <c r="BQ137" s="141" t="str">
        <f t="shared" ref="BQ137" si="382">IF(BP137&gt;=0,"Positive Margin","Negative Margin")</f>
        <v>Positive Margin</v>
      </c>
      <c r="BR137" s="143" t="s">
        <v>119</v>
      </c>
      <c r="BS137" s="125">
        <f t="shared" ref="BS137" si="383">AY137-Y137-Q137-AA137-T137+BC137</f>
        <v>1776</v>
      </c>
      <c r="BT137" s="144" t="str">
        <f t="shared" ref="BT137" si="384">IF(BS137&lt;0, "Negative Margin at Inception", "Positive Margin at Inception")</f>
        <v>Positive Margin at Inception</v>
      </c>
      <c r="BU137" s="145">
        <f t="shared" ref="BU137" si="385">IFERROR(BP137/BO137,"0")</f>
        <v>2.1505376344086023E-2</v>
      </c>
      <c r="BV137" s="144" t="str">
        <f t="shared" ref="BV137" si="386">IF(BU137&lt;1%,"Less Than 1%",IF(BU137&gt;2%,"More than 2%",IF(BU137&gt;=1%,"1% - 2%")))</f>
        <v>More than 2%</v>
      </c>
      <c r="BW137" s="125">
        <f t="shared" ref="BW137" si="387">BM137+BN137</f>
        <v>0</v>
      </c>
      <c r="BX137" s="126">
        <f t="shared" ref="BX137" si="388">AL137+AK137</f>
        <v>0</v>
      </c>
      <c r="BY137" s="125">
        <f t="shared" ref="BY137" si="389">BW137-BX137</f>
        <v>0</v>
      </c>
      <c r="BZ137" s="146">
        <f t="shared" ref="BZ137" si="390">BM137</f>
        <v>0</v>
      </c>
      <c r="CA137" s="146">
        <f t="shared" ref="CA137" si="391">AK137</f>
        <v>0</v>
      </c>
      <c r="CB137" s="127">
        <f t="shared" ref="CB137" si="392">BZ137-CA137</f>
        <v>0</v>
      </c>
      <c r="CC137" s="146" t="s">
        <v>397</v>
      </c>
      <c r="CD137" s="127">
        <v>0</v>
      </c>
      <c r="CE137" s="127" t="str">
        <f t="shared" ref="CE137" si="393">TEXT(AN137,"mmm-yy")</f>
        <v>May-26</v>
      </c>
      <c r="CF137" s="127">
        <f t="shared" ref="CF137" si="394">AM137-AL137-AA137</f>
        <v>80808</v>
      </c>
      <c r="CG137" s="127">
        <f t="shared" ref="CG137" si="395">BO137-BN137</f>
        <v>82584</v>
      </c>
      <c r="CH137" s="127">
        <f t="shared" ref="CH137" si="396">INT((D137- IF(MONTH(D137) &gt;= 4, DATE(YEAR(D137), 4, 1), DATE(YEAR(D137)-1, 4, 1))) / 7) + 1</f>
        <v>7</v>
      </c>
      <c r="CI137" s="147" t="str">
        <f t="shared" ref="CI137" si="397">IF(F137="BLACK GOLD RECYCLING PRIVATE LIMITED", "BG AHD", "B2B")</f>
        <v>B2B</v>
      </c>
      <c r="CJ137" s="127">
        <v>0</v>
      </c>
      <c r="CK137" s="127">
        <v>0</v>
      </c>
      <c r="CL137" s="127">
        <f t="shared" ref="CL137" si="398">AY137-Q137</f>
        <v>1776</v>
      </c>
      <c r="CM137" s="127">
        <f t="shared" ref="CM137" si="399">CL137-Y137+Z137</f>
        <v>1776</v>
      </c>
      <c r="CN137" s="127">
        <f t="shared" ref="CN137" si="400">BO137-AM137</f>
        <v>1776</v>
      </c>
      <c r="CO137" s="127">
        <f t="shared" ref="CO137" si="401">AY137*118%</f>
        <v>97449.12</v>
      </c>
      <c r="CP137" s="127">
        <f t="shared" ref="CP137" si="402">-Q137*118%</f>
        <v>-95353.439999999988</v>
      </c>
      <c r="CQ137" s="127">
        <f t="shared" ref="CQ137" si="403">-BZ137*118%</f>
        <v>0</v>
      </c>
      <c r="CR137" s="127">
        <f t="shared" ref="CR137" si="404">-CA137*118%</f>
        <v>0</v>
      </c>
      <c r="CS137" s="127">
        <f t="shared" ref="CS137" si="405">SUM(CO137:CR137)</f>
        <v>2095.6800000000076</v>
      </c>
      <c r="CT137" s="127" t="s">
        <v>361</v>
      </c>
      <c r="CU137" s="127" t="s">
        <v>361</v>
      </c>
      <c r="CV137" s="142" t="str">
        <f t="shared" ref="CV137" si="406">MID(G137,3,10)</f>
        <v>AAHCR8445C</v>
      </c>
      <c r="CW137" s="142" t="str">
        <f t="shared" ref="CW137" si="407">MID(AR137,3,10)</f>
        <v>AFDPY5902R</v>
      </c>
    </row>
    <row r="138" spans="2:101" s="149" customFormat="1" ht="11.85" customHeight="1" x14ac:dyDescent="0.25">
      <c r="B138" s="120" t="str">
        <f t="shared" si="369"/>
        <v>Q1</v>
      </c>
      <c r="C138" s="121" t="str">
        <f t="shared" si="370"/>
        <v>May-26</v>
      </c>
      <c r="D138" s="122">
        <v>46160</v>
      </c>
      <c r="E138" s="123" t="s">
        <v>3639</v>
      </c>
      <c r="F138" s="123" t="s">
        <v>196</v>
      </c>
      <c r="G138" s="123" t="s">
        <v>198</v>
      </c>
      <c r="H138" s="124" t="s">
        <v>3640</v>
      </c>
      <c r="I138" s="122">
        <v>46160</v>
      </c>
      <c r="J138" s="123" t="s">
        <v>3641</v>
      </c>
      <c r="K138" s="122">
        <v>46160</v>
      </c>
      <c r="L138" s="123" t="s">
        <v>199</v>
      </c>
      <c r="M138" s="123" t="s">
        <v>2331</v>
      </c>
      <c r="N138" s="124" t="s">
        <v>268</v>
      </c>
      <c r="O138" s="123">
        <v>790</v>
      </c>
      <c r="P138" s="124">
        <v>125</v>
      </c>
      <c r="Q138" s="125">
        <f t="shared" si="371"/>
        <v>98750</v>
      </c>
      <c r="R138" s="126">
        <v>0</v>
      </c>
      <c r="S138" s="125">
        <f t="shared" si="372"/>
        <v>790</v>
      </c>
      <c r="T138" s="126">
        <v>0</v>
      </c>
      <c r="U138" s="127">
        <v>0</v>
      </c>
      <c r="V138" s="128">
        <v>0</v>
      </c>
      <c r="W138" s="127">
        <v>0</v>
      </c>
      <c r="X138" s="129">
        <v>0</v>
      </c>
      <c r="Y138" s="127">
        <v>0</v>
      </c>
      <c r="Z138" s="127">
        <v>0</v>
      </c>
      <c r="AA138" s="126">
        <v>0</v>
      </c>
      <c r="AB138" s="130">
        <f t="shared" si="373"/>
        <v>0</v>
      </c>
      <c r="AC138" s="129">
        <v>0</v>
      </c>
      <c r="AD138" s="125">
        <f t="shared" si="374"/>
        <v>125</v>
      </c>
      <c r="AE138" s="144">
        <v>0</v>
      </c>
      <c r="AF138" s="127">
        <v>0</v>
      </c>
      <c r="AG138" s="131">
        <v>0</v>
      </c>
      <c r="AH138" s="127">
        <v>0</v>
      </c>
      <c r="AI138" s="128">
        <v>0</v>
      </c>
      <c r="AJ138" s="127">
        <v>0</v>
      </c>
      <c r="AK138" s="127">
        <v>0</v>
      </c>
      <c r="AL138" s="127">
        <v>0</v>
      </c>
      <c r="AM138" s="132">
        <f t="shared" si="375"/>
        <v>98750</v>
      </c>
      <c r="AN138" s="133">
        <v>46160</v>
      </c>
      <c r="AO138" s="134" t="s">
        <v>3680</v>
      </c>
      <c r="AP138" s="135" t="s">
        <v>234</v>
      </c>
      <c r="AQ138" s="136" t="s">
        <v>235</v>
      </c>
      <c r="AR138" s="136" t="s">
        <v>236</v>
      </c>
      <c r="AS138" s="123" t="s">
        <v>239</v>
      </c>
      <c r="AT138" s="137" t="s">
        <v>238</v>
      </c>
      <c r="AU138" s="137" t="s">
        <v>197</v>
      </c>
      <c r="AV138" s="138" t="s">
        <v>329</v>
      </c>
      <c r="AW138" s="136">
        <v>790</v>
      </c>
      <c r="AX138" s="138">
        <v>130</v>
      </c>
      <c r="AY138" s="136">
        <f t="shared" ref="AY138:AY153" si="408">AW138*AX138</f>
        <v>102700</v>
      </c>
      <c r="AZ138" s="139" t="b">
        <f t="shared" ref="AZ138:AZ153" si="409">AW138=O138</f>
        <v>1</v>
      </c>
      <c r="BA138" s="125">
        <v>0</v>
      </c>
      <c r="BB138" s="140">
        <f t="shared" ref="BB138:BB153" si="410">AW138-BA138</f>
        <v>790</v>
      </c>
      <c r="BC138" s="141">
        <v>0</v>
      </c>
      <c r="BD138" s="140" t="s">
        <v>107</v>
      </c>
      <c r="BE138" s="141">
        <v>0</v>
      </c>
      <c r="BF138" s="140">
        <v>0</v>
      </c>
      <c r="BG138" s="141">
        <v>0</v>
      </c>
      <c r="BH138" s="127">
        <v>0</v>
      </c>
      <c r="BI138" s="130">
        <v>0</v>
      </c>
      <c r="BJ138" s="128">
        <v>0</v>
      </c>
      <c r="BK138" s="125">
        <v>0</v>
      </c>
      <c r="BL138" s="136">
        <v>0</v>
      </c>
      <c r="BM138" s="127">
        <v>0</v>
      </c>
      <c r="BN138" s="142">
        <f t="shared" ref="BN138:BN153" si="411">AY138*$BN$3</f>
        <v>0</v>
      </c>
      <c r="BO138" s="126">
        <f t="shared" ref="BO138:BO153" si="412">AY138+BL138+BM138+BN138+BC138+BG138</f>
        <v>102700</v>
      </c>
      <c r="BP138" s="132">
        <f t="shared" ref="BP138:BP153" si="413">BO138-AM138</f>
        <v>3950</v>
      </c>
      <c r="BQ138" s="141" t="str">
        <f t="shared" ref="BQ138:BQ153" si="414">IF(BP138&gt;=0,"Positive Margin","Negative Margin")</f>
        <v>Positive Margin</v>
      </c>
      <c r="BR138" s="143" t="s">
        <v>119</v>
      </c>
      <c r="BS138" s="125">
        <f t="shared" ref="BS138:BS153" si="415">AY138-Y138-Q138-AA138-T138+BC138</f>
        <v>3950</v>
      </c>
      <c r="BT138" s="144" t="str">
        <f t="shared" ref="BT138:BT153" si="416">IF(BS138&lt;0, "Negative Margin at Inception", "Positive Margin at Inception")</f>
        <v>Positive Margin at Inception</v>
      </c>
      <c r="BU138" s="145">
        <f t="shared" ref="BU138:BU153" si="417">IFERROR(BP138/BO138,"0")</f>
        <v>3.8461538461538464E-2</v>
      </c>
      <c r="BV138" s="144" t="str">
        <f t="shared" ref="BV138:BV153" si="418">IF(BU138&lt;1%,"Less Than 1%",IF(BU138&gt;2%,"More than 2%",IF(BU138&gt;=1%,"1% - 2%")))</f>
        <v>More than 2%</v>
      </c>
      <c r="BW138" s="125">
        <f t="shared" ref="BW138:BW153" si="419">BM138+BN138</f>
        <v>0</v>
      </c>
      <c r="BX138" s="126">
        <f t="shared" ref="BX138:BX153" si="420">AL138+AK138</f>
        <v>0</v>
      </c>
      <c r="BY138" s="125">
        <f t="shared" ref="BY138:BY153" si="421">BW138-BX138</f>
        <v>0</v>
      </c>
      <c r="BZ138" s="146">
        <f t="shared" ref="BZ138:BZ153" si="422">BM138</f>
        <v>0</v>
      </c>
      <c r="CA138" s="146">
        <f t="shared" ref="CA138:CA153" si="423">AK138</f>
        <v>0</v>
      </c>
      <c r="CB138" s="127">
        <f t="shared" ref="CB138:CB153" si="424">BZ138-CA138</f>
        <v>0</v>
      </c>
      <c r="CC138" s="146" t="s">
        <v>397</v>
      </c>
      <c r="CD138" s="127">
        <v>0</v>
      </c>
      <c r="CE138" s="127" t="str">
        <f t="shared" ref="CE138:CE153" si="425">TEXT(AN138,"mmm-yy")</f>
        <v>May-26</v>
      </c>
      <c r="CF138" s="127">
        <f t="shared" ref="CF138:CF153" si="426">AM138-AL138-AA138</f>
        <v>98750</v>
      </c>
      <c r="CG138" s="127">
        <f t="shared" ref="CG138:CG153" si="427">BO138-BN138</f>
        <v>102700</v>
      </c>
      <c r="CH138" s="127">
        <f t="shared" ref="CH138:CH153" si="428">INT((D138- IF(MONTH(D138) &gt;= 4, DATE(YEAR(D138), 4, 1), DATE(YEAR(D138)-1, 4, 1))) / 7) + 1</f>
        <v>7</v>
      </c>
      <c r="CI138" s="147" t="str">
        <f t="shared" ref="CI138:CI153" si="429">IF(F138="BLACK GOLD RECYCLING PRIVATE LIMITED", "BG AHD", "B2B")</f>
        <v>BG AHD</v>
      </c>
      <c r="CJ138" s="127">
        <v>0</v>
      </c>
      <c r="CK138" s="127">
        <v>0</v>
      </c>
      <c r="CL138" s="127">
        <f t="shared" ref="CL138:CL153" si="430">AY138-Q138</f>
        <v>3950</v>
      </c>
      <c r="CM138" s="127">
        <f t="shared" ref="CM138:CM153" si="431">CL138-Y138+Z138</f>
        <v>3950</v>
      </c>
      <c r="CN138" s="127">
        <f t="shared" ref="CN138:CN153" si="432">BO138-AM138</f>
        <v>3950</v>
      </c>
      <c r="CO138" s="127">
        <f t="shared" ref="CO138:CO153" si="433">AY138*118%</f>
        <v>121186</v>
      </c>
      <c r="CP138" s="127">
        <f t="shared" ref="CP138:CP153" si="434">-Q138*118%</f>
        <v>-116525</v>
      </c>
      <c r="CQ138" s="127">
        <f t="shared" ref="CQ138:CQ153" si="435">-BZ138*118%</f>
        <v>0</v>
      </c>
      <c r="CR138" s="127">
        <f t="shared" ref="CR138:CR153" si="436">-CA138*118%</f>
        <v>0</v>
      </c>
      <c r="CS138" s="127">
        <f t="shared" ref="CS138:CS153" si="437">SUM(CO138:CR138)</f>
        <v>4661</v>
      </c>
      <c r="CT138" s="127" t="s">
        <v>361</v>
      </c>
      <c r="CU138" s="127" t="s">
        <v>361</v>
      </c>
      <c r="CV138" s="142" t="str">
        <f t="shared" ref="CV138:CV153" si="438">MID(G138,3,10)</f>
        <v>AAMCB5608A</v>
      </c>
      <c r="CW138" s="142" t="str">
        <f t="shared" ref="CW138:CW153" si="439">MID(AR138,3,10)</f>
        <v>BJHPB3107J</v>
      </c>
    </row>
    <row r="139" spans="2:101" s="149" customFormat="1" ht="11.85" customHeight="1" x14ac:dyDescent="0.25">
      <c r="B139" s="120" t="str">
        <f t="shared" si="369"/>
        <v>Q1</v>
      </c>
      <c r="C139" s="121" t="str">
        <f t="shared" si="370"/>
        <v>May-26</v>
      </c>
      <c r="D139" s="122">
        <v>46161</v>
      </c>
      <c r="E139" s="123" t="s">
        <v>3642</v>
      </c>
      <c r="F139" s="123" t="s">
        <v>196</v>
      </c>
      <c r="G139" s="123" t="s">
        <v>198</v>
      </c>
      <c r="H139" s="124" t="s">
        <v>3643</v>
      </c>
      <c r="I139" s="122">
        <v>46161</v>
      </c>
      <c r="J139" s="123" t="s">
        <v>3644</v>
      </c>
      <c r="K139" s="122">
        <v>46161</v>
      </c>
      <c r="L139" s="123" t="s">
        <v>199</v>
      </c>
      <c r="M139" s="123" t="s">
        <v>3645</v>
      </c>
      <c r="N139" s="124" t="s">
        <v>204</v>
      </c>
      <c r="O139" s="123">
        <v>7370</v>
      </c>
      <c r="P139" s="124">
        <v>10</v>
      </c>
      <c r="Q139" s="125">
        <f t="shared" si="371"/>
        <v>73700</v>
      </c>
      <c r="R139" s="126">
        <v>0</v>
      </c>
      <c r="S139" s="125">
        <f t="shared" si="372"/>
        <v>7370</v>
      </c>
      <c r="T139" s="126">
        <v>0</v>
      </c>
      <c r="U139" s="127">
        <v>0</v>
      </c>
      <c r="V139" s="128">
        <v>0</v>
      </c>
      <c r="W139" s="127">
        <v>0</v>
      </c>
      <c r="X139" s="129">
        <v>0</v>
      </c>
      <c r="Y139" s="127">
        <v>0</v>
      </c>
      <c r="Z139" s="127">
        <v>0</v>
      </c>
      <c r="AA139" s="126">
        <v>0</v>
      </c>
      <c r="AB139" s="130">
        <f t="shared" si="373"/>
        <v>0</v>
      </c>
      <c r="AC139" s="129">
        <v>0</v>
      </c>
      <c r="AD139" s="125">
        <f t="shared" si="374"/>
        <v>10</v>
      </c>
      <c r="AE139" s="144">
        <v>0</v>
      </c>
      <c r="AF139" s="127">
        <v>0</v>
      </c>
      <c r="AG139" s="131">
        <v>0</v>
      </c>
      <c r="AH139" s="127">
        <v>0</v>
      </c>
      <c r="AI139" s="128">
        <v>0</v>
      </c>
      <c r="AJ139" s="127">
        <v>0</v>
      </c>
      <c r="AK139" s="127">
        <v>0</v>
      </c>
      <c r="AL139" s="127">
        <v>0</v>
      </c>
      <c r="AM139" s="132">
        <f t="shared" si="375"/>
        <v>73700</v>
      </c>
      <c r="AN139" s="133">
        <v>46161</v>
      </c>
      <c r="AO139" s="134" t="s">
        <v>3681</v>
      </c>
      <c r="AP139" s="135" t="s">
        <v>234</v>
      </c>
      <c r="AQ139" s="136" t="s">
        <v>235</v>
      </c>
      <c r="AR139" s="136" t="s">
        <v>236</v>
      </c>
      <c r="AS139" s="123" t="s">
        <v>237</v>
      </c>
      <c r="AT139" s="137" t="s">
        <v>238</v>
      </c>
      <c r="AU139" s="137" t="s">
        <v>197</v>
      </c>
      <c r="AV139" s="138" t="s">
        <v>329</v>
      </c>
      <c r="AW139" s="136">
        <v>7370</v>
      </c>
      <c r="AX139" s="138">
        <v>12</v>
      </c>
      <c r="AY139" s="136">
        <f t="shared" si="408"/>
        <v>88440</v>
      </c>
      <c r="AZ139" s="139" t="b">
        <f t="shared" si="409"/>
        <v>1</v>
      </c>
      <c r="BA139" s="125">
        <v>0</v>
      </c>
      <c r="BB139" s="140">
        <f t="shared" si="410"/>
        <v>7370</v>
      </c>
      <c r="BC139" s="141">
        <v>0</v>
      </c>
      <c r="BD139" s="140" t="s">
        <v>107</v>
      </c>
      <c r="BE139" s="141">
        <v>0</v>
      </c>
      <c r="BF139" s="140">
        <v>0</v>
      </c>
      <c r="BG139" s="141">
        <v>0</v>
      </c>
      <c r="BH139" s="127">
        <v>0</v>
      </c>
      <c r="BI139" s="130">
        <v>0</v>
      </c>
      <c r="BJ139" s="128">
        <v>0</v>
      </c>
      <c r="BK139" s="125">
        <v>0</v>
      </c>
      <c r="BL139" s="136">
        <v>0</v>
      </c>
      <c r="BM139" s="127">
        <v>0</v>
      </c>
      <c r="BN139" s="142">
        <f t="shared" si="411"/>
        <v>0</v>
      </c>
      <c r="BO139" s="126">
        <f t="shared" si="412"/>
        <v>88440</v>
      </c>
      <c r="BP139" s="132">
        <f t="shared" si="413"/>
        <v>14740</v>
      </c>
      <c r="BQ139" s="141" t="str">
        <f t="shared" si="414"/>
        <v>Positive Margin</v>
      </c>
      <c r="BR139" s="143" t="s">
        <v>119</v>
      </c>
      <c r="BS139" s="125">
        <f t="shared" si="415"/>
        <v>14740</v>
      </c>
      <c r="BT139" s="144" t="str">
        <f t="shared" si="416"/>
        <v>Positive Margin at Inception</v>
      </c>
      <c r="BU139" s="145">
        <f t="shared" si="417"/>
        <v>0.16666666666666666</v>
      </c>
      <c r="BV139" s="144" t="str">
        <f t="shared" si="418"/>
        <v>More than 2%</v>
      </c>
      <c r="BW139" s="125">
        <f t="shared" si="419"/>
        <v>0</v>
      </c>
      <c r="BX139" s="126">
        <f t="shared" si="420"/>
        <v>0</v>
      </c>
      <c r="BY139" s="125">
        <f t="shared" si="421"/>
        <v>0</v>
      </c>
      <c r="BZ139" s="146">
        <f t="shared" si="422"/>
        <v>0</v>
      </c>
      <c r="CA139" s="146">
        <f t="shared" si="423"/>
        <v>0</v>
      </c>
      <c r="CB139" s="127">
        <f t="shared" si="424"/>
        <v>0</v>
      </c>
      <c r="CC139" s="146" t="s">
        <v>397</v>
      </c>
      <c r="CD139" s="127">
        <v>0</v>
      </c>
      <c r="CE139" s="127" t="str">
        <f t="shared" si="425"/>
        <v>May-26</v>
      </c>
      <c r="CF139" s="127">
        <f t="shared" si="426"/>
        <v>73700</v>
      </c>
      <c r="CG139" s="127">
        <f t="shared" si="427"/>
        <v>88440</v>
      </c>
      <c r="CH139" s="127">
        <f t="shared" si="428"/>
        <v>7</v>
      </c>
      <c r="CI139" s="147" t="str">
        <f t="shared" si="429"/>
        <v>BG AHD</v>
      </c>
      <c r="CJ139" s="127">
        <v>0</v>
      </c>
      <c r="CK139" s="127">
        <v>0</v>
      </c>
      <c r="CL139" s="127">
        <f t="shared" si="430"/>
        <v>14740</v>
      </c>
      <c r="CM139" s="127">
        <f t="shared" si="431"/>
        <v>14740</v>
      </c>
      <c r="CN139" s="127">
        <f t="shared" si="432"/>
        <v>14740</v>
      </c>
      <c r="CO139" s="127">
        <f t="shared" si="433"/>
        <v>104359.2</v>
      </c>
      <c r="CP139" s="127">
        <f t="shared" si="434"/>
        <v>-86966</v>
      </c>
      <c r="CQ139" s="127">
        <f t="shared" si="435"/>
        <v>0</v>
      </c>
      <c r="CR139" s="127">
        <f t="shared" si="436"/>
        <v>0</v>
      </c>
      <c r="CS139" s="127">
        <f t="shared" si="437"/>
        <v>17393.199999999997</v>
      </c>
      <c r="CT139" s="127" t="s">
        <v>361</v>
      </c>
      <c r="CU139" s="127" t="s">
        <v>361</v>
      </c>
      <c r="CV139" s="142" t="str">
        <f t="shared" si="438"/>
        <v>AAMCB5608A</v>
      </c>
      <c r="CW139" s="142" t="str">
        <f t="shared" si="439"/>
        <v>BJHPB3107J</v>
      </c>
    </row>
    <row r="140" spans="2:101" s="149" customFormat="1" ht="11.85" customHeight="1" x14ac:dyDescent="0.25">
      <c r="B140" s="120" t="str">
        <f t="shared" si="369"/>
        <v>Q1</v>
      </c>
      <c r="C140" s="121" t="str">
        <f t="shared" si="370"/>
        <v>May-26</v>
      </c>
      <c r="D140" s="122">
        <v>46161</v>
      </c>
      <c r="E140" s="123" t="s">
        <v>3646</v>
      </c>
      <c r="F140" s="123" t="s">
        <v>3635</v>
      </c>
      <c r="G140" s="123" t="s">
        <v>3636</v>
      </c>
      <c r="H140" s="124" t="s">
        <v>3647</v>
      </c>
      <c r="I140" s="122">
        <v>46161</v>
      </c>
      <c r="J140" s="123" t="s">
        <v>3648</v>
      </c>
      <c r="K140" s="122">
        <v>46162</v>
      </c>
      <c r="L140" s="123" t="s">
        <v>199</v>
      </c>
      <c r="M140" s="123" t="s">
        <v>1941</v>
      </c>
      <c r="N140" s="124" t="s">
        <v>257</v>
      </c>
      <c r="O140" s="123">
        <v>3900</v>
      </c>
      <c r="P140" s="124">
        <v>27.3</v>
      </c>
      <c r="Q140" s="125">
        <f t="shared" si="371"/>
        <v>106470</v>
      </c>
      <c r="R140" s="126">
        <v>0</v>
      </c>
      <c r="S140" s="125">
        <f t="shared" si="372"/>
        <v>3900</v>
      </c>
      <c r="T140" s="126">
        <v>0</v>
      </c>
      <c r="U140" s="127">
        <v>0</v>
      </c>
      <c r="V140" s="128">
        <v>0</v>
      </c>
      <c r="W140" s="127">
        <v>0</v>
      </c>
      <c r="X140" s="129">
        <v>0</v>
      </c>
      <c r="Y140" s="127">
        <v>0</v>
      </c>
      <c r="Z140" s="127">
        <v>0</v>
      </c>
      <c r="AA140" s="126">
        <v>0</v>
      </c>
      <c r="AB140" s="130">
        <f t="shared" si="373"/>
        <v>0</v>
      </c>
      <c r="AC140" s="129">
        <v>0</v>
      </c>
      <c r="AD140" s="125">
        <f t="shared" si="374"/>
        <v>27.3</v>
      </c>
      <c r="AE140" s="144">
        <v>0</v>
      </c>
      <c r="AF140" s="127">
        <v>0</v>
      </c>
      <c r="AG140" s="131">
        <v>0</v>
      </c>
      <c r="AH140" s="127">
        <v>0</v>
      </c>
      <c r="AI140" s="128">
        <v>0</v>
      </c>
      <c r="AJ140" s="127">
        <v>0</v>
      </c>
      <c r="AK140" s="127">
        <v>0</v>
      </c>
      <c r="AL140" s="127">
        <v>0</v>
      </c>
      <c r="AM140" s="132">
        <f t="shared" si="375"/>
        <v>106470</v>
      </c>
      <c r="AN140" s="133">
        <v>46162</v>
      </c>
      <c r="AO140" s="134" t="s">
        <v>3682</v>
      </c>
      <c r="AP140" s="135" t="s">
        <v>1937</v>
      </c>
      <c r="AQ140" s="136" t="s">
        <v>1938</v>
      </c>
      <c r="AR140" s="136" t="s">
        <v>1939</v>
      </c>
      <c r="AS140" s="123" t="s">
        <v>3683</v>
      </c>
      <c r="AT140" s="137" t="s">
        <v>1940</v>
      </c>
      <c r="AU140" s="137" t="s">
        <v>197</v>
      </c>
      <c r="AV140" s="138" t="s">
        <v>3684</v>
      </c>
      <c r="AW140" s="136">
        <v>3900</v>
      </c>
      <c r="AX140" s="138">
        <v>27.9</v>
      </c>
      <c r="AY140" s="136">
        <f t="shared" si="408"/>
        <v>108810</v>
      </c>
      <c r="AZ140" s="139" t="b">
        <f t="shared" si="409"/>
        <v>1</v>
      </c>
      <c r="BA140" s="125">
        <v>0</v>
      </c>
      <c r="BB140" s="140">
        <f t="shared" si="410"/>
        <v>3900</v>
      </c>
      <c r="BC140" s="141">
        <v>0</v>
      </c>
      <c r="BD140" s="140" t="s">
        <v>107</v>
      </c>
      <c r="BE140" s="141">
        <v>0</v>
      </c>
      <c r="BF140" s="140">
        <v>0</v>
      </c>
      <c r="BG140" s="141">
        <v>0</v>
      </c>
      <c r="BH140" s="127">
        <v>0</v>
      </c>
      <c r="BI140" s="130">
        <v>0</v>
      </c>
      <c r="BJ140" s="128">
        <v>0</v>
      </c>
      <c r="BK140" s="125">
        <v>0</v>
      </c>
      <c r="BL140" s="136">
        <v>0</v>
      </c>
      <c r="BM140" s="127">
        <v>0</v>
      </c>
      <c r="BN140" s="142">
        <f t="shared" si="411"/>
        <v>0</v>
      </c>
      <c r="BO140" s="126">
        <f t="shared" si="412"/>
        <v>108810</v>
      </c>
      <c r="BP140" s="132">
        <f t="shared" si="413"/>
        <v>2340</v>
      </c>
      <c r="BQ140" s="141" t="str">
        <f t="shared" si="414"/>
        <v>Positive Margin</v>
      </c>
      <c r="BR140" s="143" t="s">
        <v>119</v>
      </c>
      <c r="BS140" s="125">
        <f t="shared" si="415"/>
        <v>2340</v>
      </c>
      <c r="BT140" s="144" t="str">
        <f t="shared" si="416"/>
        <v>Positive Margin at Inception</v>
      </c>
      <c r="BU140" s="145">
        <f t="shared" si="417"/>
        <v>2.1505376344086023E-2</v>
      </c>
      <c r="BV140" s="144" t="str">
        <f t="shared" si="418"/>
        <v>More than 2%</v>
      </c>
      <c r="BW140" s="125">
        <f t="shared" si="419"/>
        <v>0</v>
      </c>
      <c r="BX140" s="126">
        <f t="shared" si="420"/>
        <v>0</v>
      </c>
      <c r="BY140" s="125">
        <f t="shared" si="421"/>
        <v>0</v>
      </c>
      <c r="BZ140" s="146">
        <f t="shared" si="422"/>
        <v>0</v>
      </c>
      <c r="CA140" s="146">
        <f t="shared" si="423"/>
        <v>0</v>
      </c>
      <c r="CB140" s="127">
        <f t="shared" si="424"/>
        <v>0</v>
      </c>
      <c r="CC140" s="146" t="s">
        <v>397</v>
      </c>
      <c r="CD140" s="127">
        <v>0</v>
      </c>
      <c r="CE140" s="127" t="str">
        <f t="shared" si="425"/>
        <v>May-26</v>
      </c>
      <c r="CF140" s="127">
        <f t="shared" si="426"/>
        <v>106470</v>
      </c>
      <c r="CG140" s="127">
        <f t="shared" si="427"/>
        <v>108810</v>
      </c>
      <c r="CH140" s="127">
        <f t="shared" si="428"/>
        <v>7</v>
      </c>
      <c r="CI140" s="147" t="str">
        <f t="shared" si="429"/>
        <v>B2B</v>
      </c>
      <c r="CJ140" s="127">
        <v>0</v>
      </c>
      <c r="CK140" s="127">
        <v>0</v>
      </c>
      <c r="CL140" s="127">
        <f t="shared" si="430"/>
        <v>2340</v>
      </c>
      <c r="CM140" s="127">
        <f t="shared" si="431"/>
        <v>2340</v>
      </c>
      <c r="CN140" s="127">
        <f t="shared" si="432"/>
        <v>2340</v>
      </c>
      <c r="CO140" s="127">
        <f t="shared" si="433"/>
        <v>128395.79999999999</v>
      </c>
      <c r="CP140" s="127">
        <f t="shared" si="434"/>
        <v>-125634.59999999999</v>
      </c>
      <c r="CQ140" s="127">
        <f t="shared" si="435"/>
        <v>0</v>
      </c>
      <c r="CR140" s="127">
        <f t="shared" si="436"/>
        <v>0</v>
      </c>
      <c r="CS140" s="127">
        <f t="shared" si="437"/>
        <v>2761.1999999999971</v>
      </c>
      <c r="CT140" s="127" t="s">
        <v>361</v>
      </c>
      <c r="CU140" s="127" t="s">
        <v>361</v>
      </c>
      <c r="CV140" s="142" t="str">
        <f t="shared" si="438"/>
        <v>AAHCR8445C</v>
      </c>
      <c r="CW140" s="142" t="str">
        <f t="shared" si="439"/>
        <v>AFDPY5902R</v>
      </c>
    </row>
    <row r="141" spans="2:101" s="149" customFormat="1" ht="11.85" customHeight="1" x14ac:dyDescent="0.25">
      <c r="B141" s="120" t="str">
        <f t="shared" si="369"/>
        <v>Q1</v>
      </c>
      <c r="C141" s="121" t="str">
        <f t="shared" si="370"/>
        <v>May-26</v>
      </c>
      <c r="D141" s="122">
        <v>46162</v>
      </c>
      <c r="E141" s="123" t="s">
        <v>3649</v>
      </c>
      <c r="F141" s="123" t="s">
        <v>196</v>
      </c>
      <c r="G141" s="123" t="s">
        <v>198</v>
      </c>
      <c r="H141" s="124" t="s">
        <v>3650</v>
      </c>
      <c r="I141" s="122">
        <v>46162</v>
      </c>
      <c r="J141" s="123" t="s">
        <v>3651</v>
      </c>
      <c r="K141" s="122">
        <v>46162</v>
      </c>
      <c r="L141" s="123" t="s">
        <v>199</v>
      </c>
      <c r="M141" s="123" t="s">
        <v>244</v>
      </c>
      <c r="N141" s="124" t="s">
        <v>252</v>
      </c>
      <c r="O141" s="123">
        <v>2820</v>
      </c>
      <c r="P141" s="124">
        <v>2</v>
      </c>
      <c r="Q141" s="125">
        <f t="shared" si="371"/>
        <v>5640</v>
      </c>
      <c r="R141" s="126">
        <v>0</v>
      </c>
      <c r="S141" s="125">
        <f t="shared" si="372"/>
        <v>2820</v>
      </c>
      <c r="T141" s="126">
        <v>0</v>
      </c>
      <c r="U141" s="127">
        <v>0</v>
      </c>
      <c r="V141" s="128">
        <v>0</v>
      </c>
      <c r="W141" s="127">
        <v>0</v>
      </c>
      <c r="X141" s="129">
        <v>0</v>
      </c>
      <c r="Y141" s="127">
        <v>0</v>
      </c>
      <c r="Z141" s="127">
        <v>0</v>
      </c>
      <c r="AA141" s="126">
        <v>0</v>
      </c>
      <c r="AB141" s="130">
        <f t="shared" si="373"/>
        <v>0</v>
      </c>
      <c r="AC141" s="129">
        <v>0</v>
      </c>
      <c r="AD141" s="125">
        <f t="shared" si="374"/>
        <v>2</v>
      </c>
      <c r="AE141" s="144">
        <v>0</v>
      </c>
      <c r="AF141" s="127">
        <v>0</v>
      </c>
      <c r="AG141" s="131">
        <v>0</v>
      </c>
      <c r="AH141" s="127">
        <v>0</v>
      </c>
      <c r="AI141" s="128">
        <v>0</v>
      </c>
      <c r="AJ141" s="127">
        <v>0</v>
      </c>
      <c r="AK141" s="127">
        <v>0</v>
      </c>
      <c r="AL141" s="127">
        <v>0</v>
      </c>
      <c r="AM141" s="132">
        <f t="shared" si="375"/>
        <v>5640</v>
      </c>
      <c r="AN141" s="133">
        <v>46162</v>
      </c>
      <c r="AO141" s="134" t="s">
        <v>3693</v>
      </c>
      <c r="AP141" s="135" t="s">
        <v>234</v>
      </c>
      <c r="AQ141" s="136" t="s">
        <v>235</v>
      </c>
      <c r="AR141" s="136" t="s">
        <v>236</v>
      </c>
      <c r="AS141" s="123" t="s">
        <v>239</v>
      </c>
      <c r="AT141" s="137" t="s">
        <v>238</v>
      </c>
      <c r="AU141" s="137" t="s">
        <v>197</v>
      </c>
      <c r="AV141" s="138" t="s">
        <v>329</v>
      </c>
      <c r="AW141" s="136">
        <v>2820</v>
      </c>
      <c r="AX141" s="138">
        <v>2.1</v>
      </c>
      <c r="AY141" s="136">
        <f t="shared" si="408"/>
        <v>5922</v>
      </c>
      <c r="AZ141" s="139" t="b">
        <f t="shared" si="409"/>
        <v>1</v>
      </c>
      <c r="BA141" s="125">
        <v>0</v>
      </c>
      <c r="BB141" s="140">
        <f t="shared" si="410"/>
        <v>2820</v>
      </c>
      <c r="BC141" s="141">
        <v>0</v>
      </c>
      <c r="BD141" s="140" t="s">
        <v>107</v>
      </c>
      <c r="BE141" s="141">
        <v>0</v>
      </c>
      <c r="BF141" s="140">
        <v>0</v>
      </c>
      <c r="BG141" s="141">
        <v>0</v>
      </c>
      <c r="BH141" s="127">
        <v>0</v>
      </c>
      <c r="BI141" s="130">
        <v>0</v>
      </c>
      <c r="BJ141" s="128">
        <v>0</v>
      </c>
      <c r="BK141" s="125">
        <v>0</v>
      </c>
      <c r="BL141" s="136">
        <v>0</v>
      </c>
      <c r="BM141" s="127">
        <v>0</v>
      </c>
      <c r="BN141" s="142">
        <f t="shared" si="411"/>
        <v>0</v>
      </c>
      <c r="BO141" s="126">
        <f t="shared" si="412"/>
        <v>5922</v>
      </c>
      <c r="BP141" s="132">
        <f t="shared" si="413"/>
        <v>282</v>
      </c>
      <c r="BQ141" s="141" t="str">
        <f t="shared" si="414"/>
        <v>Positive Margin</v>
      </c>
      <c r="BR141" s="143" t="s">
        <v>119</v>
      </c>
      <c r="BS141" s="125">
        <f t="shared" si="415"/>
        <v>282</v>
      </c>
      <c r="BT141" s="144" t="str">
        <f t="shared" si="416"/>
        <v>Positive Margin at Inception</v>
      </c>
      <c r="BU141" s="145">
        <f t="shared" si="417"/>
        <v>4.7619047619047616E-2</v>
      </c>
      <c r="BV141" s="144" t="str">
        <f t="shared" si="418"/>
        <v>More than 2%</v>
      </c>
      <c r="BW141" s="125">
        <f t="shared" si="419"/>
        <v>0</v>
      </c>
      <c r="BX141" s="126">
        <f t="shared" si="420"/>
        <v>0</v>
      </c>
      <c r="BY141" s="125">
        <f t="shared" si="421"/>
        <v>0</v>
      </c>
      <c r="BZ141" s="146">
        <f t="shared" si="422"/>
        <v>0</v>
      </c>
      <c r="CA141" s="146">
        <f t="shared" si="423"/>
        <v>0</v>
      </c>
      <c r="CB141" s="127">
        <f t="shared" si="424"/>
        <v>0</v>
      </c>
      <c r="CC141" s="146" t="s">
        <v>397</v>
      </c>
      <c r="CD141" s="127">
        <v>0</v>
      </c>
      <c r="CE141" s="127" t="str">
        <f t="shared" si="425"/>
        <v>May-26</v>
      </c>
      <c r="CF141" s="127">
        <f t="shared" si="426"/>
        <v>5640</v>
      </c>
      <c r="CG141" s="127">
        <f t="shared" si="427"/>
        <v>5922</v>
      </c>
      <c r="CH141" s="127">
        <f t="shared" si="428"/>
        <v>8</v>
      </c>
      <c r="CI141" s="147" t="str">
        <f t="shared" si="429"/>
        <v>BG AHD</v>
      </c>
      <c r="CJ141" s="127">
        <v>0</v>
      </c>
      <c r="CK141" s="127">
        <v>0</v>
      </c>
      <c r="CL141" s="127">
        <f t="shared" si="430"/>
        <v>282</v>
      </c>
      <c r="CM141" s="127">
        <f t="shared" si="431"/>
        <v>282</v>
      </c>
      <c r="CN141" s="127">
        <f t="shared" si="432"/>
        <v>282</v>
      </c>
      <c r="CO141" s="127">
        <f t="shared" si="433"/>
        <v>6987.96</v>
      </c>
      <c r="CP141" s="127">
        <f t="shared" si="434"/>
        <v>-6655.2</v>
      </c>
      <c r="CQ141" s="127">
        <f t="shared" si="435"/>
        <v>0</v>
      </c>
      <c r="CR141" s="127">
        <f t="shared" si="436"/>
        <v>0</v>
      </c>
      <c r="CS141" s="127">
        <f t="shared" si="437"/>
        <v>332.76000000000022</v>
      </c>
      <c r="CT141" s="127" t="s">
        <v>361</v>
      </c>
      <c r="CU141" s="127" t="s">
        <v>361</v>
      </c>
      <c r="CV141" s="142" t="str">
        <f t="shared" si="438"/>
        <v>AAMCB5608A</v>
      </c>
      <c r="CW141" s="142" t="str">
        <f t="shared" si="439"/>
        <v>BJHPB3107J</v>
      </c>
    </row>
    <row r="142" spans="2:101" s="149" customFormat="1" ht="11.85" customHeight="1" x14ac:dyDescent="0.25">
      <c r="B142" s="120" t="str">
        <f t="shared" si="369"/>
        <v>Q1</v>
      </c>
      <c r="C142" s="121" t="str">
        <f t="shared" si="370"/>
        <v>May-26</v>
      </c>
      <c r="D142" s="122">
        <v>46162</v>
      </c>
      <c r="E142" s="123" t="s">
        <v>3652</v>
      </c>
      <c r="F142" s="123" t="s">
        <v>196</v>
      </c>
      <c r="G142" s="123" t="s">
        <v>198</v>
      </c>
      <c r="H142" s="124" t="s">
        <v>3653</v>
      </c>
      <c r="I142" s="122">
        <v>46162</v>
      </c>
      <c r="J142" s="123" t="s">
        <v>3654</v>
      </c>
      <c r="K142" s="122">
        <v>46162</v>
      </c>
      <c r="L142" s="123" t="s">
        <v>199</v>
      </c>
      <c r="M142" s="123" t="s">
        <v>2331</v>
      </c>
      <c r="N142" s="124" t="s">
        <v>3655</v>
      </c>
      <c r="O142" s="123">
        <v>1260</v>
      </c>
      <c r="P142" s="124">
        <v>10</v>
      </c>
      <c r="Q142" s="125">
        <f t="shared" si="371"/>
        <v>12600</v>
      </c>
      <c r="R142" s="126">
        <v>0</v>
      </c>
      <c r="S142" s="125">
        <f t="shared" si="372"/>
        <v>1260</v>
      </c>
      <c r="T142" s="126">
        <v>0</v>
      </c>
      <c r="U142" s="127">
        <v>0</v>
      </c>
      <c r="V142" s="128">
        <v>0</v>
      </c>
      <c r="W142" s="127">
        <v>0</v>
      </c>
      <c r="X142" s="129">
        <v>0</v>
      </c>
      <c r="Y142" s="127">
        <v>0</v>
      </c>
      <c r="Z142" s="127">
        <v>0</v>
      </c>
      <c r="AA142" s="126">
        <v>0</v>
      </c>
      <c r="AB142" s="130">
        <f t="shared" si="373"/>
        <v>0</v>
      </c>
      <c r="AC142" s="129">
        <v>0</v>
      </c>
      <c r="AD142" s="125">
        <f t="shared" si="374"/>
        <v>10</v>
      </c>
      <c r="AE142" s="144">
        <v>0</v>
      </c>
      <c r="AF142" s="127">
        <v>0</v>
      </c>
      <c r="AG142" s="131">
        <v>0</v>
      </c>
      <c r="AH142" s="127">
        <v>0</v>
      </c>
      <c r="AI142" s="128">
        <v>0</v>
      </c>
      <c r="AJ142" s="127">
        <v>0</v>
      </c>
      <c r="AK142" s="127">
        <v>0</v>
      </c>
      <c r="AL142" s="127">
        <v>0</v>
      </c>
      <c r="AM142" s="132">
        <f t="shared" si="375"/>
        <v>12600</v>
      </c>
      <c r="AN142" s="133">
        <v>46162</v>
      </c>
      <c r="AO142" s="134" t="s">
        <v>3689</v>
      </c>
      <c r="AP142" s="135" t="s">
        <v>234</v>
      </c>
      <c r="AQ142" s="136" t="s">
        <v>235</v>
      </c>
      <c r="AR142" s="136" t="s">
        <v>236</v>
      </c>
      <c r="AS142" s="123" t="s">
        <v>2006</v>
      </c>
      <c r="AT142" s="137" t="s">
        <v>238</v>
      </c>
      <c r="AU142" s="137" t="s">
        <v>197</v>
      </c>
      <c r="AV142" s="138" t="s">
        <v>329</v>
      </c>
      <c r="AW142" s="136">
        <v>1260</v>
      </c>
      <c r="AX142" s="138">
        <v>14</v>
      </c>
      <c r="AY142" s="136">
        <f t="shared" si="408"/>
        <v>17640</v>
      </c>
      <c r="AZ142" s="139" t="b">
        <f t="shared" si="409"/>
        <v>1</v>
      </c>
      <c r="BA142" s="125">
        <v>0</v>
      </c>
      <c r="BB142" s="140">
        <f t="shared" si="410"/>
        <v>1260</v>
      </c>
      <c r="BC142" s="141">
        <v>0</v>
      </c>
      <c r="BD142" s="140" t="s">
        <v>107</v>
      </c>
      <c r="BE142" s="141">
        <v>0</v>
      </c>
      <c r="BF142" s="140">
        <v>0</v>
      </c>
      <c r="BG142" s="141">
        <v>0</v>
      </c>
      <c r="BH142" s="127">
        <v>0</v>
      </c>
      <c r="BI142" s="130">
        <v>0</v>
      </c>
      <c r="BJ142" s="128">
        <v>0</v>
      </c>
      <c r="BK142" s="125">
        <v>0</v>
      </c>
      <c r="BL142" s="136">
        <v>0</v>
      </c>
      <c r="BM142" s="127">
        <v>0</v>
      </c>
      <c r="BN142" s="142">
        <f t="shared" si="411"/>
        <v>0</v>
      </c>
      <c r="BO142" s="126">
        <f t="shared" si="412"/>
        <v>17640</v>
      </c>
      <c r="BP142" s="132">
        <f t="shared" si="413"/>
        <v>5040</v>
      </c>
      <c r="BQ142" s="141" t="str">
        <f t="shared" si="414"/>
        <v>Positive Margin</v>
      </c>
      <c r="BR142" s="143" t="s">
        <v>119</v>
      </c>
      <c r="BS142" s="125">
        <f t="shared" si="415"/>
        <v>5040</v>
      </c>
      <c r="BT142" s="144" t="str">
        <f t="shared" si="416"/>
        <v>Positive Margin at Inception</v>
      </c>
      <c r="BU142" s="145">
        <f t="shared" si="417"/>
        <v>0.2857142857142857</v>
      </c>
      <c r="BV142" s="144" t="str">
        <f t="shared" si="418"/>
        <v>More than 2%</v>
      </c>
      <c r="BW142" s="125">
        <f t="shared" si="419"/>
        <v>0</v>
      </c>
      <c r="BX142" s="126">
        <f t="shared" si="420"/>
        <v>0</v>
      </c>
      <c r="BY142" s="125">
        <f t="shared" si="421"/>
        <v>0</v>
      </c>
      <c r="BZ142" s="146">
        <f t="shared" si="422"/>
        <v>0</v>
      </c>
      <c r="CA142" s="146">
        <f t="shared" si="423"/>
        <v>0</v>
      </c>
      <c r="CB142" s="127">
        <f t="shared" si="424"/>
        <v>0</v>
      </c>
      <c r="CC142" s="146" t="s">
        <v>397</v>
      </c>
      <c r="CD142" s="127">
        <v>0</v>
      </c>
      <c r="CE142" s="127" t="str">
        <f t="shared" si="425"/>
        <v>May-26</v>
      </c>
      <c r="CF142" s="127">
        <f t="shared" si="426"/>
        <v>12600</v>
      </c>
      <c r="CG142" s="127">
        <f t="shared" si="427"/>
        <v>17640</v>
      </c>
      <c r="CH142" s="127">
        <f t="shared" si="428"/>
        <v>8</v>
      </c>
      <c r="CI142" s="147" t="str">
        <f t="shared" si="429"/>
        <v>BG AHD</v>
      </c>
      <c r="CJ142" s="127">
        <v>0</v>
      </c>
      <c r="CK142" s="127">
        <v>0</v>
      </c>
      <c r="CL142" s="127">
        <f t="shared" si="430"/>
        <v>5040</v>
      </c>
      <c r="CM142" s="127">
        <f t="shared" si="431"/>
        <v>5040</v>
      </c>
      <c r="CN142" s="127">
        <f t="shared" si="432"/>
        <v>5040</v>
      </c>
      <c r="CO142" s="127">
        <f t="shared" si="433"/>
        <v>20815.199999999997</v>
      </c>
      <c r="CP142" s="127">
        <f t="shared" si="434"/>
        <v>-14868</v>
      </c>
      <c r="CQ142" s="127">
        <f t="shared" si="435"/>
        <v>0</v>
      </c>
      <c r="CR142" s="127">
        <f t="shared" si="436"/>
        <v>0</v>
      </c>
      <c r="CS142" s="127">
        <f t="shared" si="437"/>
        <v>5947.1999999999971</v>
      </c>
      <c r="CT142" s="127" t="s">
        <v>361</v>
      </c>
      <c r="CU142" s="127" t="s">
        <v>361</v>
      </c>
      <c r="CV142" s="142" t="str">
        <f t="shared" si="438"/>
        <v>AAMCB5608A</v>
      </c>
      <c r="CW142" s="142" t="str">
        <f t="shared" si="439"/>
        <v>BJHPB3107J</v>
      </c>
    </row>
    <row r="143" spans="2:101" s="149" customFormat="1" ht="11.85" customHeight="1" x14ac:dyDescent="0.25">
      <c r="B143" s="120" t="str">
        <f t="shared" si="369"/>
        <v>Q1</v>
      </c>
      <c r="C143" s="121" t="str">
        <f t="shared" si="370"/>
        <v>May-26</v>
      </c>
      <c r="D143" s="122">
        <v>46162</v>
      </c>
      <c r="E143" s="123" t="s">
        <v>3652</v>
      </c>
      <c r="F143" s="123" t="s">
        <v>196</v>
      </c>
      <c r="G143" s="123" t="s">
        <v>198</v>
      </c>
      <c r="H143" s="124" t="s">
        <v>3653</v>
      </c>
      <c r="I143" s="122">
        <v>46162</v>
      </c>
      <c r="J143" s="123" t="s">
        <v>3654</v>
      </c>
      <c r="K143" s="122">
        <v>46162</v>
      </c>
      <c r="L143" s="123" t="s">
        <v>199</v>
      </c>
      <c r="M143" s="123" t="s">
        <v>2331</v>
      </c>
      <c r="N143" s="124" t="s">
        <v>259</v>
      </c>
      <c r="O143" s="123">
        <v>1100</v>
      </c>
      <c r="P143" s="124">
        <v>11.5</v>
      </c>
      <c r="Q143" s="125">
        <f t="shared" si="371"/>
        <v>12650</v>
      </c>
      <c r="R143" s="126">
        <v>0</v>
      </c>
      <c r="S143" s="125">
        <f t="shared" si="372"/>
        <v>1100</v>
      </c>
      <c r="T143" s="126">
        <v>0</v>
      </c>
      <c r="U143" s="127">
        <v>0</v>
      </c>
      <c r="V143" s="128">
        <v>0</v>
      </c>
      <c r="W143" s="127">
        <v>0</v>
      </c>
      <c r="X143" s="129">
        <v>0</v>
      </c>
      <c r="Y143" s="127">
        <v>0</v>
      </c>
      <c r="Z143" s="127">
        <v>0</v>
      </c>
      <c r="AA143" s="126">
        <v>0</v>
      </c>
      <c r="AB143" s="130">
        <f t="shared" si="373"/>
        <v>0</v>
      </c>
      <c r="AC143" s="129">
        <v>0</v>
      </c>
      <c r="AD143" s="125">
        <f t="shared" si="374"/>
        <v>11.5</v>
      </c>
      <c r="AE143" s="144">
        <v>0</v>
      </c>
      <c r="AF143" s="127">
        <v>0</v>
      </c>
      <c r="AG143" s="131">
        <v>0</v>
      </c>
      <c r="AH143" s="127">
        <v>0</v>
      </c>
      <c r="AI143" s="128">
        <v>0</v>
      </c>
      <c r="AJ143" s="127">
        <v>0</v>
      </c>
      <c r="AK143" s="127">
        <v>0</v>
      </c>
      <c r="AL143" s="127">
        <v>0</v>
      </c>
      <c r="AM143" s="132">
        <f t="shared" si="375"/>
        <v>12650</v>
      </c>
      <c r="AN143" s="133">
        <v>46162</v>
      </c>
      <c r="AO143" s="134" t="s">
        <v>3689</v>
      </c>
      <c r="AP143" s="135" t="s">
        <v>234</v>
      </c>
      <c r="AQ143" s="136" t="s">
        <v>235</v>
      </c>
      <c r="AR143" s="136" t="s">
        <v>236</v>
      </c>
      <c r="AS143" s="123" t="s">
        <v>2006</v>
      </c>
      <c r="AT143" s="137" t="s">
        <v>238</v>
      </c>
      <c r="AU143" s="137" t="s">
        <v>197</v>
      </c>
      <c r="AV143" s="138" t="s">
        <v>329</v>
      </c>
      <c r="AW143" s="136">
        <v>1100</v>
      </c>
      <c r="AX143" s="138">
        <v>14</v>
      </c>
      <c r="AY143" s="136">
        <f t="shared" si="408"/>
        <v>15400</v>
      </c>
      <c r="AZ143" s="139" t="b">
        <f t="shared" si="409"/>
        <v>1</v>
      </c>
      <c r="BA143" s="125">
        <v>0</v>
      </c>
      <c r="BB143" s="140">
        <f t="shared" si="410"/>
        <v>1100</v>
      </c>
      <c r="BC143" s="141">
        <v>0</v>
      </c>
      <c r="BD143" s="140" t="s">
        <v>107</v>
      </c>
      <c r="BE143" s="141">
        <v>0</v>
      </c>
      <c r="BF143" s="140">
        <v>0</v>
      </c>
      <c r="BG143" s="141">
        <v>0</v>
      </c>
      <c r="BH143" s="127">
        <v>0</v>
      </c>
      <c r="BI143" s="130">
        <v>0</v>
      </c>
      <c r="BJ143" s="128">
        <v>0</v>
      </c>
      <c r="BK143" s="125">
        <v>0</v>
      </c>
      <c r="BL143" s="136">
        <v>0</v>
      </c>
      <c r="BM143" s="127">
        <v>0</v>
      </c>
      <c r="BN143" s="142">
        <f t="shared" si="411"/>
        <v>0</v>
      </c>
      <c r="BO143" s="126">
        <f t="shared" si="412"/>
        <v>15400</v>
      </c>
      <c r="BP143" s="132">
        <f t="shared" si="413"/>
        <v>2750</v>
      </c>
      <c r="BQ143" s="141" t="str">
        <f t="shared" si="414"/>
        <v>Positive Margin</v>
      </c>
      <c r="BR143" s="143" t="s">
        <v>119</v>
      </c>
      <c r="BS143" s="125">
        <f t="shared" si="415"/>
        <v>2750</v>
      </c>
      <c r="BT143" s="144" t="str">
        <f t="shared" si="416"/>
        <v>Positive Margin at Inception</v>
      </c>
      <c r="BU143" s="145">
        <f t="shared" si="417"/>
        <v>0.17857142857142858</v>
      </c>
      <c r="BV143" s="144" t="str">
        <f t="shared" si="418"/>
        <v>More than 2%</v>
      </c>
      <c r="BW143" s="125">
        <f t="shared" si="419"/>
        <v>0</v>
      </c>
      <c r="BX143" s="126">
        <f t="shared" si="420"/>
        <v>0</v>
      </c>
      <c r="BY143" s="125">
        <f t="shared" si="421"/>
        <v>0</v>
      </c>
      <c r="BZ143" s="146">
        <f t="shared" si="422"/>
        <v>0</v>
      </c>
      <c r="CA143" s="146">
        <f t="shared" si="423"/>
        <v>0</v>
      </c>
      <c r="CB143" s="127">
        <f t="shared" si="424"/>
        <v>0</v>
      </c>
      <c r="CC143" s="146" t="s">
        <v>397</v>
      </c>
      <c r="CD143" s="127">
        <v>0</v>
      </c>
      <c r="CE143" s="127" t="str">
        <f t="shared" si="425"/>
        <v>May-26</v>
      </c>
      <c r="CF143" s="127">
        <f t="shared" si="426"/>
        <v>12650</v>
      </c>
      <c r="CG143" s="127">
        <f t="shared" si="427"/>
        <v>15400</v>
      </c>
      <c r="CH143" s="127">
        <f t="shared" si="428"/>
        <v>8</v>
      </c>
      <c r="CI143" s="147" t="str">
        <f t="shared" si="429"/>
        <v>BG AHD</v>
      </c>
      <c r="CJ143" s="127">
        <v>0</v>
      </c>
      <c r="CK143" s="127">
        <v>0</v>
      </c>
      <c r="CL143" s="127">
        <f t="shared" si="430"/>
        <v>2750</v>
      </c>
      <c r="CM143" s="127">
        <f t="shared" si="431"/>
        <v>2750</v>
      </c>
      <c r="CN143" s="127">
        <f t="shared" si="432"/>
        <v>2750</v>
      </c>
      <c r="CO143" s="127">
        <f t="shared" si="433"/>
        <v>18172</v>
      </c>
      <c r="CP143" s="127">
        <f t="shared" si="434"/>
        <v>-14927</v>
      </c>
      <c r="CQ143" s="127">
        <f t="shared" si="435"/>
        <v>0</v>
      </c>
      <c r="CR143" s="127">
        <f t="shared" si="436"/>
        <v>0</v>
      </c>
      <c r="CS143" s="127">
        <f t="shared" si="437"/>
        <v>3245</v>
      </c>
      <c r="CT143" s="127" t="s">
        <v>361</v>
      </c>
      <c r="CU143" s="127" t="s">
        <v>361</v>
      </c>
      <c r="CV143" s="142" t="str">
        <f t="shared" si="438"/>
        <v>AAMCB5608A</v>
      </c>
      <c r="CW143" s="142" t="str">
        <f t="shared" si="439"/>
        <v>BJHPB3107J</v>
      </c>
    </row>
    <row r="144" spans="2:101" s="149" customFormat="1" ht="11.85" customHeight="1" x14ac:dyDescent="0.25">
      <c r="B144" s="120" t="str">
        <f t="shared" si="369"/>
        <v>Q1</v>
      </c>
      <c r="C144" s="121" t="str">
        <f t="shared" si="370"/>
        <v>May-26</v>
      </c>
      <c r="D144" s="122">
        <v>46163</v>
      </c>
      <c r="E144" s="123" t="s">
        <v>3656</v>
      </c>
      <c r="F144" s="123" t="s">
        <v>196</v>
      </c>
      <c r="G144" s="123" t="s">
        <v>198</v>
      </c>
      <c r="H144" s="124" t="s">
        <v>3657</v>
      </c>
      <c r="I144" s="122">
        <v>46163</v>
      </c>
      <c r="J144" s="123" t="s">
        <v>3658</v>
      </c>
      <c r="K144" s="122">
        <v>46163</v>
      </c>
      <c r="L144" s="123" t="s">
        <v>199</v>
      </c>
      <c r="M144" s="123" t="s">
        <v>3554</v>
      </c>
      <c r="N144" s="124" t="s">
        <v>3659</v>
      </c>
      <c r="O144" s="123">
        <v>4440</v>
      </c>
      <c r="P144" s="124">
        <v>5.5</v>
      </c>
      <c r="Q144" s="125">
        <f t="shared" si="371"/>
        <v>24420</v>
      </c>
      <c r="R144" s="126">
        <v>0</v>
      </c>
      <c r="S144" s="125">
        <f t="shared" si="372"/>
        <v>4440</v>
      </c>
      <c r="T144" s="126">
        <v>0</v>
      </c>
      <c r="U144" s="127">
        <v>0</v>
      </c>
      <c r="V144" s="128">
        <v>0</v>
      </c>
      <c r="W144" s="127">
        <v>0</v>
      </c>
      <c r="X144" s="129">
        <v>0</v>
      </c>
      <c r="Y144" s="127">
        <v>0</v>
      </c>
      <c r="Z144" s="127">
        <v>0</v>
      </c>
      <c r="AA144" s="126">
        <v>0</v>
      </c>
      <c r="AB144" s="130">
        <f t="shared" si="373"/>
        <v>0</v>
      </c>
      <c r="AC144" s="129">
        <v>0</v>
      </c>
      <c r="AD144" s="125">
        <f t="shared" si="374"/>
        <v>5.5</v>
      </c>
      <c r="AE144" s="144">
        <v>0</v>
      </c>
      <c r="AF144" s="127">
        <v>0</v>
      </c>
      <c r="AG144" s="131">
        <v>0</v>
      </c>
      <c r="AH144" s="127">
        <v>0</v>
      </c>
      <c r="AI144" s="128">
        <v>0</v>
      </c>
      <c r="AJ144" s="127">
        <v>0</v>
      </c>
      <c r="AK144" s="127">
        <v>0</v>
      </c>
      <c r="AL144" s="127">
        <v>0</v>
      </c>
      <c r="AM144" s="132">
        <f t="shared" si="375"/>
        <v>24420</v>
      </c>
      <c r="AN144" s="133">
        <v>46163</v>
      </c>
      <c r="AO144" s="134" t="s">
        <v>3688</v>
      </c>
      <c r="AP144" s="135" t="s">
        <v>234</v>
      </c>
      <c r="AQ144" s="136" t="s">
        <v>235</v>
      </c>
      <c r="AR144" s="136" t="s">
        <v>236</v>
      </c>
      <c r="AS144" s="123" t="s">
        <v>237</v>
      </c>
      <c r="AT144" s="137" t="s">
        <v>238</v>
      </c>
      <c r="AU144" s="137" t="s">
        <v>197</v>
      </c>
      <c r="AV144" s="138" t="s">
        <v>329</v>
      </c>
      <c r="AW144" s="136">
        <v>4440</v>
      </c>
      <c r="AX144" s="138">
        <v>8</v>
      </c>
      <c r="AY144" s="136">
        <f t="shared" si="408"/>
        <v>35520</v>
      </c>
      <c r="AZ144" s="139" t="b">
        <f t="shared" si="409"/>
        <v>1</v>
      </c>
      <c r="BA144" s="125">
        <v>0</v>
      </c>
      <c r="BB144" s="140">
        <f t="shared" si="410"/>
        <v>4440</v>
      </c>
      <c r="BC144" s="141">
        <v>0</v>
      </c>
      <c r="BD144" s="140" t="s">
        <v>107</v>
      </c>
      <c r="BE144" s="141">
        <v>0</v>
      </c>
      <c r="BF144" s="140">
        <v>0</v>
      </c>
      <c r="BG144" s="141">
        <v>0</v>
      </c>
      <c r="BH144" s="127">
        <v>0</v>
      </c>
      <c r="BI144" s="130">
        <v>0</v>
      </c>
      <c r="BJ144" s="128">
        <v>0</v>
      </c>
      <c r="BK144" s="125">
        <v>0</v>
      </c>
      <c r="BL144" s="136">
        <v>0</v>
      </c>
      <c r="BM144" s="127">
        <v>0</v>
      </c>
      <c r="BN144" s="142">
        <f t="shared" si="411"/>
        <v>0</v>
      </c>
      <c r="BO144" s="126">
        <f t="shared" si="412"/>
        <v>35520</v>
      </c>
      <c r="BP144" s="132">
        <f t="shared" si="413"/>
        <v>11100</v>
      </c>
      <c r="BQ144" s="141" t="str">
        <f t="shared" si="414"/>
        <v>Positive Margin</v>
      </c>
      <c r="BR144" s="143" t="s">
        <v>119</v>
      </c>
      <c r="BS144" s="125">
        <f t="shared" si="415"/>
        <v>11100</v>
      </c>
      <c r="BT144" s="144" t="str">
        <f t="shared" si="416"/>
        <v>Positive Margin at Inception</v>
      </c>
      <c r="BU144" s="145">
        <f t="shared" si="417"/>
        <v>0.3125</v>
      </c>
      <c r="BV144" s="144" t="str">
        <f t="shared" si="418"/>
        <v>More than 2%</v>
      </c>
      <c r="BW144" s="125">
        <f t="shared" si="419"/>
        <v>0</v>
      </c>
      <c r="BX144" s="126">
        <f t="shared" si="420"/>
        <v>0</v>
      </c>
      <c r="BY144" s="125">
        <f t="shared" si="421"/>
        <v>0</v>
      </c>
      <c r="BZ144" s="146">
        <f t="shared" si="422"/>
        <v>0</v>
      </c>
      <c r="CA144" s="146">
        <f t="shared" si="423"/>
        <v>0</v>
      </c>
      <c r="CB144" s="127">
        <f t="shared" si="424"/>
        <v>0</v>
      </c>
      <c r="CC144" s="146" t="s">
        <v>397</v>
      </c>
      <c r="CD144" s="127">
        <v>0</v>
      </c>
      <c r="CE144" s="127" t="str">
        <f t="shared" si="425"/>
        <v>May-26</v>
      </c>
      <c r="CF144" s="127">
        <f t="shared" si="426"/>
        <v>24420</v>
      </c>
      <c r="CG144" s="127">
        <f t="shared" si="427"/>
        <v>35520</v>
      </c>
      <c r="CH144" s="127">
        <f t="shared" si="428"/>
        <v>8</v>
      </c>
      <c r="CI144" s="147" t="str">
        <f t="shared" si="429"/>
        <v>BG AHD</v>
      </c>
      <c r="CJ144" s="127">
        <v>0</v>
      </c>
      <c r="CK144" s="127">
        <v>0</v>
      </c>
      <c r="CL144" s="127">
        <f t="shared" si="430"/>
        <v>11100</v>
      </c>
      <c r="CM144" s="127">
        <f t="shared" si="431"/>
        <v>11100</v>
      </c>
      <c r="CN144" s="127">
        <f t="shared" si="432"/>
        <v>11100</v>
      </c>
      <c r="CO144" s="127">
        <f t="shared" si="433"/>
        <v>41913.599999999999</v>
      </c>
      <c r="CP144" s="127">
        <f t="shared" si="434"/>
        <v>-28815.599999999999</v>
      </c>
      <c r="CQ144" s="127">
        <f t="shared" si="435"/>
        <v>0</v>
      </c>
      <c r="CR144" s="127">
        <f t="shared" si="436"/>
        <v>0</v>
      </c>
      <c r="CS144" s="127">
        <f t="shared" si="437"/>
        <v>13098</v>
      </c>
      <c r="CT144" s="127" t="s">
        <v>361</v>
      </c>
      <c r="CU144" s="127" t="s">
        <v>361</v>
      </c>
      <c r="CV144" s="142" t="str">
        <f t="shared" si="438"/>
        <v>AAMCB5608A</v>
      </c>
      <c r="CW144" s="142" t="str">
        <f t="shared" si="439"/>
        <v>BJHPB3107J</v>
      </c>
    </row>
    <row r="145" spans="2:101" s="149" customFormat="1" ht="11.85" customHeight="1" x14ac:dyDescent="0.25">
      <c r="B145" s="120" t="str">
        <f t="shared" si="369"/>
        <v>Q1</v>
      </c>
      <c r="C145" s="121" t="str">
        <f t="shared" si="370"/>
        <v>May-26</v>
      </c>
      <c r="D145" s="122">
        <v>46163</v>
      </c>
      <c r="E145" s="123" t="s">
        <v>3660</v>
      </c>
      <c r="F145" s="123" t="s">
        <v>3635</v>
      </c>
      <c r="G145" s="123" t="s">
        <v>3636</v>
      </c>
      <c r="H145" s="124" t="s">
        <v>3661</v>
      </c>
      <c r="I145" s="122">
        <v>46163</v>
      </c>
      <c r="J145" s="123" t="s">
        <v>3662</v>
      </c>
      <c r="K145" s="122">
        <v>46163</v>
      </c>
      <c r="L145" s="123" t="s">
        <v>199</v>
      </c>
      <c r="M145" s="123" t="s">
        <v>1941</v>
      </c>
      <c r="N145" s="124" t="s">
        <v>257</v>
      </c>
      <c r="O145" s="123">
        <v>3970</v>
      </c>
      <c r="P145" s="124">
        <v>27.3</v>
      </c>
      <c r="Q145" s="125">
        <f t="shared" si="371"/>
        <v>108381</v>
      </c>
      <c r="R145" s="126">
        <v>0</v>
      </c>
      <c r="S145" s="125">
        <f t="shared" si="372"/>
        <v>3970</v>
      </c>
      <c r="T145" s="126">
        <v>0</v>
      </c>
      <c r="U145" s="127">
        <v>0</v>
      </c>
      <c r="V145" s="128">
        <v>0</v>
      </c>
      <c r="W145" s="127">
        <v>0</v>
      </c>
      <c r="X145" s="129">
        <v>0</v>
      </c>
      <c r="Y145" s="127">
        <v>0</v>
      </c>
      <c r="Z145" s="127">
        <v>0</v>
      </c>
      <c r="AA145" s="126">
        <v>0</v>
      </c>
      <c r="AB145" s="130">
        <f t="shared" si="373"/>
        <v>0</v>
      </c>
      <c r="AC145" s="129">
        <v>0</v>
      </c>
      <c r="AD145" s="125">
        <f t="shared" si="374"/>
        <v>27.3</v>
      </c>
      <c r="AE145" s="144">
        <v>0</v>
      </c>
      <c r="AF145" s="127">
        <v>0</v>
      </c>
      <c r="AG145" s="131">
        <v>0</v>
      </c>
      <c r="AH145" s="127">
        <v>0</v>
      </c>
      <c r="AI145" s="128">
        <v>0</v>
      </c>
      <c r="AJ145" s="127">
        <v>0</v>
      </c>
      <c r="AK145" s="127">
        <v>0</v>
      </c>
      <c r="AL145" s="127">
        <v>0</v>
      </c>
      <c r="AM145" s="132">
        <f t="shared" si="375"/>
        <v>108381</v>
      </c>
      <c r="AN145" s="133">
        <v>46163</v>
      </c>
      <c r="AO145" s="134" t="s">
        <v>3691</v>
      </c>
      <c r="AP145" s="135" t="s">
        <v>1937</v>
      </c>
      <c r="AQ145" s="136" t="s">
        <v>1938</v>
      </c>
      <c r="AR145" s="136" t="s">
        <v>1939</v>
      </c>
      <c r="AS145" s="123" t="s">
        <v>3683</v>
      </c>
      <c r="AT145" s="137" t="s">
        <v>1940</v>
      </c>
      <c r="AU145" s="137" t="s">
        <v>197</v>
      </c>
      <c r="AV145" s="138" t="s">
        <v>3692</v>
      </c>
      <c r="AW145" s="136">
        <v>3970</v>
      </c>
      <c r="AX145" s="138">
        <v>27.9</v>
      </c>
      <c r="AY145" s="136">
        <f t="shared" si="408"/>
        <v>110763</v>
      </c>
      <c r="AZ145" s="139" t="b">
        <f t="shared" si="409"/>
        <v>1</v>
      </c>
      <c r="BA145" s="125">
        <v>0</v>
      </c>
      <c r="BB145" s="140">
        <f t="shared" si="410"/>
        <v>3970</v>
      </c>
      <c r="BC145" s="141">
        <v>0</v>
      </c>
      <c r="BD145" s="140" t="s">
        <v>107</v>
      </c>
      <c r="BE145" s="141">
        <v>0</v>
      </c>
      <c r="BF145" s="140">
        <v>0</v>
      </c>
      <c r="BG145" s="141">
        <v>0</v>
      </c>
      <c r="BH145" s="127">
        <v>0</v>
      </c>
      <c r="BI145" s="130">
        <v>0</v>
      </c>
      <c r="BJ145" s="128">
        <v>0</v>
      </c>
      <c r="BK145" s="125">
        <v>0</v>
      </c>
      <c r="BL145" s="136">
        <v>0</v>
      </c>
      <c r="BM145" s="127">
        <v>0</v>
      </c>
      <c r="BN145" s="142">
        <f t="shared" si="411"/>
        <v>0</v>
      </c>
      <c r="BO145" s="126">
        <f t="shared" si="412"/>
        <v>110763</v>
      </c>
      <c r="BP145" s="132">
        <f t="shared" si="413"/>
        <v>2382</v>
      </c>
      <c r="BQ145" s="141" t="str">
        <f t="shared" si="414"/>
        <v>Positive Margin</v>
      </c>
      <c r="BR145" s="143" t="s">
        <v>119</v>
      </c>
      <c r="BS145" s="125">
        <f t="shared" si="415"/>
        <v>2382</v>
      </c>
      <c r="BT145" s="144" t="str">
        <f t="shared" si="416"/>
        <v>Positive Margin at Inception</v>
      </c>
      <c r="BU145" s="145">
        <f t="shared" si="417"/>
        <v>2.1505376344086023E-2</v>
      </c>
      <c r="BV145" s="144" t="str">
        <f t="shared" si="418"/>
        <v>More than 2%</v>
      </c>
      <c r="BW145" s="125">
        <f t="shared" si="419"/>
        <v>0</v>
      </c>
      <c r="BX145" s="126">
        <f t="shared" si="420"/>
        <v>0</v>
      </c>
      <c r="BY145" s="125">
        <f t="shared" si="421"/>
        <v>0</v>
      </c>
      <c r="BZ145" s="146">
        <f t="shared" si="422"/>
        <v>0</v>
      </c>
      <c r="CA145" s="146">
        <f t="shared" si="423"/>
        <v>0</v>
      </c>
      <c r="CB145" s="127">
        <f t="shared" si="424"/>
        <v>0</v>
      </c>
      <c r="CC145" s="146" t="s">
        <v>397</v>
      </c>
      <c r="CD145" s="127">
        <v>0</v>
      </c>
      <c r="CE145" s="127" t="str">
        <f t="shared" si="425"/>
        <v>May-26</v>
      </c>
      <c r="CF145" s="127">
        <f t="shared" si="426"/>
        <v>108381</v>
      </c>
      <c r="CG145" s="127">
        <f t="shared" si="427"/>
        <v>110763</v>
      </c>
      <c r="CH145" s="127">
        <f t="shared" si="428"/>
        <v>8</v>
      </c>
      <c r="CI145" s="147" t="str">
        <f t="shared" si="429"/>
        <v>B2B</v>
      </c>
      <c r="CJ145" s="127">
        <v>0</v>
      </c>
      <c r="CK145" s="127">
        <v>0</v>
      </c>
      <c r="CL145" s="127">
        <f t="shared" si="430"/>
        <v>2382</v>
      </c>
      <c r="CM145" s="127">
        <f t="shared" si="431"/>
        <v>2382</v>
      </c>
      <c r="CN145" s="127">
        <f t="shared" si="432"/>
        <v>2382</v>
      </c>
      <c r="CO145" s="127">
        <f t="shared" si="433"/>
        <v>130700.34</v>
      </c>
      <c r="CP145" s="127">
        <f t="shared" si="434"/>
        <v>-127889.57999999999</v>
      </c>
      <c r="CQ145" s="127">
        <f t="shared" si="435"/>
        <v>0</v>
      </c>
      <c r="CR145" s="127">
        <f t="shared" si="436"/>
        <v>0</v>
      </c>
      <c r="CS145" s="127">
        <f t="shared" si="437"/>
        <v>2810.7600000000093</v>
      </c>
      <c r="CT145" s="127" t="s">
        <v>361</v>
      </c>
      <c r="CU145" s="127" t="s">
        <v>361</v>
      </c>
      <c r="CV145" s="142" t="str">
        <f t="shared" si="438"/>
        <v>AAHCR8445C</v>
      </c>
      <c r="CW145" s="142" t="str">
        <f t="shared" si="439"/>
        <v>AFDPY5902R</v>
      </c>
    </row>
    <row r="146" spans="2:101" s="149" customFormat="1" ht="11.85" customHeight="1" x14ac:dyDescent="0.25">
      <c r="B146" s="120" t="str">
        <f t="shared" si="369"/>
        <v>Q1</v>
      </c>
      <c r="C146" s="121" t="str">
        <f t="shared" si="370"/>
        <v>May-26</v>
      </c>
      <c r="D146" s="122">
        <v>46164</v>
      </c>
      <c r="E146" s="123" t="s">
        <v>3663</v>
      </c>
      <c r="F146" s="123" t="s">
        <v>196</v>
      </c>
      <c r="G146" s="123" t="s">
        <v>198</v>
      </c>
      <c r="H146" s="124" t="s">
        <v>3664</v>
      </c>
      <c r="I146" s="122">
        <v>46164</v>
      </c>
      <c r="J146" s="123" t="s">
        <v>3665</v>
      </c>
      <c r="K146" s="122">
        <v>46164</v>
      </c>
      <c r="L146" s="123" t="s">
        <v>199</v>
      </c>
      <c r="M146" s="123" t="s">
        <v>2331</v>
      </c>
      <c r="N146" s="124" t="s">
        <v>242</v>
      </c>
      <c r="O146" s="123">
        <v>1480</v>
      </c>
      <c r="P146" s="124">
        <v>0.1</v>
      </c>
      <c r="Q146" s="125">
        <f t="shared" si="371"/>
        <v>148</v>
      </c>
      <c r="R146" s="126">
        <v>0</v>
      </c>
      <c r="S146" s="125">
        <f t="shared" si="372"/>
        <v>1480</v>
      </c>
      <c r="T146" s="126">
        <v>0</v>
      </c>
      <c r="U146" s="127">
        <v>0</v>
      </c>
      <c r="V146" s="128">
        <v>0</v>
      </c>
      <c r="W146" s="127">
        <v>0</v>
      </c>
      <c r="X146" s="129">
        <v>0</v>
      </c>
      <c r="Y146" s="127">
        <v>0</v>
      </c>
      <c r="Z146" s="127">
        <v>0</v>
      </c>
      <c r="AA146" s="126">
        <v>0</v>
      </c>
      <c r="AB146" s="130">
        <f t="shared" si="373"/>
        <v>0</v>
      </c>
      <c r="AC146" s="129">
        <v>0</v>
      </c>
      <c r="AD146" s="125">
        <f t="shared" si="374"/>
        <v>0.1</v>
      </c>
      <c r="AE146" s="144">
        <v>0</v>
      </c>
      <c r="AF146" s="127">
        <v>0</v>
      </c>
      <c r="AG146" s="131">
        <v>0</v>
      </c>
      <c r="AH146" s="127">
        <v>0</v>
      </c>
      <c r="AI146" s="128">
        <v>0</v>
      </c>
      <c r="AJ146" s="127">
        <v>0</v>
      </c>
      <c r="AK146" s="127">
        <v>0</v>
      </c>
      <c r="AL146" s="127">
        <v>0</v>
      </c>
      <c r="AM146" s="132">
        <f t="shared" si="375"/>
        <v>148</v>
      </c>
      <c r="AN146" s="133">
        <v>46164</v>
      </c>
      <c r="AO146" s="134" t="s">
        <v>3685</v>
      </c>
      <c r="AP146" s="135" t="s">
        <v>234</v>
      </c>
      <c r="AQ146" s="136" t="s">
        <v>235</v>
      </c>
      <c r="AR146" s="136" t="s">
        <v>236</v>
      </c>
      <c r="AS146" s="123" t="s">
        <v>237</v>
      </c>
      <c r="AT146" s="137" t="s">
        <v>238</v>
      </c>
      <c r="AU146" s="137" t="s">
        <v>197</v>
      </c>
      <c r="AV146" s="138" t="s">
        <v>329</v>
      </c>
      <c r="AW146" s="136">
        <v>1480</v>
      </c>
      <c r="AX146" s="138">
        <v>1.1000000000000001</v>
      </c>
      <c r="AY146" s="136">
        <f t="shared" si="408"/>
        <v>1628.0000000000002</v>
      </c>
      <c r="AZ146" s="139" t="b">
        <f t="shared" si="409"/>
        <v>1</v>
      </c>
      <c r="BA146" s="125">
        <v>0</v>
      </c>
      <c r="BB146" s="140">
        <f t="shared" si="410"/>
        <v>1480</v>
      </c>
      <c r="BC146" s="141">
        <v>0</v>
      </c>
      <c r="BD146" s="140" t="s">
        <v>107</v>
      </c>
      <c r="BE146" s="141">
        <v>0</v>
      </c>
      <c r="BF146" s="140">
        <v>0</v>
      </c>
      <c r="BG146" s="141">
        <v>0</v>
      </c>
      <c r="BH146" s="127">
        <v>0</v>
      </c>
      <c r="BI146" s="130">
        <v>0</v>
      </c>
      <c r="BJ146" s="128">
        <v>0</v>
      </c>
      <c r="BK146" s="125">
        <v>0</v>
      </c>
      <c r="BL146" s="136">
        <v>0</v>
      </c>
      <c r="BM146" s="127">
        <v>0</v>
      </c>
      <c r="BN146" s="142">
        <f t="shared" si="411"/>
        <v>0</v>
      </c>
      <c r="BO146" s="126">
        <f t="shared" si="412"/>
        <v>1628.0000000000002</v>
      </c>
      <c r="BP146" s="132">
        <f t="shared" si="413"/>
        <v>1480.0000000000002</v>
      </c>
      <c r="BQ146" s="141" t="str">
        <f t="shared" si="414"/>
        <v>Positive Margin</v>
      </c>
      <c r="BR146" s="143" t="s">
        <v>119</v>
      </c>
      <c r="BS146" s="125">
        <f t="shared" si="415"/>
        <v>1480.0000000000002</v>
      </c>
      <c r="BT146" s="144" t="str">
        <f t="shared" si="416"/>
        <v>Positive Margin at Inception</v>
      </c>
      <c r="BU146" s="145">
        <f t="shared" si="417"/>
        <v>0.90909090909090906</v>
      </c>
      <c r="BV146" s="144" t="str">
        <f t="shared" si="418"/>
        <v>More than 2%</v>
      </c>
      <c r="BW146" s="125">
        <f t="shared" si="419"/>
        <v>0</v>
      </c>
      <c r="BX146" s="126">
        <f t="shared" si="420"/>
        <v>0</v>
      </c>
      <c r="BY146" s="125">
        <f t="shared" si="421"/>
        <v>0</v>
      </c>
      <c r="BZ146" s="146">
        <f t="shared" si="422"/>
        <v>0</v>
      </c>
      <c r="CA146" s="146">
        <f t="shared" si="423"/>
        <v>0</v>
      </c>
      <c r="CB146" s="127">
        <f t="shared" si="424"/>
        <v>0</v>
      </c>
      <c r="CC146" s="146" t="s">
        <v>397</v>
      </c>
      <c r="CD146" s="127">
        <v>0</v>
      </c>
      <c r="CE146" s="127" t="str">
        <f t="shared" si="425"/>
        <v>May-26</v>
      </c>
      <c r="CF146" s="127">
        <f t="shared" si="426"/>
        <v>148</v>
      </c>
      <c r="CG146" s="127">
        <f t="shared" si="427"/>
        <v>1628.0000000000002</v>
      </c>
      <c r="CH146" s="127">
        <f t="shared" si="428"/>
        <v>8</v>
      </c>
      <c r="CI146" s="147" t="str">
        <f t="shared" si="429"/>
        <v>BG AHD</v>
      </c>
      <c r="CJ146" s="127">
        <v>0</v>
      </c>
      <c r="CK146" s="127">
        <v>0</v>
      </c>
      <c r="CL146" s="127">
        <f t="shared" si="430"/>
        <v>1480.0000000000002</v>
      </c>
      <c r="CM146" s="127">
        <f t="shared" si="431"/>
        <v>1480.0000000000002</v>
      </c>
      <c r="CN146" s="127">
        <f t="shared" si="432"/>
        <v>1480.0000000000002</v>
      </c>
      <c r="CO146" s="127">
        <f t="shared" si="433"/>
        <v>1921.0400000000002</v>
      </c>
      <c r="CP146" s="127">
        <f t="shared" si="434"/>
        <v>-174.64</v>
      </c>
      <c r="CQ146" s="127">
        <f t="shared" si="435"/>
        <v>0</v>
      </c>
      <c r="CR146" s="127">
        <f t="shared" si="436"/>
        <v>0</v>
      </c>
      <c r="CS146" s="127">
        <f t="shared" si="437"/>
        <v>1746.4</v>
      </c>
      <c r="CT146" s="127" t="s">
        <v>361</v>
      </c>
      <c r="CU146" s="127" t="s">
        <v>361</v>
      </c>
      <c r="CV146" s="142" t="str">
        <f t="shared" si="438"/>
        <v>AAMCB5608A</v>
      </c>
      <c r="CW146" s="142" t="str">
        <f t="shared" si="439"/>
        <v>BJHPB3107J</v>
      </c>
    </row>
    <row r="147" spans="2:101" s="149" customFormat="1" ht="11.85" customHeight="1" x14ac:dyDescent="0.25">
      <c r="B147" s="120" t="str">
        <f t="shared" si="369"/>
        <v>Q1</v>
      </c>
      <c r="C147" s="121" t="str">
        <f t="shared" si="370"/>
        <v>May-26</v>
      </c>
      <c r="D147" s="122">
        <v>46164</v>
      </c>
      <c r="E147" s="123" t="s">
        <v>3663</v>
      </c>
      <c r="F147" s="123" t="s">
        <v>196</v>
      </c>
      <c r="G147" s="123" t="s">
        <v>198</v>
      </c>
      <c r="H147" s="124" t="s">
        <v>3664</v>
      </c>
      <c r="I147" s="122">
        <v>46164</v>
      </c>
      <c r="J147" s="123" t="s">
        <v>3665</v>
      </c>
      <c r="K147" s="122">
        <v>46164</v>
      </c>
      <c r="L147" s="123" t="s">
        <v>199</v>
      </c>
      <c r="M147" s="123" t="s">
        <v>2331</v>
      </c>
      <c r="N147" s="124" t="s">
        <v>3666</v>
      </c>
      <c r="O147" s="123">
        <v>160</v>
      </c>
      <c r="P147" s="124">
        <v>16</v>
      </c>
      <c r="Q147" s="125">
        <f t="shared" si="371"/>
        <v>2560</v>
      </c>
      <c r="R147" s="126">
        <v>0</v>
      </c>
      <c r="S147" s="125">
        <f t="shared" si="372"/>
        <v>160</v>
      </c>
      <c r="T147" s="126">
        <v>0</v>
      </c>
      <c r="U147" s="127">
        <v>0</v>
      </c>
      <c r="V147" s="128">
        <v>0</v>
      </c>
      <c r="W147" s="127">
        <v>0</v>
      </c>
      <c r="X147" s="129">
        <v>0</v>
      </c>
      <c r="Y147" s="127">
        <v>0</v>
      </c>
      <c r="Z147" s="127">
        <v>0</v>
      </c>
      <c r="AA147" s="126">
        <v>0</v>
      </c>
      <c r="AB147" s="130">
        <f t="shared" si="373"/>
        <v>0</v>
      </c>
      <c r="AC147" s="129">
        <v>0</v>
      </c>
      <c r="AD147" s="125">
        <f t="shared" si="374"/>
        <v>16</v>
      </c>
      <c r="AE147" s="144">
        <v>0</v>
      </c>
      <c r="AF147" s="127">
        <v>0</v>
      </c>
      <c r="AG147" s="131">
        <v>0</v>
      </c>
      <c r="AH147" s="127">
        <v>0</v>
      </c>
      <c r="AI147" s="128">
        <v>0</v>
      </c>
      <c r="AJ147" s="127">
        <v>0</v>
      </c>
      <c r="AK147" s="127">
        <v>0</v>
      </c>
      <c r="AL147" s="127">
        <v>0</v>
      </c>
      <c r="AM147" s="132">
        <f t="shared" si="375"/>
        <v>2560</v>
      </c>
      <c r="AN147" s="133">
        <v>46164</v>
      </c>
      <c r="AO147" s="134" t="s">
        <v>3685</v>
      </c>
      <c r="AP147" s="135" t="s">
        <v>234</v>
      </c>
      <c r="AQ147" s="136" t="s">
        <v>235</v>
      </c>
      <c r="AR147" s="136" t="s">
        <v>236</v>
      </c>
      <c r="AS147" s="123" t="s">
        <v>237</v>
      </c>
      <c r="AT147" s="137" t="s">
        <v>238</v>
      </c>
      <c r="AU147" s="137" t="s">
        <v>197</v>
      </c>
      <c r="AV147" s="138" t="s">
        <v>329</v>
      </c>
      <c r="AW147" s="136">
        <v>160</v>
      </c>
      <c r="AX147" s="138">
        <v>18</v>
      </c>
      <c r="AY147" s="136">
        <f t="shared" si="408"/>
        <v>2880</v>
      </c>
      <c r="AZ147" s="139" t="b">
        <f t="shared" si="409"/>
        <v>1</v>
      </c>
      <c r="BA147" s="125">
        <v>0</v>
      </c>
      <c r="BB147" s="140">
        <f t="shared" si="410"/>
        <v>160</v>
      </c>
      <c r="BC147" s="141">
        <v>0</v>
      </c>
      <c r="BD147" s="140" t="s">
        <v>107</v>
      </c>
      <c r="BE147" s="141">
        <v>0</v>
      </c>
      <c r="BF147" s="140">
        <v>0</v>
      </c>
      <c r="BG147" s="141">
        <v>0</v>
      </c>
      <c r="BH147" s="127">
        <v>0</v>
      </c>
      <c r="BI147" s="130">
        <v>0</v>
      </c>
      <c r="BJ147" s="128">
        <v>0</v>
      </c>
      <c r="BK147" s="125">
        <v>0</v>
      </c>
      <c r="BL147" s="136">
        <v>0</v>
      </c>
      <c r="BM147" s="127">
        <v>0</v>
      </c>
      <c r="BN147" s="142">
        <f t="shared" si="411"/>
        <v>0</v>
      </c>
      <c r="BO147" s="126">
        <f t="shared" si="412"/>
        <v>2880</v>
      </c>
      <c r="BP147" s="132">
        <f t="shared" si="413"/>
        <v>320</v>
      </c>
      <c r="BQ147" s="141" t="str">
        <f t="shared" si="414"/>
        <v>Positive Margin</v>
      </c>
      <c r="BR147" s="143" t="s">
        <v>119</v>
      </c>
      <c r="BS147" s="125">
        <f t="shared" si="415"/>
        <v>320</v>
      </c>
      <c r="BT147" s="144" t="str">
        <f t="shared" si="416"/>
        <v>Positive Margin at Inception</v>
      </c>
      <c r="BU147" s="145">
        <f t="shared" si="417"/>
        <v>0.1111111111111111</v>
      </c>
      <c r="BV147" s="144" t="str">
        <f t="shared" si="418"/>
        <v>More than 2%</v>
      </c>
      <c r="BW147" s="125">
        <f t="shared" si="419"/>
        <v>0</v>
      </c>
      <c r="BX147" s="126">
        <f t="shared" si="420"/>
        <v>0</v>
      </c>
      <c r="BY147" s="125">
        <f t="shared" si="421"/>
        <v>0</v>
      </c>
      <c r="BZ147" s="146">
        <f t="shared" si="422"/>
        <v>0</v>
      </c>
      <c r="CA147" s="146">
        <f t="shared" si="423"/>
        <v>0</v>
      </c>
      <c r="CB147" s="127">
        <f t="shared" si="424"/>
        <v>0</v>
      </c>
      <c r="CC147" s="146" t="s">
        <v>397</v>
      </c>
      <c r="CD147" s="127">
        <v>0</v>
      </c>
      <c r="CE147" s="127" t="str">
        <f t="shared" si="425"/>
        <v>May-26</v>
      </c>
      <c r="CF147" s="127">
        <f t="shared" si="426"/>
        <v>2560</v>
      </c>
      <c r="CG147" s="127">
        <f t="shared" si="427"/>
        <v>2880</v>
      </c>
      <c r="CH147" s="127">
        <f t="shared" si="428"/>
        <v>8</v>
      </c>
      <c r="CI147" s="147" t="str">
        <f t="shared" si="429"/>
        <v>BG AHD</v>
      </c>
      <c r="CJ147" s="127">
        <v>0</v>
      </c>
      <c r="CK147" s="127">
        <v>0</v>
      </c>
      <c r="CL147" s="127">
        <f t="shared" si="430"/>
        <v>320</v>
      </c>
      <c r="CM147" s="127">
        <f t="shared" si="431"/>
        <v>320</v>
      </c>
      <c r="CN147" s="127">
        <f t="shared" si="432"/>
        <v>320</v>
      </c>
      <c r="CO147" s="127">
        <f t="shared" si="433"/>
        <v>3398.3999999999996</v>
      </c>
      <c r="CP147" s="127">
        <f t="shared" si="434"/>
        <v>-3020.7999999999997</v>
      </c>
      <c r="CQ147" s="127">
        <f t="shared" si="435"/>
        <v>0</v>
      </c>
      <c r="CR147" s="127">
        <f t="shared" si="436"/>
        <v>0</v>
      </c>
      <c r="CS147" s="127">
        <f t="shared" si="437"/>
        <v>377.59999999999991</v>
      </c>
      <c r="CT147" s="127" t="s">
        <v>361</v>
      </c>
      <c r="CU147" s="127" t="s">
        <v>361</v>
      </c>
      <c r="CV147" s="142" t="str">
        <f t="shared" si="438"/>
        <v>AAMCB5608A</v>
      </c>
      <c r="CW147" s="142" t="str">
        <f t="shared" si="439"/>
        <v>BJHPB3107J</v>
      </c>
    </row>
    <row r="148" spans="2:101" s="149" customFormat="1" ht="11.85" customHeight="1" x14ac:dyDescent="0.25">
      <c r="B148" s="120" t="str">
        <f t="shared" si="369"/>
        <v>Q1</v>
      </c>
      <c r="C148" s="121" t="str">
        <f t="shared" si="370"/>
        <v>May-26</v>
      </c>
      <c r="D148" s="122">
        <v>46164</v>
      </c>
      <c r="E148" s="123" t="s">
        <v>3663</v>
      </c>
      <c r="F148" s="123" t="s">
        <v>196</v>
      </c>
      <c r="G148" s="123" t="s">
        <v>198</v>
      </c>
      <c r="H148" s="124" t="s">
        <v>3664</v>
      </c>
      <c r="I148" s="122">
        <v>46164</v>
      </c>
      <c r="J148" s="123" t="s">
        <v>3665</v>
      </c>
      <c r="K148" s="122">
        <v>46164</v>
      </c>
      <c r="L148" s="123" t="s">
        <v>199</v>
      </c>
      <c r="M148" s="123" t="s">
        <v>2331</v>
      </c>
      <c r="N148" s="124" t="s">
        <v>243</v>
      </c>
      <c r="O148" s="123">
        <v>236</v>
      </c>
      <c r="P148" s="124">
        <v>60</v>
      </c>
      <c r="Q148" s="125">
        <f t="shared" si="371"/>
        <v>14160</v>
      </c>
      <c r="R148" s="126">
        <v>0</v>
      </c>
      <c r="S148" s="125">
        <f t="shared" si="372"/>
        <v>236</v>
      </c>
      <c r="T148" s="126">
        <v>0</v>
      </c>
      <c r="U148" s="127">
        <v>0</v>
      </c>
      <c r="V148" s="128">
        <v>0</v>
      </c>
      <c r="W148" s="127">
        <v>0</v>
      </c>
      <c r="X148" s="129">
        <v>0</v>
      </c>
      <c r="Y148" s="127">
        <v>0</v>
      </c>
      <c r="Z148" s="127">
        <v>0</v>
      </c>
      <c r="AA148" s="126">
        <v>0</v>
      </c>
      <c r="AB148" s="130">
        <f t="shared" si="373"/>
        <v>0</v>
      </c>
      <c r="AC148" s="129">
        <v>0</v>
      </c>
      <c r="AD148" s="125">
        <f t="shared" si="374"/>
        <v>60</v>
      </c>
      <c r="AE148" s="144">
        <v>0</v>
      </c>
      <c r="AF148" s="127">
        <v>0</v>
      </c>
      <c r="AG148" s="131">
        <v>0</v>
      </c>
      <c r="AH148" s="127">
        <v>0</v>
      </c>
      <c r="AI148" s="128">
        <v>0</v>
      </c>
      <c r="AJ148" s="127">
        <v>0</v>
      </c>
      <c r="AK148" s="127">
        <v>0</v>
      </c>
      <c r="AL148" s="127">
        <v>0</v>
      </c>
      <c r="AM148" s="132">
        <f t="shared" si="375"/>
        <v>14160</v>
      </c>
      <c r="AN148" s="133">
        <v>46164</v>
      </c>
      <c r="AO148" s="134" t="s">
        <v>3685</v>
      </c>
      <c r="AP148" s="135" t="s">
        <v>234</v>
      </c>
      <c r="AQ148" s="136" t="s">
        <v>235</v>
      </c>
      <c r="AR148" s="136" t="s">
        <v>236</v>
      </c>
      <c r="AS148" s="123" t="s">
        <v>237</v>
      </c>
      <c r="AT148" s="137" t="s">
        <v>238</v>
      </c>
      <c r="AU148" s="137" t="s">
        <v>197</v>
      </c>
      <c r="AV148" s="138" t="s">
        <v>329</v>
      </c>
      <c r="AW148" s="136">
        <v>236</v>
      </c>
      <c r="AX148" s="138">
        <v>80</v>
      </c>
      <c r="AY148" s="136">
        <f t="shared" si="408"/>
        <v>18880</v>
      </c>
      <c r="AZ148" s="139" t="b">
        <f t="shared" si="409"/>
        <v>1</v>
      </c>
      <c r="BA148" s="125">
        <v>0</v>
      </c>
      <c r="BB148" s="140">
        <f t="shared" si="410"/>
        <v>236</v>
      </c>
      <c r="BC148" s="141">
        <v>0</v>
      </c>
      <c r="BD148" s="140" t="s">
        <v>107</v>
      </c>
      <c r="BE148" s="141">
        <v>0</v>
      </c>
      <c r="BF148" s="140">
        <v>0</v>
      </c>
      <c r="BG148" s="141">
        <v>0</v>
      </c>
      <c r="BH148" s="127">
        <v>0</v>
      </c>
      <c r="BI148" s="130">
        <v>0</v>
      </c>
      <c r="BJ148" s="128">
        <v>0</v>
      </c>
      <c r="BK148" s="125">
        <v>0</v>
      </c>
      <c r="BL148" s="136">
        <v>0</v>
      </c>
      <c r="BM148" s="127">
        <v>0</v>
      </c>
      <c r="BN148" s="142">
        <f t="shared" si="411"/>
        <v>0</v>
      </c>
      <c r="BO148" s="126">
        <f t="shared" si="412"/>
        <v>18880</v>
      </c>
      <c r="BP148" s="132">
        <f t="shared" si="413"/>
        <v>4720</v>
      </c>
      <c r="BQ148" s="141" t="str">
        <f t="shared" si="414"/>
        <v>Positive Margin</v>
      </c>
      <c r="BR148" s="143" t="s">
        <v>119</v>
      </c>
      <c r="BS148" s="125">
        <f t="shared" si="415"/>
        <v>4720</v>
      </c>
      <c r="BT148" s="144" t="str">
        <f t="shared" si="416"/>
        <v>Positive Margin at Inception</v>
      </c>
      <c r="BU148" s="145">
        <f t="shared" si="417"/>
        <v>0.25</v>
      </c>
      <c r="BV148" s="144" t="str">
        <f t="shared" si="418"/>
        <v>More than 2%</v>
      </c>
      <c r="BW148" s="125">
        <f t="shared" si="419"/>
        <v>0</v>
      </c>
      <c r="BX148" s="126">
        <f t="shared" si="420"/>
        <v>0</v>
      </c>
      <c r="BY148" s="125">
        <f t="shared" si="421"/>
        <v>0</v>
      </c>
      <c r="BZ148" s="146">
        <f t="shared" si="422"/>
        <v>0</v>
      </c>
      <c r="CA148" s="146">
        <f t="shared" si="423"/>
        <v>0</v>
      </c>
      <c r="CB148" s="127">
        <f t="shared" si="424"/>
        <v>0</v>
      </c>
      <c r="CC148" s="146" t="s">
        <v>397</v>
      </c>
      <c r="CD148" s="127">
        <v>0</v>
      </c>
      <c r="CE148" s="127" t="str">
        <f t="shared" si="425"/>
        <v>May-26</v>
      </c>
      <c r="CF148" s="127">
        <f t="shared" si="426"/>
        <v>14160</v>
      </c>
      <c r="CG148" s="127">
        <f t="shared" si="427"/>
        <v>18880</v>
      </c>
      <c r="CH148" s="127">
        <f t="shared" si="428"/>
        <v>8</v>
      </c>
      <c r="CI148" s="147" t="str">
        <f t="shared" si="429"/>
        <v>BG AHD</v>
      </c>
      <c r="CJ148" s="127">
        <v>0</v>
      </c>
      <c r="CK148" s="127">
        <v>0</v>
      </c>
      <c r="CL148" s="127">
        <f t="shared" si="430"/>
        <v>4720</v>
      </c>
      <c r="CM148" s="127">
        <f t="shared" si="431"/>
        <v>4720</v>
      </c>
      <c r="CN148" s="127">
        <f t="shared" si="432"/>
        <v>4720</v>
      </c>
      <c r="CO148" s="127">
        <f t="shared" si="433"/>
        <v>22278.399999999998</v>
      </c>
      <c r="CP148" s="127">
        <f t="shared" si="434"/>
        <v>-16708.8</v>
      </c>
      <c r="CQ148" s="127">
        <f t="shared" si="435"/>
        <v>0</v>
      </c>
      <c r="CR148" s="127">
        <f t="shared" si="436"/>
        <v>0</v>
      </c>
      <c r="CS148" s="127">
        <f t="shared" si="437"/>
        <v>5569.5999999999985</v>
      </c>
      <c r="CT148" s="127" t="s">
        <v>361</v>
      </c>
      <c r="CU148" s="127" t="s">
        <v>361</v>
      </c>
      <c r="CV148" s="142" t="str">
        <f t="shared" si="438"/>
        <v>AAMCB5608A</v>
      </c>
      <c r="CW148" s="142" t="str">
        <f t="shared" si="439"/>
        <v>BJHPB3107J</v>
      </c>
    </row>
    <row r="149" spans="2:101" s="149" customFormat="1" ht="11.85" customHeight="1" x14ac:dyDescent="0.25">
      <c r="B149" s="120" t="str">
        <f t="shared" si="369"/>
        <v>Q1</v>
      </c>
      <c r="C149" s="121" t="str">
        <f t="shared" si="370"/>
        <v>May-26</v>
      </c>
      <c r="D149" s="122">
        <v>46164</v>
      </c>
      <c r="E149" s="123" t="s">
        <v>3663</v>
      </c>
      <c r="F149" s="123" t="s">
        <v>196</v>
      </c>
      <c r="G149" s="123" t="s">
        <v>198</v>
      </c>
      <c r="H149" s="124" t="s">
        <v>3664</v>
      </c>
      <c r="I149" s="122">
        <v>46164</v>
      </c>
      <c r="J149" s="123" t="s">
        <v>3665</v>
      </c>
      <c r="K149" s="122">
        <v>46164</v>
      </c>
      <c r="L149" s="123" t="s">
        <v>199</v>
      </c>
      <c r="M149" s="123" t="s">
        <v>2331</v>
      </c>
      <c r="N149" s="124" t="s">
        <v>206</v>
      </c>
      <c r="O149" s="123">
        <v>268</v>
      </c>
      <c r="P149" s="124">
        <v>50</v>
      </c>
      <c r="Q149" s="125">
        <f t="shared" si="371"/>
        <v>13400</v>
      </c>
      <c r="R149" s="126">
        <v>0</v>
      </c>
      <c r="S149" s="125">
        <f t="shared" si="372"/>
        <v>268</v>
      </c>
      <c r="T149" s="126">
        <v>0</v>
      </c>
      <c r="U149" s="127">
        <v>0</v>
      </c>
      <c r="V149" s="128">
        <v>0</v>
      </c>
      <c r="W149" s="127">
        <v>0</v>
      </c>
      <c r="X149" s="129">
        <v>0</v>
      </c>
      <c r="Y149" s="127">
        <v>0</v>
      </c>
      <c r="Z149" s="127">
        <v>0</v>
      </c>
      <c r="AA149" s="126">
        <v>0</v>
      </c>
      <c r="AB149" s="130">
        <f t="shared" si="373"/>
        <v>0</v>
      </c>
      <c r="AC149" s="129">
        <v>0</v>
      </c>
      <c r="AD149" s="125">
        <f t="shared" si="374"/>
        <v>50</v>
      </c>
      <c r="AE149" s="144">
        <v>0</v>
      </c>
      <c r="AF149" s="127">
        <v>0</v>
      </c>
      <c r="AG149" s="131">
        <v>0</v>
      </c>
      <c r="AH149" s="127">
        <v>0</v>
      </c>
      <c r="AI149" s="128">
        <v>0</v>
      </c>
      <c r="AJ149" s="127">
        <v>0</v>
      </c>
      <c r="AK149" s="127">
        <v>0</v>
      </c>
      <c r="AL149" s="127">
        <v>0</v>
      </c>
      <c r="AM149" s="132">
        <f t="shared" si="375"/>
        <v>13400</v>
      </c>
      <c r="AN149" s="133">
        <v>46164</v>
      </c>
      <c r="AO149" s="134" t="s">
        <v>3685</v>
      </c>
      <c r="AP149" s="135" t="s">
        <v>234</v>
      </c>
      <c r="AQ149" s="136" t="s">
        <v>235</v>
      </c>
      <c r="AR149" s="136" t="s">
        <v>236</v>
      </c>
      <c r="AS149" s="123" t="s">
        <v>237</v>
      </c>
      <c r="AT149" s="137" t="s">
        <v>238</v>
      </c>
      <c r="AU149" s="137" t="s">
        <v>197</v>
      </c>
      <c r="AV149" s="138" t="s">
        <v>329</v>
      </c>
      <c r="AW149" s="136">
        <v>268</v>
      </c>
      <c r="AX149" s="138">
        <v>70</v>
      </c>
      <c r="AY149" s="136">
        <f t="shared" si="408"/>
        <v>18760</v>
      </c>
      <c r="AZ149" s="139" t="b">
        <f t="shared" si="409"/>
        <v>1</v>
      </c>
      <c r="BA149" s="125">
        <v>0</v>
      </c>
      <c r="BB149" s="140">
        <f t="shared" si="410"/>
        <v>268</v>
      </c>
      <c r="BC149" s="141">
        <v>0</v>
      </c>
      <c r="BD149" s="140" t="s">
        <v>107</v>
      </c>
      <c r="BE149" s="141">
        <v>0</v>
      </c>
      <c r="BF149" s="140">
        <v>0</v>
      </c>
      <c r="BG149" s="141">
        <v>0</v>
      </c>
      <c r="BH149" s="127">
        <v>0</v>
      </c>
      <c r="BI149" s="130">
        <v>0</v>
      </c>
      <c r="BJ149" s="128">
        <v>0</v>
      </c>
      <c r="BK149" s="125">
        <v>0</v>
      </c>
      <c r="BL149" s="136">
        <v>0</v>
      </c>
      <c r="BM149" s="127">
        <v>0</v>
      </c>
      <c r="BN149" s="142">
        <f t="shared" si="411"/>
        <v>0</v>
      </c>
      <c r="BO149" s="126">
        <f t="shared" si="412"/>
        <v>18760</v>
      </c>
      <c r="BP149" s="132">
        <f t="shared" si="413"/>
        <v>5360</v>
      </c>
      <c r="BQ149" s="141" t="str">
        <f t="shared" si="414"/>
        <v>Positive Margin</v>
      </c>
      <c r="BR149" s="143" t="s">
        <v>119</v>
      </c>
      <c r="BS149" s="125">
        <f t="shared" si="415"/>
        <v>5360</v>
      </c>
      <c r="BT149" s="144" t="str">
        <f t="shared" si="416"/>
        <v>Positive Margin at Inception</v>
      </c>
      <c r="BU149" s="145">
        <f t="shared" si="417"/>
        <v>0.2857142857142857</v>
      </c>
      <c r="BV149" s="144" t="str">
        <f t="shared" si="418"/>
        <v>More than 2%</v>
      </c>
      <c r="BW149" s="125">
        <f t="shared" si="419"/>
        <v>0</v>
      </c>
      <c r="BX149" s="126">
        <f t="shared" si="420"/>
        <v>0</v>
      </c>
      <c r="BY149" s="125">
        <f t="shared" si="421"/>
        <v>0</v>
      </c>
      <c r="BZ149" s="146">
        <f t="shared" si="422"/>
        <v>0</v>
      </c>
      <c r="CA149" s="146">
        <f t="shared" si="423"/>
        <v>0</v>
      </c>
      <c r="CB149" s="127">
        <f t="shared" si="424"/>
        <v>0</v>
      </c>
      <c r="CC149" s="146" t="s">
        <v>397</v>
      </c>
      <c r="CD149" s="127">
        <v>0</v>
      </c>
      <c r="CE149" s="127" t="str">
        <f t="shared" si="425"/>
        <v>May-26</v>
      </c>
      <c r="CF149" s="127">
        <f t="shared" si="426"/>
        <v>13400</v>
      </c>
      <c r="CG149" s="127">
        <f t="shared" si="427"/>
        <v>18760</v>
      </c>
      <c r="CH149" s="127">
        <f t="shared" si="428"/>
        <v>8</v>
      </c>
      <c r="CI149" s="147" t="str">
        <f t="shared" si="429"/>
        <v>BG AHD</v>
      </c>
      <c r="CJ149" s="127">
        <v>0</v>
      </c>
      <c r="CK149" s="127">
        <v>0</v>
      </c>
      <c r="CL149" s="127">
        <f t="shared" si="430"/>
        <v>5360</v>
      </c>
      <c r="CM149" s="127">
        <f t="shared" si="431"/>
        <v>5360</v>
      </c>
      <c r="CN149" s="127">
        <f t="shared" si="432"/>
        <v>5360</v>
      </c>
      <c r="CO149" s="127">
        <f t="shared" si="433"/>
        <v>22136.799999999999</v>
      </c>
      <c r="CP149" s="127">
        <f t="shared" si="434"/>
        <v>-15812</v>
      </c>
      <c r="CQ149" s="127">
        <f t="shared" si="435"/>
        <v>0</v>
      </c>
      <c r="CR149" s="127">
        <f t="shared" si="436"/>
        <v>0</v>
      </c>
      <c r="CS149" s="127">
        <f t="shared" si="437"/>
        <v>6324.7999999999993</v>
      </c>
      <c r="CT149" s="127" t="s">
        <v>361</v>
      </c>
      <c r="CU149" s="127" t="s">
        <v>361</v>
      </c>
      <c r="CV149" s="142" t="str">
        <f t="shared" si="438"/>
        <v>AAMCB5608A</v>
      </c>
      <c r="CW149" s="142" t="str">
        <f t="shared" si="439"/>
        <v>BJHPB3107J</v>
      </c>
    </row>
    <row r="150" spans="2:101" s="149" customFormat="1" ht="11.85" customHeight="1" x14ac:dyDescent="0.25">
      <c r="B150" s="120" t="str">
        <f t="shared" si="369"/>
        <v>Q1</v>
      </c>
      <c r="C150" s="121" t="str">
        <f t="shared" si="370"/>
        <v>May-26</v>
      </c>
      <c r="D150" s="122">
        <v>46164</v>
      </c>
      <c r="E150" s="123" t="s">
        <v>3667</v>
      </c>
      <c r="F150" s="123" t="s">
        <v>196</v>
      </c>
      <c r="G150" s="123" t="s">
        <v>198</v>
      </c>
      <c r="H150" s="124" t="s">
        <v>3668</v>
      </c>
      <c r="I150" s="122">
        <v>46164</v>
      </c>
      <c r="J150" s="123" t="s">
        <v>3669</v>
      </c>
      <c r="K150" s="122">
        <v>46164</v>
      </c>
      <c r="L150" s="123" t="s">
        <v>199</v>
      </c>
      <c r="M150" s="123" t="s">
        <v>244</v>
      </c>
      <c r="N150" s="124" t="s">
        <v>258</v>
      </c>
      <c r="O150" s="123">
        <v>1240</v>
      </c>
      <c r="P150" s="124">
        <v>1.1000000000000001</v>
      </c>
      <c r="Q150" s="125">
        <f t="shared" si="371"/>
        <v>1364</v>
      </c>
      <c r="R150" s="126">
        <v>0</v>
      </c>
      <c r="S150" s="125">
        <f t="shared" si="372"/>
        <v>1240</v>
      </c>
      <c r="T150" s="126">
        <v>0</v>
      </c>
      <c r="U150" s="127">
        <v>0</v>
      </c>
      <c r="V150" s="128">
        <v>0</v>
      </c>
      <c r="W150" s="127">
        <v>0</v>
      </c>
      <c r="X150" s="129">
        <v>0</v>
      </c>
      <c r="Y150" s="127">
        <v>0</v>
      </c>
      <c r="Z150" s="127">
        <v>0</v>
      </c>
      <c r="AA150" s="126">
        <v>0</v>
      </c>
      <c r="AB150" s="130">
        <f t="shared" si="373"/>
        <v>0</v>
      </c>
      <c r="AC150" s="129">
        <v>0</v>
      </c>
      <c r="AD150" s="125">
        <f t="shared" si="374"/>
        <v>1.1000000000000001</v>
      </c>
      <c r="AE150" s="144">
        <v>0</v>
      </c>
      <c r="AF150" s="127">
        <v>0</v>
      </c>
      <c r="AG150" s="131">
        <v>0</v>
      </c>
      <c r="AH150" s="127">
        <v>0</v>
      </c>
      <c r="AI150" s="128">
        <v>0</v>
      </c>
      <c r="AJ150" s="127">
        <v>0</v>
      </c>
      <c r="AK150" s="127">
        <v>0</v>
      </c>
      <c r="AL150" s="127">
        <v>0</v>
      </c>
      <c r="AM150" s="132">
        <f t="shared" si="375"/>
        <v>1364</v>
      </c>
      <c r="AN150" s="133">
        <v>46164</v>
      </c>
      <c r="AO150" s="134" t="s">
        <v>3687</v>
      </c>
      <c r="AP150" s="135" t="s">
        <v>234</v>
      </c>
      <c r="AQ150" s="136" t="s">
        <v>235</v>
      </c>
      <c r="AR150" s="136" t="s">
        <v>236</v>
      </c>
      <c r="AS150" s="123" t="s">
        <v>237</v>
      </c>
      <c r="AT150" s="137" t="s">
        <v>238</v>
      </c>
      <c r="AU150" s="137" t="s">
        <v>197</v>
      </c>
      <c r="AV150" s="138" t="s">
        <v>329</v>
      </c>
      <c r="AW150" s="136">
        <v>1240</v>
      </c>
      <c r="AX150" s="138">
        <v>2.1</v>
      </c>
      <c r="AY150" s="136">
        <f t="shared" si="408"/>
        <v>2604</v>
      </c>
      <c r="AZ150" s="139" t="b">
        <f t="shared" si="409"/>
        <v>1</v>
      </c>
      <c r="BA150" s="125">
        <v>0</v>
      </c>
      <c r="BB150" s="140">
        <f t="shared" si="410"/>
        <v>1240</v>
      </c>
      <c r="BC150" s="141">
        <v>0</v>
      </c>
      <c r="BD150" s="140" t="s">
        <v>107</v>
      </c>
      <c r="BE150" s="141">
        <v>0</v>
      </c>
      <c r="BF150" s="140">
        <v>0</v>
      </c>
      <c r="BG150" s="141">
        <v>0</v>
      </c>
      <c r="BH150" s="127">
        <v>0</v>
      </c>
      <c r="BI150" s="130">
        <v>0</v>
      </c>
      <c r="BJ150" s="128">
        <v>0</v>
      </c>
      <c r="BK150" s="125">
        <v>0</v>
      </c>
      <c r="BL150" s="136">
        <v>0</v>
      </c>
      <c r="BM150" s="127">
        <v>0</v>
      </c>
      <c r="BN150" s="142">
        <f t="shared" si="411"/>
        <v>0</v>
      </c>
      <c r="BO150" s="126">
        <f t="shared" si="412"/>
        <v>2604</v>
      </c>
      <c r="BP150" s="132">
        <f t="shared" si="413"/>
        <v>1240</v>
      </c>
      <c r="BQ150" s="141" t="str">
        <f t="shared" si="414"/>
        <v>Positive Margin</v>
      </c>
      <c r="BR150" s="143" t="s">
        <v>119</v>
      </c>
      <c r="BS150" s="125">
        <f t="shared" si="415"/>
        <v>1240</v>
      </c>
      <c r="BT150" s="144" t="str">
        <f t="shared" si="416"/>
        <v>Positive Margin at Inception</v>
      </c>
      <c r="BU150" s="145">
        <f t="shared" si="417"/>
        <v>0.47619047619047616</v>
      </c>
      <c r="BV150" s="144" t="str">
        <f t="shared" si="418"/>
        <v>More than 2%</v>
      </c>
      <c r="BW150" s="125">
        <f t="shared" si="419"/>
        <v>0</v>
      </c>
      <c r="BX150" s="126">
        <f t="shared" si="420"/>
        <v>0</v>
      </c>
      <c r="BY150" s="125">
        <f t="shared" si="421"/>
        <v>0</v>
      </c>
      <c r="BZ150" s="146">
        <f t="shared" si="422"/>
        <v>0</v>
      </c>
      <c r="CA150" s="146">
        <f t="shared" si="423"/>
        <v>0</v>
      </c>
      <c r="CB150" s="127">
        <f t="shared" si="424"/>
        <v>0</v>
      </c>
      <c r="CC150" s="146" t="s">
        <v>397</v>
      </c>
      <c r="CD150" s="127">
        <v>0</v>
      </c>
      <c r="CE150" s="127" t="str">
        <f t="shared" si="425"/>
        <v>May-26</v>
      </c>
      <c r="CF150" s="127">
        <f t="shared" si="426"/>
        <v>1364</v>
      </c>
      <c r="CG150" s="127">
        <f t="shared" si="427"/>
        <v>2604</v>
      </c>
      <c r="CH150" s="127">
        <f t="shared" si="428"/>
        <v>8</v>
      </c>
      <c r="CI150" s="147" t="str">
        <f t="shared" si="429"/>
        <v>BG AHD</v>
      </c>
      <c r="CJ150" s="127">
        <v>0</v>
      </c>
      <c r="CK150" s="127">
        <v>0</v>
      </c>
      <c r="CL150" s="127">
        <f t="shared" si="430"/>
        <v>1240</v>
      </c>
      <c r="CM150" s="127">
        <f t="shared" si="431"/>
        <v>1240</v>
      </c>
      <c r="CN150" s="127">
        <f t="shared" si="432"/>
        <v>1240</v>
      </c>
      <c r="CO150" s="127">
        <f t="shared" si="433"/>
        <v>3072.72</v>
      </c>
      <c r="CP150" s="127">
        <f t="shared" si="434"/>
        <v>-1609.52</v>
      </c>
      <c r="CQ150" s="127">
        <f t="shared" si="435"/>
        <v>0</v>
      </c>
      <c r="CR150" s="127">
        <f t="shared" si="436"/>
        <v>0</v>
      </c>
      <c r="CS150" s="127">
        <f t="shared" si="437"/>
        <v>1463.1999999999998</v>
      </c>
      <c r="CT150" s="127" t="s">
        <v>361</v>
      </c>
      <c r="CU150" s="127" t="s">
        <v>361</v>
      </c>
      <c r="CV150" s="142" t="str">
        <f t="shared" si="438"/>
        <v>AAMCB5608A</v>
      </c>
      <c r="CW150" s="142" t="str">
        <f t="shared" si="439"/>
        <v>BJHPB3107J</v>
      </c>
    </row>
    <row r="151" spans="2:101" s="149" customFormat="1" ht="11.85" customHeight="1" x14ac:dyDescent="0.25">
      <c r="B151" s="120" t="str">
        <f t="shared" si="369"/>
        <v>Q1</v>
      </c>
      <c r="C151" s="121" t="str">
        <f t="shared" si="370"/>
        <v>May-26</v>
      </c>
      <c r="D151" s="122">
        <v>46164</v>
      </c>
      <c r="E151" s="123" t="s">
        <v>3667</v>
      </c>
      <c r="F151" s="123" t="s">
        <v>196</v>
      </c>
      <c r="G151" s="123" t="s">
        <v>198</v>
      </c>
      <c r="H151" s="124" t="s">
        <v>3668</v>
      </c>
      <c r="I151" s="122">
        <v>46164</v>
      </c>
      <c r="J151" s="123" t="s">
        <v>3669</v>
      </c>
      <c r="K151" s="122">
        <v>46164</v>
      </c>
      <c r="L151" s="123" t="s">
        <v>199</v>
      </c>
      <c r="M151" s="123" t="s">
        <v>244</v>
      </c>
      <c r="N151" s="124" t="s">
        <v>205</v>
      </c>
      <c r="O151" s="123">
        <v>1040</v>
      </c>
      <c r="P151" s="124">
        <v>12</v>
      </c>
      <c r="Q151" s="125">
        <f t="shared" si="371"/>
        <v>12480</v>
      </c>
      <c r="R151" s="126">
        <v>0</v>
      </c>
      <c r="S151" s="125">
        <f t="shared" si="372"/>
        <v>1040</v>
      </c>
      <c r="T151" s="126">
        <v>0</v>
      </c>
      <c r="U151" s="127">
        <v>0</v>
      </c>
      <c r="V151" s="128">
        <v>0</v>
      </c>
      <c r="W151" s="127">
        <v>0</v>
      </c>
      <c r="X151" s="129">
        <v>0</v>
      </c>
      <c r="Y151" s="127">
        <v>0</v>
      </c>
      <c r="Z151" s="127">
        <v>0</v>
      </c>
      <c r="AA151" s="126">
        <v>0</v>
      </c>
      <c r="AB151" s="130">
        <f t="shared" si="373"/>
        <v>0</v>
      </c>
      <c r="AC151" s="129">
        <v>0</v>
      </c>
      <c r="AD151" s="125">
        <f t="shared" si="374"/>
        <v>12</v>
      </c>
      <c r="AE151" s="144">
        <v>0</v>
      </c>
      <c r="AF151" s="127">
        <v>0</v>
      </c>
      <c r="AG151" s="131">
        <v>0</v>
      </c>
      <c r="AH151" s="127">
        <v>0</v>
      </c>
      <c r="AI151" s="128">
        <v>0</v>
      </c>
      <c r="AJ151" s="127">
        <v>0</v>
      </c>
      <c r="AK151" s="127">
        <v>0</v>
      </c>
      <c r="AL151" s="127">
        <v>0</v>
      </c>
      <c r="AM151" s="132">
        <f t="shared" si="375"/>
        <v>12480</v>
      </c>
      <c r="AN151" s="133">
        <v>46164</v>
      </c>
      <c r="AO151" s="134" t="s">
        <v>3687</v>
      </c>
      <c r="AP151" s="135" t="s">
        <v>234</v>
      </c>
      <c r="AQ151" s="136" t="s">
        <v>235</v>
      </c>
      <c r="AR151" s="136" t="s">
        <v>236</v>
      </c>
      <c r="AS151" s="123" t="s">
        <v>237</v>
      </c>
      <c r="AT151" s="137" t="s">
        <v>238</v>
      </c>
      <c r="AU151" s="137" t="s">
        <v>197</v>
      </c>
      <c r="AV151" s="138" t="s">
        <v>329</v>
      </c>
      <c r="AW151" s="136">
        <v>1040</v>
      </c>
      <c r="AX151" s="138">
        <v>14</v>
      </c>
      <c r="AY151" s="136">
        <f t="shared" si="408"/>
        <v>14560</v>
      </c>
      <c r="AZ151" s="139" t="b">
        <f t="shared" si="409"/>
        <v>1</v>
      </c>
      <c r="BA151" s="125">
        <v>0</v>
      </c>
      <c r="BB151" s="140">
        <f t="shared" si="410"/>
        <v>1040</v>
      </c>
      <c r="BC151" s="141">
        <v>0</v>
      </c>
      <c r="BD151" s="140" t="s">
        <v>107</v>
      </c>
      <c r="BE151" s="141">
        <v>0</v>
      </c>
      <c r="BF151" s="140">
        <v>0</v>
      </c>
      <c r="BG151" s="141">
        <v>0</v>
      </c>
      <c r="BH151" s="127">
        <v>0</v>
      </c>
      <c r="BI151" s="130">
        <v>0</v>
      </c>
      <c r="BJ151" s="128">
        <v>0</v>
      </c>
      <c r="BK151" s="125">
        <v>0</v>
      </c>
      <c r="BL151" s="136">
        <v>0</v>
      </c>
      <c r="BM151" s="127">
        <v>0</v>
      </c>
      <c r="BN151" s="142">
        <f t="shared" si="411"/>
        <v>0</v>
      </c>
      <c r="BO151" s="126">
        <f t="shared" si="412"/>
        <v>14560</v>
      </c>
      <c r="BP151" s="132">
        <f t="shared" si="413"/>
        <v>2080</v>
      </c>
      <c r="BQ151" s="141" t="str">
        <f t="shared" si="414"/>
        <v>Positive Margin</v>
      </c>
      <c r="BR151" s="143" t="s">
        <v>119</v>
      </c>
      <c r="BS151" s="125">
        <f t="shared" si="415"/>
        <v>2080</v>
      </c>
      <c r="BT151" s="144" t="str">
        <f t="shared" si="416"/>
        <v>Positive Margin at Inception</v>
      </c>
      <c r="BU151" s="145">
        <f t="shared" si="417"/>
        <v>0.14285714285714285</v>
      </c>
      <c r="BV151" s="144" t="str">
        <f t="shared" si="418"/>
        <v>More than 2%</v>
      </c>
      <c r="BW151" s="125">
        <f t="shared" si="419"/>
        <v>0</v>
      </c>
      <c r="BX151" s="126">
        <f t="shared" si="420"/>
        <v>0</v>
      </c>
      <c r="BY151" s="125">
        <f t="shared" si="421"/>
        <v>0</v>
      </c>
      <c r="BZ151" s="146">
        <f t="shared" si="422"/>
        <v>0</v>
      </c>
      <c r="CA151" s="146">
        <f t="shared" si="423"/>
        <v>0</v>
      </c>
      <c r="CB151" s="127">
        <f t="shared" si="424"/>
        <v>0</v>
      </c>
      <c r="CC151" s="146" t="s">
        <v>397</v>
      </c>
      <c r="CD151" s="127">
        <v>0</v>
      </c>
      <c r="CE151" s="127" t="str">
        <f t="shared" si="425"/>
        <v>May-26</v>
      </c>
      <c r="CF151" s="127">
        <f t="shared" si="426"/>
        <v>12480</v>
      </c>
      <c r="CG151" s="127">
        <f t="shared" si="427"/>
        <v>14560</v>
      </c>
      <c r="CH151" s="127">
        <f t="shared" si="428"/>
        <v>8</v>
      </c>
      <c r="CI151" s="147" t="str">
        <f t="shared" si="429"/>
        <v>BG AHD</v>
      </c>
      <c r="CJ151" s="127">
        <v>0</v>
      </c>
      <c r="CK151" s="127">
        <v>0</v>
      </c>
      <c r="CL151" s="127">
        <f t="shared" si="430"/>
        <v>2080</v>
      </c>
      <c r="CM151" s="127">
        <f t="shared" si="431"/>
        <v>2080</v>
      </c>
      <c r="CN151" s="127">
        <f t="shared" si="432"/>
        <v>2080</v>
      </c>
      <c r="CO151" s="127">
        <f t="shared" si="433"/>
        <v>17180.8</v>
      </c>
      <c r="CP151" s="127">
        <f t="shared" si="434"/>
        <v>-14726.4</v>
      </c>
      <c r="CQ151" s="127">
        <f t="shared" si="435"/>
        <v>0</v>
      </c>
      <c r="CR151" s="127">
        <f t="shared" si="436"/>
        <v>0</v>
      </c>
      <c r="CS151" s="127">
        <f t="shared" si="437"/>
        <v>2454.3999999999996</v>
      </c>
      <c r="CT151" s="127" t="s">
        <v>361</v>
      </c>
      <c r="CU151" s="127" t="s">
        <v>361</v>
      </c>
      <c r="CV151" s="142" t="str">
        <f t="shared" si="438"/>
        <v>AAMCB5608A</v>
      </c>
      <c r="CW151" s="142" t="str">
        <f t="shared" si="439"/>
        <v>BJHPB3107J</v>
      </c>
    </row>
    <row r="152" spans="2:101" s="149" customFormat="1" ht="11.85" customHeight="1" x14ac:dyDescent="0.25">
      <c r="B152" s="120" t="str">
        <f t="shared" si="369"/>
        <v>Q1</v>
      </c>
      <c r="C152" s="121" t="str">
        <f t="shared" si="370"/>
        <v>May-26</v>
      </c>
      <c r="D152" s="122">
        <v>46164</v>
      </c>
      <c r="E152" s="123" t="s">
        <v>3670</v>
      </c>
      <c r="F152" s="123" t="s">
        <v>196</v>
      </c>
      <c r="G152" s="123" t="s">
        <v>198</v>
      </c>
      <c r="H152" s="124" t="s">
        <v>3671</v>
      </c>
      <c r="I152" s="122">
        <v>46164</v>
      </c>
      <c r="J152" s="123" t="s">
        <v>3672</v>
      </c>
      <c r="K152" s="122">
        <v>46164</v>
      </c>
      <c r="L152" s="123" t="s">
        <v>199</v>
      </c>
      <c r="M152" s="123" t="s">
        <v>3462</v>
      </c>
      <c r="N152" s="124" t="s">
        <v>3673</v>
      </c>
      <c r="O152" s="123">
        <v>3400</v>
      </c>
      <c r="P152" s="124">
        <v>1</v>
      </c>
      <c r="Q152" s="125">
        <f t="shared" si="371"/>
        <v>3400</v>
      </c>
      <c r="R152" s="126">
        <v>0</v>
      </c>
      <c r="S152" s="125">
        <f t="shared" si="372"/>
        <v>3400</v>
      </c>
      <c r="T152" s="126">
        <v>0</v>
      </c>
      <c r="U152" s="127">
        <v>0</v>
      </c>
      <c r="V152" s="128">
        <v>0</v>
      </c>
      <c r="W152" s="127">
        <v>0</v>
      </c>
      <c r="X152" s="129">
        <v>0</v>
      </c>
      <c r="Y152" s="127">
        <v>0</v>
      </c>
      <c r="Z152" s="127">
        <v>0</v>
      </c>
      <c r="AA152" s="126">
        <v>0</v>
      </c>
      <c r="AB152" s="130">
        <f t="shared" si="373"/>
        <v>0</v>
      </c>
      <c r="AC152" s="129">
        <v>0</v>
      </c>
      <c r="AD152" s="125">
        <f t="shared" si="374"/>
        <v>1</v>
      </c>
      <c r="AE152" s="144">
        <v>0</v>
      </c>
      <c r="AF152" s="127">
        <v>0</v>
      </c>
      <c r="AG152" s="131">
        <v>0</v>
      </c>
      <c r="AH152" s="127">
        <v>0</v>
      </c>
      <c r="AI152" s="128">
        <v>0</v>
      </c>
      <c r="AJ152" s="127">
        <v>0</v>
      </c>
      <c r="AK152" s="127">
        <v>0</v>
      </c>
      <c r="AL152" s="127">
        <v>0</v>
      </c>
      <c r="AM152" s="132">
        <f t="shared" si="375"/>
        <v>3400</v>
      </c>
      <c r="AN152" s="133">
        <v>46164</v>
      </c>
      <c r="AO152" s="134" t="s">
        <v>3686</v>
      </c>
      <c r="AP152" s="135" t="s">
        <v>234</v>
      </c>
      <c r="AQ152" s="136" t="s">
        <v>235</v>
      </c>
      <c r="AR152" s="136" t="s">
        <v>236</v>
      </c>
      <c r="AS152" s="123" t="s">
        <v>2005</v>
      </c>
      <c r="AT152" s="137" t="s">
        <v>238</v>
      </c>
      <c r="AU152" s="137" t="s">
        <v>197</v>
      </c>
      <c r="AV152" s="138" t="s">
        <v>329</v>
      </c>
      <c r="AW152" s="136">
        <v>3400</v>
      </c>
      <c r="AX152" s="138">
        <v>2</v>
      </c>
      <c r="AY152" s="136">
        <f t="shared" si="408"/>
        <v>6800</v>
      </c>
      <c r="AZ152" s="139" t="b">
        <f t="shared" si="409"/>
        <v>1</v>
      </c>
      <c r="BA152" s="125">
        <v>0</v>
      </c>
      <c r="BB152" s="140">
        <f t="shared" si="410"/>
        <v>3400</v>
      </c>
      <c r="BC152" s="141">
        <v>0</v>
      </c>
      <c r="BD152" s="140" t="s">
        <v>107</v>
      </c>
      <c r="BE152" s="141">
        <v>0</v>
      </c>
      <c r="BF152" s="140">
        <v>0</v>
      </c>
      <c r="BG152" s="141">
        <v>0</v>
      </c>
      <c r="BH152" s="127">
        <v>0</v>
      </c>
      <c r="BI152" s="130">
        <v>0</v>
      </c>
      <c r="BJ152" s="128">
        <v>0</v>
      </c>
      <c r="BK152" s="125">
        <v>0</v>
      </c>
      <c r="BL152" s="136">
        <v>0</v>
      </c>
      <c r="BM152" s="127">
        <v>0</v>
      </c>
      <c r="BN152" s="142">
        <f t="shared" si="411"/>
        <v>0</v>
      </c>
      <c r="BO152" s="126">
        <f t="shared" si="412"/>
        <v>6800</v>
      </c>
      <c r="BP152" s="132">
        <f t="shared" si="413"/>
        <v>3400</v>
      </c>
      <c r="BQ152" s="141" t="str">
        <f t="shared" si="414"/>
        <v>Positive Margin</v>
      </c>
      <c r="BR152" s="143" t="s">
        <v>119</v>
      </c>
      <c r="BS152" s="125">
        <f t="shared" si="415"/>
        <v>3400</v>
      </c>
      <c r="BT152" s="144" t="str">
        <f t="shared" si="416"/>
        <v>Positive Margin at Inception</v>
      </c>
      <c r="BU152" s="145">
        <f t="shared" si="417"/>
        <v>0.5</v>
      </c>
      <c r="BV152" s="144" t="str">
        <f t="shared" si="418"/>
        <v>More than 2%</v>
      </c>
      <c r="BW152" s="125">
        <f t="shared" si="419"/>
        <v>0</v>
      </c>
      <c r="BX152" s="126">
        <f t="shared" si="420"/>
        <v>0</v>
      </c>
      <c r="BY152" s="125">
        <f t="shared" si="421"/>
        <v>0</v>
      </c>
      <c r="BZ152" s="146">
        <f t="shared" si="422"/>
        <v>0</v>
      </c>
      <c r="CA152" s="146">
        <f t="shared" si="423"/>
        <v>0</v>
      </c>
      <c r="CB152" s="127">
        <f t="shared" si="424"/>
        <v>0</v>
      </c>
      <c r="CC152" s="146" t="s">
        <v>397</v>
      </c>
      <c r="CD152" s="127">
        <v>0</v>
      </c>
      <c r="CE152" s="127" t="str">
        <f t="shared" si="425"/>
        <v>May-26</v>
      </c>
      <c r="CF152" s="127">
        <f t="shared" si="426"/>
        <v>3400</v>
      </c>
      <c r="CG152" s="127">
        <f t="shared" si="427"/>
        <v>6800</v>
      </c>
      <c r="CH152" s="127">
        <f t="shared" si="428"/>
        <v>8</v>
      </c>
      <c r="CI152" s="147" t="str">
        <f t="shared" si="429"/>
        <v>BG AHD</v>
      </c>
      <c r="CJ152" s="127">
        <v>0</v>
      </c>
      <c r="CK152" s="127">
        <v>0</v>
      </c>
      <c r="CL152" s="127">
        <f t="shared" si="430"/>
        <v>3400</v>
      </c>
      <c r="CM152" s="127">
        <f t="shared" si="431"/>
        <v>3400</v>
      </c>
      <c r="CN152" s="127">
        <f t="shared" si="432"/>
        <v>3400</v>
      </c>
      <c r="CO152" s="127">
        <f t="shared" si="433"/>
        <v>8024</v>
      </c>
      <c r="CP152" s="127">
        <f t="shared" si="434"/>
        <v>-4012</v>
      </c>
      <c r="CQ152" s="127">
        <f t="shared" si="435"/>
        <v>0</v>
      </c>
      <c r="CR152" s="127">
        <f t="shared" si="436"/>
        <v>0</v>
      </c>
      <c r="CS152" s="127">
        <f t="shared" si="437"/>
        <v>4012</v>
      </c>
      <c r="CT152" s="127" t="s">
        <v>361</v>
      </c>
      <c r="CU152" s="127" t="s">
        <v>361</v>
      </c>
      <c r="CV152" s="142" t="str">
        <f t="shared" si="438"/>
        <v>AAMCB5608A</v>
      </c>
      <c r="CW152" s="142" t="str">
        <f t="shared" si="439"/>
        <v>BJHPB3107J</v>
      </c>
    </row>
    <row r="153" spans="2:101" s="149" customFormat="1" ht="11.85" customHeight="1" x14ac:dyDescent="0.25">
      <c r="B153" s="120" t="str">
        <f t="shared" si="369"/>
        <v>Q1</v>
      </c>
      <c r="C153" s="121" t="str">
        <f t="shared" si="370"/>
        <v>May-26</v>
      </c>
      <c r="D153" s="122">
        <v>46165</v>
      </c>
      <c r="E153" s="123" t="s">
        <v>3674</v>
      </c>
      <c r="F153" s="123" t="s">
        <v>196</v>
      </c>
      <c r="G153" s="123" t="s">
        <v>198</v>
      </c>
      <c r="H153" s="124" t="s">
        <v>3675</v>
      </c>
      <c r="I153" s="122">
        <v>46165</v>
      </c>
      <c r="J153" s="123" t="s">
        <v>3676</v>
      </c>
      <c r="K153" s="122">
        <v>46165</v>
      </c>
      <c r="L153" s="123" t="s">
        <v>199</v>
      </c>
      <c r="M153" s="123" t="s">
        <v>2336</v>
      </c>
      <c r="N153" s="124" t="s">
        <v>204</v>
      </c>
      <c r="O153" s="123">
        <v>7420</v>
      </c>
      <c r="P153" s="124">
        <v>10</v>
      </c>
      <c r="Q153" s="125">
        <f t="shared" si="371"/>
        <v>74200</v>
      </c>
      <c r="R153" s="126">
        <v>0</v>
      </c>
      <c r="S153" s="125">
        <f t="shared" si="372"/>
        <v>7420</v>
      </c>
      <c r="T153" s="126">
        <v>0</v>
      </c>
      <c r="U153" s="127">
        <v>0</v>
      </c>
      <c r="V153" s="128">
        <v>0</v>
      </c>
      <c r="W153" s="127">
        <v>0</v>
      </c>
      <c r="X153" s="129">
        <v>0</v>
      </c>
      <c r="Y153" s="127">
        <v>0</v>
      </c>
      <c r="Z153" s="127">
        <v>0</v>
      </c>
      <c r="AA153" s="126">
        <v>0</v>
      </c>
      <c r="AB153" s="130">
        <f t="shared" si="373"/>
        <v>0</v>
      </c>
      <c r="AC153" s="129">
        <v>0</v>
      </c>
      <c r="AD153" s="125">
        <f t="shared" si="374"/>
        <v>10</v>
      </c>
      <c r="AE153" s="144">
        <v>0</v>
      </c>
      <c r="AF153" s="127">
        <v>0</v>
      </c>
      <c r="AG153" s="131">
        <v>0</v>
      </c>
      <c r="AH153" s="127">
        <v>0</v>
      </c>
      <c r="AI153" s="128">
        <v>0</v>
      </c>
      <c r="AJ153" s="127">
        <v>0</v>
      </c>
      <c r="AK153" s="127">
        <v>0</v>
      </c>
      <c r="AL153" s="127">
        <v>0</v>
      </c>
      <c r="AM153" s="132">
        <f t="shared" si="375"/>
        <v>74200</v>
      </c>
      <c r="AN153" s="133">
        <v>46165</v>
      </c>
      <c r="AO153" s="134" t="s">
        <v>3690</v>
      </c>
      <c r="AP153" s="135" t="s">
        <v>234</v>
      </c>
      <c r="AQ153" s="136" t="s">
        <v>235</v>
      </c>
      <c r="AR153" s="136" t="s">
        <v>236</v>
      </c>
      <c r="AS153" s="123" t="s">
        <v>239</v>
      </c>
      <c r="AT153" s="137" t="s">
        <v>238</v>
      </c>
      <c r="AU153" s="137" t="s">
        <v>197</v>
      </c>
      <c r="AV153" s="138" t="s">
        <v>329</v>
      </c>
      <c r="AW153" s="136">
        <v>7420</v>
      </c>
      <c r="AX153" s="138">
        <v>12</v>
      </c>
      <c r="AY153" s="136">
        <f t="shared" si="408"/>
        <v>89040</v>
      </c>
      <c r="AZ153" s="139" t="b">
        <f t="shared" si="409"/>
        <v>1</v>
      </c>
      <c r="BA153" s="125">
        <v>0</v>
      </c>
      <c r="BB153" s="140">
        <f t="shared" si="410"/>
        <v>7420</v>
      </c>
      <c r="BC153" s="141">
        <v>0</v>
      </c>
      <c r="BD153" s="140" t="s">
        <v>107</v>
      </c>
      <c r="BE153" s="141">
        <v>0</v>
      </c>
      <c r="BF153" s="140">
        <v>0</v>
      </c>
      <c r="BG153" s="141">
        <v>0</v>
      </c>
      <c r="BH153" s="127">
        <v>0</v>
      </c>
      <c r="BI153" s="130">
        <v>0</v>
      </c>
      <c r="BJ153" s="128">
        <v>0</v>
      </c>
      <c r="BK153" s="125">
        <v>0</v>
      </c>
      <c r="BL153" s="136">
        <v>0</v>
      </c>
      <c r="BM153" s="127">
        <v>0</v>
      </c>
      <c r="BN153" s="142">
        <f t="shared" si="411"/>
        <v>0</v>
      </c>
      <c r="BO153" s="126">
        <f t="shared" si="412"/>
        <v>89040</v>
      </c>
      <c r="BP153" s="132">
        <f t="shared" si="413"/>
        <v>14840</v>
      </c>
      <c r="BQ153" s="141" t="str">
        <f t="shared" si="414"/>
        <v>Positive Margin</v>
      </c>
      <c r="BR153" s="143" t="s">
        <v>119</v>
      </c>
      <c r="BS153" s="125">
        <f t="shared" si="415"/>
        <v>14840</v>
      </c>
      <c r="BT153" s="144" t="str">
        <f t="shared" si="416"/>
        <v>Positive Margin at Inception</v>
      </c>
      <c r="BU153" s="145">
        <f t="shared" si="417"/>
        <v>0.16666666666666666</v>
      </c>
      <c r="BV153" s="144" t="str">
        <f t="shared" si="418"/>
        <v>More than 2%</v>
      </c>
      <c r="BW153" s="125">
        <f t="shared" si="419"/>
        <v>0</v>
      </c>
      <c r="BX153" s="126">
        <f t="shared" si="420"/>
        <v>0</v>
      </c>
      <c r="BY153" s="125">
        <f t="shared" si="421"/>
        <v>0</v>
      </c>
      <c r="BZ153" s="146">
        <f t="shared" si="422"/>
        <v>0</v>
      </c>
      <c r="CA153" s="146">
        <f t="shared" si="423"/>
        <v>0</v>
      </c>
      <c r="CB153" s="127">
        <f t="shared" si="424"/>
        <v>0</v>
      </c>
      <c r="CC153" s="146" t="s">
        <v>397</v>
      </c>
      <c r="CD153" s="127">
        <v>0</v>
      </c>
      <c r="CE153" s="127" t="str">
        <f t="shared" si="425"/>
        <v>May-26</v>
      </c>
      <c r="CF153" s="127">
        <f t="shared" si="426"/>
        <v>74200</v>
      </c>
      <c r="CG153" s="127">
        <f t="shared" si="427"/>
        <v>89040</v>
      </c>
      <c r="CH153" s="127">
        <f t="shared" si="428"/>
        <v>8</v>
      </c>
      <c r="CI153" s="147" t="str">
        <f t="shared" si="429"/>
        <v>BG AHD</v>
      </c>
      <c r="CJ153" s="127">
        <v>0</v>
      </c>
      <c r="CK153" s="127">
        <v>0</v>
      </c>
      <c r="CL153" s="127">
        <f t="shared" si="430"/>
        <v>14840</v>
      </c>
      <c r="CM153" s="127">
        <f t="shared" si="431"/>
        <v>14840</v>
      </c>
      <c r="CN153" s="127">
        <f t="shared" si="432"/>
        <v>14840</v>
      </c>
      <c r="CO153" s="127">
        <f t="shared" si="433"/>
        <v>105067.2</v>
      </c>
      <c r="CP153" s="127">
        <f t="shared" si="434"/>
        <v>-87556</v>
      </c>
      <c r="CQ153" s="127">
        <f t="shared" si="435"/>
        <v>0</v>
      </c>
      <c r="CR153" s="127">
        <f t="shared" si="436"/>
        <v>0</v>
      </c>
      <c r="CS153" s="127">
        <f t="shared" si="437"/>
        <v>17511.199999999997</v>
      </c>
      <c r="CT153" s="127" t="s">
        <v>361</v>
      </c>
      <c r="CU153" s="127" t="s">
        <v>361</v>
      </c>
      <c r="CV153" s="142" t="str">
        <f t="shared" si="438"/>
        <v>AAMCB5608A</v>
      </c>
      <c r="CW153" s="142" t="str">
        <f t="shared" si="439"/>
        <v>BJHPB3107J</v>
      </c>
    </row>
    <row r="154" spans="2:101" s="149" customFormat="1" ht="11.85" customHeight="1" x14ac:dyDescent="0.25">
      <c r="B154" s="120" t="str">
        <f t="shared" ref="B154" si="440">"Q" &amp; IF(ROUNDUP(MONTH(D154)/3,0)-1=0,4,ROUNDUP(MONTH(D154)/3,0)-1)</f>
        <v>Q1</v>
      </c>
      <c r="C154" s="121" t="str">
        <f t="shared" ref="C154" si="441">TEXT(AN154,"mmm-yy")</f>
        <v>May-26</v>
      </c>
      <c r="D154" s="122">
        <v>46158</v>
      </c>
      <c r="E154" s="123" t="s">
        <v>3694</v>
      </c>
      <c r="F154" s="123" t="s">
        <v>196</v>
      </c>
      <c r="G154" s="123" t="s">
        <v>198</v>
      </c>
      <c r="H154" s="124" t="s">
        <v>3695</v>
      </c>
      <c r="I154" s="122">
        <v>46158</v>
      </c>
      <c r="J154" s="123" t="s">
        <v>3696</v>
      </c>
      <c r="K154" s="122">
        <v>46160</v>
      </c>
      <c r="L154" s="123" t="s">
        <v>199</v>
      </c>
      <c r="M154" s="123" t="s">
        <v>3528</v>
      </c>
      <c r="N154" s="124" t="s">
        <v>3089</v>
      </c>
      <c r="O154" s="123">
        <v>4040</v>
      </c>
      <c r="P154" s="124">
        <v>16.100000000000001</v>
      </c>
      <c r="Q154" s="125">
        <f t="shared" ref="Q154" si="442">O154*P154</f>
        <v>65044.000000000007</v>
      </c>
      <c r="R154" s="126">
        <v>0</v>
      </c>
      <c r="S154" s="125">
        <f t="shared" ref="S154" si="443">O154-R154</f>
        <v>4040</v>
      </c>
      <c r="T154" s="126">
        <v>0</v>
      </c>
      <c r="U154" s="127">
        <v>0</v>
      </c>
      <c r="V154" s="128">
        <v>0</v>
      </c>
      <c r="W154" s="127">
        <v>0</v>
      </c>
      <c r="X154" s="129">
        <v>0</v>
      </c>
      <c r="Y154" s="127">
        <v>0</v>
      </c>
      <c r="Z154" s="127">
        <v>0</v>
      </c>
      <c r="AA154" s="126">
        <v>0</v>
      </c>
      <c r="AB154" s="130">
        <f t="shared" ref="AB154" si="444">Y154+AA154+Z154</f>
        <v>0</v>
      </c>
      <c r="AC154" s="129">
        <v>0</v>
      </c>
      <c r="AD154" s="125">
        <f t="shared" ref="AD154" si="445">Q154/O154</f>
        <v>16.100000000000001</v>
      </c>
      <c r="AE154" s="144">
        <v>0</v>
      </c>
      <c r="AF154" s="127">
        <v>0</v>
      </c>
      <c r="AG154" s="131">
        <v>0</v>
      </c>
      <c r="AH154" s="127">
        <v>0</v>
      </c>
      <c r="AI154" s="128">
        <v>0</v>
      </c>
      <c r="AJ154" s="127">
        <v>0</v>
      </c>
      <c r="AK154" s="127">
        <v>0</v>
      </c>
      <c r="AL154" s="127">
        <v>0</v>
      </c>
      <c r="AM154" s="132">
        <f t="shared" ref="AM154" si="446">Q154+AB154+AL154+AK154+AJ154+T154+AE154</f>
        <v>65044.000000000007</v>
      </c>
      <c r="AN154" s="133">
        <v>46160</v>
      </c>
      <c r="AO154" s="134" t="s">
        <v>3697</v>
      </c>
      <c r="AP154" s="135" t="s">
        <v>234</v>
      </c>
      <c r="AQ154" s="136" t="s">
        <v>235</v>
      </c>
      <c r="AR154" s="136" t="s">
        <v>236</v>
      </c>
      <c r="AS154" s="123" t="s">
        <v>2006</v>
      </c>
      <c r="AT154" s="137" t="s">
        <v>238</v>
      </c>
      <c r="AU154" s="137" t="s">
        <v>197</v>
      </c>
      <c r="AV154" s="138" t="s">
        <v>329</v>
      </c>
      <c r="AW154" s="136">
        <v>4040</v>
      </c>
      <c r="AX154" s="138">
        <v>20</v>
      </c>
      <c r="AY154" s="136">
        <f t="shared" ref="AY154" si="447">AW154*AX154</f>
        <v>80800</v>
      </c>
      <c r="AZ154" s="139" t="b">
        <f t="shared" ref="AZ154" si="448">AW154=O154</f>
        <v>1</v>
      </c>
      <c r="BA154" s="125">
        <v>0</v>
      </c>
      <c r="BB154" s="140">
        <f t="shared" ref="BB154" si="449">AW154-BA154</f>
        <v>4040</v>
      </c>
      <c r="BC154" s="141">
        <v>0</v>
      </c>
      <c r="BD154" s="140" t="s">
        <v>107</v>
      </c>
      <c r="BE154" s="141">
        <v>0</v>
      </c>
      <c r="BF154" s="140">
        <v>0</v>
      </c>
      <c r="BG154" s="141">
        <v>0</v>
      </c>
      <c r="BH154" s="127">
        <v>0</v>
      </c>
      <c r="BI154" s="130">
        <v>0</v>
      </c>
      <c r="BJ154" s="128">
        <v>0</v>
      </c>
      <c r="BK154" s="125">
        <v>0</v>
      </c>
      <c r="BL154" s="136">
        <v>0</v>
      </c>
      <c r="BM154" s="127">
        <v>0</v>
      </c>
      <c r="BN154" s="142">
        <f t="shared" ref="BN154" si="450">AY154*$BN$3</f>
        <v>0</v>
      </c>
      <c r="BO154" s="126">
        <f t="shared" ref="BO154" si="451">AY154+BL154+BM154+BN154+BC154+BG154</f>
        <v>80800</v>
      </c>
      <c r="BP154" s="132">
        <f t="shared" ref="BP154" si="452">BO154-AM154</f>
        <v>15755.999999999993</v>
      </c>
      <c r="BQ154" s="141" t="str">
        <f t="shared" ref="BQ154" si="453">IF(BP154&gt;=0,"Positive Margin","Negative Margin")</f>
        <v>Positive Margin</v>
      </c>
      <c r="BR154" s="143" t="s">
        <v>119</v>
      </c>
      <c r="BS154" s="125">
        <f t="shared" ref="BS154" si="454">AY154-Y154-Q154-AA154-T154+BC154</f>
        <v>15755.999999999993</v>
      </c>
      <c r="BT154" s="144" t="str">
        <f t="shared" ref="BT154" si="455">IF(BS154&lt;0, "Negative Margin at Inception", "Positive Margin at Inception")</f>
        <v>Positive Margin at Inception</v>
      </c>
      <c r="BU154" s="145">
        <f t="shared" ref="BU154" si="456">IFERROR(BP154/BO154,"0")</f>
        <v>0.19499999999999992</v>
      </c>
      <c r="BV154" s="144" t="str">
        <f t="shared" ref="BV154" si="457">IF(BU154&lt;1%,"Less Than 1%",IF(BU154&gt;2%,"More than 2%",IF(BU154&gt;=1%,"1% - 2%")))</f>
        <v>More than 2%</v>
      </c>
      <c r="BW154" s="125">
        <f t="shared" ref="BW154" si="458">BM154+BN154</f>
        <v>0</v>
      </c>
      <c r="BX154" s="126">
        <f t="shared" ref="BX154" si="459">AL154+AK154</f>
        <v>0</v>
      </c>
      <c r="BY154" s="125">
        <f t="shared" ref="BY154" si="460">BW154-BX154</f>
        <v>0</v>
      </c>
      <c r="BZ154" s="146">
        <f t="shared" ref="BZ154" si="461">BM154</f>
        <v>0</v>
      </c>
      <c r="CA154" s="146">
        <f t="shared" ref="CA154" si="462">AK154</f>
        <v>0</v>
      </c>
      <c r="CB154" s="127">
        <f t="shared" ref="CB154" si="463">BZ154-CA154</f>
        <v>0</v>
      </c>
      <c r="CC154" s="146" t="s">
        <v>397</v>
      </c>
      <c r="CD154" s="127">
        <v>0</v>
      </c>
      <c r="CE154" s="127" t="str">
        <f t="shared" ref="CE154" si="464">TEXT(AN154,"mmm-yy")</f>
        <v>May-26</v>
      </c>
      <c r="CF154" s="127">
        <f t="shared" ref="CF154" si="465">AM154-AL154-AA154</f>
        <v>65044.000000000007</v>
      </c>
      <c r="CG154" s="127">
        <f t="shared" ref="CG154" si="466">BO154-BN154</f>
        <v>80800</v>
      </c>
      <c r="CH154" s="127">
        <f t="shared" ref="CH154" si="467">INT((D154- IF(MONTH(D154) &gt;= 4, DATE(YEAR(D154), 4, 1), DATE(YEAR(D154)-1, 4, 1))) / 7) + 1</f>
        <v>7</v>
      </c>
      <c r="CI154" s="147" t="str">
        <f t="shared" ref="CI154" si="468">IF(F154="BLACK GOLD RECYCLING PRIVATE LIMITED", "BG AHD", "B2B")</f>
        <v>BG AHD</v>
      </c>
      <c r="CJ154" s="127">
        <v>0</v>
      </c>
      <c r="CK154" s="127">
        <v>0</v>
      </c>
      <c r="CL154" s="127">
        <f t="shared" ref="CL154" si="469">AY154-Q154</f>
        <v>15755.999999999993</v>
      </c>
      <c r="CM154" s="127">
        <f t="shared" ref="CM154" si="470">CL154-Y154+Z154</f>
        <v>15755.999999999993</v>
      </c>
      <c r="CN154" s="127">
        <f t="shared" ref="CN154" si="471">BO154-AM154</f>
        <v>15755.999999999993</v>
      </c>
      <c r="CO154" s="127">
        <f t="shared" ref="CO154" si="472">AY154*118%</f>
        <v>95344</v>
      </c>
      <c r="CP154" s="127">
        <f t="shared" ref="CP154" si="473">-Q154*118%</f>
        <v>-76751.92</v>
      </c>
      <c r="CQ154" s="127">
        <f t="shared" ref="CQ154" si="474">-BZ154*118%</f>
        <v>0</v>
      </c>
      <c r="CR154" s="127">
        <f t="shared" ref="CR154" si="475">-CA154*118%</f>
        <v>0</v>
      </c>
      <c r="CS154" s="127">
        <f t="shared" ref="CS154" si="476">SUM(CO154:CR154)</f>
        <v>18592.080000000002</v>
      </c>
      <c r="CT154" s="127" t="s">
        <v>361</v>
      </c>
      <c r="CU154" s="127" t="s">
        <v>361</v>
      </c>
      <c r="CV154" s="142" t="str">
        <f t="shared" ref="CV154" si="477">MID(G154,3,10)</f>
        <v>AAMCB5608A</v>
      </c>
      <c r="CW154" s="142" t="str">
        <f t="shared" ref="CW154" si="478">MID(AR154,3,10)</f>
        <v>BJHPB3107J</v>
      </c>
    </row>
    <row r="155" spans="2:101" s="149" customFormat="1" ht="11.85" customHeight="1" x14ac:dyDescent="0.25">
      <c r="B155" s="120" t="str">
        <f t="shared" ref="B155:B159" si="479">"Q" &amp; IF(ROUNDUP(MONTH(D155)/3,0)-1=0,4,ROUNDUP(MONTH(D155)/3,0)-1)</f>
        <v>Q1</v>
      </c>
      <c r="C155" s="121" t="str">
        <f t="shared" ref="C155:C159" si="480">TEXT(AN155,"mmm-yy")</f>
        <v>May-26</v>
      </c>
      <c r="D155" s="122">
        <v>46167</v>
      </c>
      <c r="E155" s="123" t="s">
        <v>3707</v>
      </c>
      <c r="F155" s="123" t="s">
        <v>3635</v>
      </c>
      <c r="G155" s="123" t="s">
        <v>3636</v>
      </c>
      <c r="H155" s="124" t="s">
        <v>3708</v>
      </c>
      <c r="I155" s="122">
        <v>46167</v>
      </c>
      <c r="J155" s="123" t="s">
        <v>3709</v>
      </c>
      <c r="K155" s="122">
        <v>46168</v>
      </c>
      <c r="L155" s="123" t="s">
        <v>199</v>
      </c>
      <c r="M155" s="123" t="s">
        <v>3137</v>
      </c>
      <c r="N155" s="124" t="s">
        <v>257</v>
      </c>
      <c r="O155" s="123">
        <v>5030</v>
      </c>
      <c r="P155" s="124">
        <v>27.3</v>
      </c>
      <c r="Q155" s="125">
        <f t="shared" ref="Q155:Q159" si="481">O155*P155</f>
        <v>137319</v>
      </c>
      <c r="R155" s="126">
        <v>0</v>
      </c>
      <c r="S155" s="125">
        <f t="shared" ref="S155:S159" si="482">O155-R155</f>
        <v>5030</v>
      </c>
      <c r="T155" s="126">
        <v>0</v>
      </c>
      <c r="U155" s="127">
        <v>0</v>
      </c>
      <c r="V155" s="128">
        <v>0</v>
      </c>
      <c r="W155" s="127">
        <v>0</v>
      </c>
      <c r="X155" s="129">
        <v>0</v>
      </c>
      <c r="Y155" s="127">
        <v>0</v>
      </c>
      <c r="Z155" s="127">
        <v>0</v>
      </c>
      <c r="AA155" s="126">
        <v>0</v>
      </c>
      <c r="AB155" s="130">
        <f t="shared" ref="AB155:AB159" si="483">Y155+AA155+Z155</f>
        <v>0</v>
      </c>
      <c r="AC155" s="129">
        <v>0</v>
      </c>
      <c r="AD155" s="125">
        <f t="shared" ref="AD155:AD159" si="484">Q155/O155</f>
        <v>27.3</v>
      </c>
      <c r="AE155" s="144">
        <v>0</v>
      </c>
      <c r="AF155" s="127">
        <v>0</v>
      </c>
      <c r="AG155" s="131">
        <v>0</v>
      </c>
      <c r="AH155" s="127">
        <v>0</v>
      </c>
      <c r="AI155" s="128">
        <v>0</v>
      </c>
      <c r="AJ155" s="127">
        <v>0</v>
      </c>
      <c r="AK155" s="127">
        <v>0</v>
      </c>
      <c r="AL155" s="127">
        <v>0</v>
      </c>
      <c r="AM155" s="132">
        <f t="shared" ref="AM155:AM159" si="485">Q155+AB155+AL155+AK155+AJ155+T155+AE155</f>
        <v>137319</v>
      </c>
      <c r="AN155" s="133">
        <v>46168</v>
      </c>
      <c r="AO155" s="134" t="s">
        <v>3717</v>
      </c>
      <c r="AP155" s="135" t="s">
        <v>1937</v>
      </c>
      <c r="AQ155" s="136" t="s">
        <v>1938</v>
      </c>
      <c r="AR155" s="136" t="s">
        <v>1939</v>
      </c>
      <c r="AS155" s="123" t="s">
        <v>3678</v>
      </c>
      <c r="AT155" s="137" t="s">
        <v>1940</v>
      </c>
      <c r="AU155" s="137" t="s">
        <v>197</v>
      </c>
      <c r="AV155" s="138" t="s">
        <v>3718</v>
      </c>
      <c r="AW155" s="136">
        <v>5030</v>
      </c>
      <c r="AX155" s="138">
        <v>27.9</v>
      </c>
      <c r="AY155" s="136">
        <f t="shared" ref="AY155:AY159" si="486">AW155*AX155</f>
        <v>140337</v>
      </c>
      <c r="AZ155" s="139" t="b">
        <f t="shared" ref="AZ155:AZ159" si="487">AW155=O155</f>
        <v>1</v>
      </c>
      <c r="BA155" s="125">
        <v>0</v>
      </c>
      <c r="BB155" s="140">
        <f t="shared" ref="BB155:BB159" si="488">AW155-BA155</f>
        <v>5030</v>
      </c>
      <c r="BC155" s="141">
        <v>0</v>
      </c>
      <c r="BD155" s="140" t="s">
        <v>107</v>
      </c>
      <c r="BE155" s="141">
        <v>0</v>
      </c>
      <c r="BF155" s="140">
        <v>0</v>
      </c>
      <c r="BG155" s="141">
        <v>0</v>
      </c>
      <c r="BH155" s="127">
        <v>0</v>
      </c>
      <c r="BI155" s="130">
        <v>0</v>
      </c>
      <c r="BJ155" s="128">
        <v>0</v>
      </c>
      <c r="BK155" s="125">
        <v>0</v>
      </c>
      <c r="BL155" s="136">
        <v>0</v>
      </c>
      <c r="BM155" s="127">
        <v>0</v>
      </c>
      <c r="BN155" s="142">
        <f t="shared" ref="BN155:BN159" si="489">AY155*$BN$3</f>
        <v>0</v>
      </c>
      <c r="BO155" s="126">
        <f t="shared" ref="BO155:BO159" si="490">AY155+BL155+BM155+BN155+BC155+BG155</f>
        <v>140337</v>
      </c>
      <c r="BP155" s="132">
        <f t="shared" ref="BP155:BP159" si="491">BO155-AM155</f>
        <v>3018</v>
      </c>
      <c r="BQ155" s="141" t="str">
        <f t="shared" ref="BQ155:BQ159" si="492">IF(BP155&gt;=0,"Positive Margin","Negative Margin")</f>
        <v>Positive Margin</v>
      </c>
      <c r="BR155" s="143" t="s">
        <v>119</v>
      </c>
      <c r="BS155" s="125">
        <f t="shared" ref="BS155:BS159" si="493">AY155-Y155-Q155-AA155-T155+BC155</f>
        <v>3018</v>
      </c>
      <c r="BT155" s="144" t="str">
        <f t="shared" ref="BT155:BT159" si="494">IF(BS155&lt;0, "Negative Margin at Inception", "Positive Margin at Inception")</f>
        <v>Positive Margin at Inception</v>
      </c>
      <c r="BU155" s="145">
        <f t="shared" ref="BU155:BU159" si="495">IFERROR(BP155/BO155,"0")</f>
        <v>2.1505376344086023E-2</v>
      </c>
      <c r="BV155" s="144" t="str">
        <f t="shared" ref="BV155:BV159" si="496">IF(BU155&lt;1%,"Less Than 1%",IF(BU155&gt;2%,"More than 2%",IF(BU155&gt;=1%,"1% - 2%")))</f>
        <v>More than 2%</v>
      </c>
      <c r="BW155" s="125">
        <f t="shared" ref="BW155:BW159" si="497">BM155+BN155</f>
        <v>0</v>
      </c>
      <c r="BX155" s="126">
        <f t="shared" ref="BX155:BX159" si="498">AL155+AK155</f>
        <v>0</v>
      </c>
      <c r="BY155" s="125">
        <f t="shared" ref="BY155:BY159" si="499">BW155-BX155</f>
        <v>0</v>
      </c>
      <c r="BZ155" s="146">
        <f t="shared" ref="BZ155:BZ159" si="500">BM155</f>
        <v>0</v>
      </c>
      <c r="CA155" s="146">
        <f t="shared" ref="CA155:CA159" si="501">AK155</f>
        <v>0</v>
      </c>
      <c r="CB155" s="127">
        <f t="shared" ref="CB155:CB159" si="502">BZ155-CA155</f>
        <v>0</v>
      </c>
      <c r="CC155" s="146" t="s">
        <v>397</v>
      </c>
      <c r="CD155" s="127">
        <v>0</v>
      </c>
      <c r="CE155" s="127" t="str">
        <f t="shared" ref="CE155:CE159" si="503">TEXT(AN155,"mmm-yy")</f>
        <v>May-26</v>
      </c>
      <c r="CF155" s="127">
        <f t="shared" ref="CF155:CF159" si="504">AM155-AL155-AA155</f>
        <v>137319</v>
      </c>
      <c r="CG155" s="127">
        <f t="shared" ref="CG155:CG159" si="505">BO155-BN155</f>
        <v>140337</v>
      </c>
      <c r="CH155" s="127">
        <f t="shared" ref="CH155:CH159" si="506">INT((D155- IF(MONTH(D155) &gt;= 4, DATE(YEAR(D155), 4, 1), DATE(YEAR(D155)-1, 4, 1))) / 7) + 1</f>
        <v>8</v>
      </c>
      <c r="CI155" s="147" t="str">
        <f t="shared" ref="CI155:CI159" si="507">IF(F155="BLACK GOLD RECYCLING PRIVATE LIMITED", "BG AHD", "B2B")</f>
        <v>B2B</v>
      </c>
      <c r="CJ155" s="127">
        <v>0</v>
      </c>
      <c r="CK155" s="127">
        <v>0</v>
      </c>
      <c r="CL155" s="127">
        <f t="shared" ref="CL155:CL159" si="508">AY155-Q155</f>
        <v>3018</v>
      </c>
      <c r="CM155" s="127">
        <f t="shared" ref="CM155:CM159" si="509">CL155-Y155+Z155</f>
        <v>3018</v>
      </c>
      <c r="CN155" s="127">
        <f t="shared" ref="CN155:CN159" si="510">BO155-AM155</f>
        <v>3018</v>
      </c>
      <c r="CO155" s="127">
        <f t="shared" ref="CO155:CO159" si="511">AY155*118%</f>
        <v>165597.66</v>
      </c>
      <c r="CP155" s="127">
        <f t="shared" ref="CP155:CP159" si="512">-Q155*118%</f>
        <v>-162036.41999999998</v>
      </c>
      <c r="CQ155" s="127">
        <f t="shared" ref="CQ155:CQ159" si="513">-BZ155*118%</f>
        <v>0</v>
      </c>
      <c r="CR155" s="127">
        <f t="shared" ref="CR155:CR159" si="514">-CA155*118%</f>
        <v>0</v>
      </c>
      <c r="CS155" s="127">
        <f t="shared" ref="CS155:CS159" si="515">SUM(CO155:CR155)</f>
        <v>3561.2400000000198</v>
      </c>
      <c r="CT155" s="127" t="s">
        <v>361</v>
      </c>
      <c r="CU155" s="127" t="s">
        <v>361</v>
      </c>
      <c r="CV155" s="142" t="str">
        <f t="shared" ref="CV155:CV159" si="516">MID(G155,3,10)</f>
        <v>AAHCR8445C</v>
      </c>
      <c r="CW155" s="142" t="str">
        <f t="shared" ref="CW155:CW159" si="517">MID(AR155,3,10)</f>
        <v>AFDPY5902R</v>
      </c>
    </row>
    <row r="156" spans="2:101" s="149" customFormat="1" ht="11.85" customHeight="1" x14ac:dyDescent="0.25">
      <c r="B156" s="120" t="str">
        <f t="shared" si="479"/>
        <v>Q1</v>
      </c>
      <c r="C156" s="121" t="str">
        <f t="shared" si="480"/>
        <v>May-26</v>
      </c>
      <c r="D156" s="122">
        <v>46169</v>
      </c>
      <c r="E156" s="123" t="s">
        <v>3710</v>
      </c>
      <c r="F156" s="123" t="s">
        <v>196</v>
      </c>
      <c r="G156" s="123" t="s">
        <v>198</v>
      </c>
      <c r="H156" s="124" t="s">
        <v>3711</v>
      </c>
      <c r="I156" s="122">
        <v>46169</v>
      </c>
      <c r="J156" s="123" t="s">
        <v>3712</v>
      </c>
      <c r="K156" s="122">
        <v>46169</v>
      </c>
      <c r="L156" s="123" t="s">
        <v>199</v>
      </c>
      <c r="M156" s="123" t="s">
        <v>3713</v>
      </c>
      <c r="N156" s="124" t="s">
        <v>204</v>
      </c>
      <c r="O156" s="123">
        <v>7290</v>
      </c>
      <c r="P156" s="124">
        <v>10</v>
      </c>
      <c r="Q156" s="125">
        <f t="shared" si="481"/>
        <v>72900</v>
      </c>
      <c r="R156" s="126">
        <v>0</v>
      </c>
      <c r="S156" s="125">
        <f t="shared" si="482"/>
        <v>7290</v>
      </c>
      <c r="T156" s="126">
        <v>0</v>
      </c>
      <c r="U156" s="127">
        <v>0</v>
      </c>
      <c r="V156" s="128">
        <v>0</v>
      </c>
      <c r="W156" s="127">
        <v>0</v>
      </c>
      <c r="X156" s="129">
        <v>0</v>
      </c>
      <c r="Y156" s="127">
        <v>0</v>
      </c>
      <c r="Z156" s="127">
        <v>0</v>
      </c>
      <c r="AA156" s="126">
        <v>0</v>
      </c>
      <c r="AB156" s="130">
        <f t="shared" si="483"/>
        <v>0</v>
      </c>
      <c r="AC156" s="129">
        <v>0</v>
      </c>
      <c r="AD156" s="125">
        <f t="shared" si="484"/>
        <v>10</v>
      </c>
      <c r="AE156" s="144">
        <v>0</v>
      </c>
      <c r="AF156" s="127">
        <v>0</v>
      </c>
      <c r="AG156" s="131">
        <v>0</v>
      </c>
      <c r="AH156" s="127">
        <v>0</v>
      </c>
      <c r="AI156" s="128">
        <v>0</v>
      </c>
      <c r="AJ156" s="127">
        <v>0</v>
      </c>
      <c r="AK156" s="127">
        <v>0</v>
      </c>
      <c r="AL156" s="127">
        <v>0</v>
      </c>
      <c r="AM156" s="132">
        <f t="shared" si="485"/>
        <v>72900</v>
      </c>
      <c r="AN156" s="133">
        <v>46169</v>
      </c>
      <c r="AO156" s="134" t="s">
        <v>3720</v>
      </c>
      <c r="AP156" s="135" t="s">
        <v>234</v>
      </c>
      <c r="AQ156" s="136" t="s">
        <v>235</v>
      </c>
      <c r="AR156" s="136" t="s">
        <v>236</v>
      </c>
      <c r="AS156" s="123" t="s">
        <v>237</v>
      </c>
      <c r="AT156" s="137" t="s">
        <v>238</v>
      </c>
      <c r="AU156" s="137" t="s">
        <v>197</v>
      </c>
      <c r="AV156" s="138" t="s">
        <v>329</v>
      </c>
      <c r="AW156" s="136">
        <v>7290</v>
      </c>
      <c r="AX156" s="138">
        <v>12</v>
      </c>
      <c r="AY156" s="136">
        <f t="shared" si="486"/>
        <v>87480</v>
      </c>
      <c r="AZ156" s="139" t="b">
        <f t="shared" si="487"/>
        <v>1</v>
      </c>
      <c r="BA156" s="125">
        <v>0</v>
      </c>
      <c r="BB156" s="140">
        <f t="shared" si="488"/>
        <v>7290</v>
      </c>
      <c r="BC156" s="141">
        <v>0</v>
      </c>
      <c r="BD156" s="140" t="s">
        <v>107</v>
      </c>
      <c r="BE156" s="141">
        <v>0</v>
      </c>
      <c r="BF156" s="140">
        <v>0</v>
      </c>
      <c r="BG156" s="141">
        <v>0</v>
      </c>
      <c r="BH156" s="127">
        <v>0</v>
      </c>
      <c r="BI156" s="130">
        <v>0</v>
      </c>
      <c r="BJ156" s="128">
        <v>0</v>
      </c>
      <c r="BK156" s="125">
        <v>0</v>
      </c>
      <c r="BL156" s="136">
        <v>0</v>
      </c>
      <c r="BM156" s="127">
        <v>0</v>
      </c>
      <c r="BN156" s="142">
        <f t="shared" si="489"/>
        <v>0</v>
      </c>
      <c r="BO156" s="126">
        <f t="shared" si="490"/>
        <v>87480</v>
      </c>
      <c r="BP156" s="132">
        <f t="shared" si="491"/>
        <v>14580</v>
      </c>
      <c r="BQ156" s="141" t="str">
        <f t="shared" si="492"/>
        <v>Positive Margin</v>
      </c>
      <c r="BR156" s="143" t="s">
        <v>119</v>
      </c>
      <c r="BS156" s="125">
        <f t="shared" si="493"/>
        <v>14580</v>
      </c>
      <c r="BT156" s="144" t="str">
        <f t="shared" si="494"/>
        <v>Positive Margin at Inception</v>
      </c>
      <c r="BU156" s="145">
        <f t="shared" si="495"/>
        <v>0.16666666666666666</v>
      </c>
      <c r="BV156" s="144" t="str">
        <f t="shared" si="496"/>
        <v>More than 2%</v>
      </c>
      <c r="BW156" s="125">
        <f t="shared" si="497"/>
        <v>0</v>
      </c>
      <c r="BX156" s="126">
        <f t="shared" si="498"/>
        <v>0</v>
      </c>
      <c r="BY156" s="125">
        <f t="shared" si="499"/>
        <v>0</v>
      </c>
      <c r="BZ156" s="146">
        <f t="shared" si="500"/>
        <v>0</v>
      </c>
      <c r="CA156" s="146">
        <f t="shared" si="501"/>
        <v>0</v>
      </c>
      <c r="CB156" s="127">
        <f t="shared" si="502"/>
        <v>0</v>
      </c>
      <c r="CC156" s="146" t="s">
        <v>397</v>
      </c>
      <c r="CD156" s="127">
        <v>0</v>
      </c>
      <c r="CE156" s="127" t="str">
        <f t="shared" si="503"/>
        <v>May-26</v>
      </c>
      <c r="CF156" s="127">
        <f t="shared" si="504"/>
        <v>72900</v>
      </c>
      <c r="CG156" s="127">
        <f t="shared" si="505"/>
        <v>87480</v>
      </c>
      <c r="CH156" s="127">
        <f t="shared" si="506"/>
        <v>9</v>
      </c>
      <c r="CI156" s="147" t="str">
        <f t="shared" si="507"/>
        <v>BG AHD</v>
      </c>
      <c r="CJ156" s="127">
        <v>0</v>
      </c>
      <c r="CK156" s="127">
        <v>0</v>
      </c>
      <c r="CL156" s="127">
        <f t="shared" si="508"/>
        <v>14580</v>
      </c>
      <c r="CM156" s="127">
        <f t="shared" si="509"/>
        <v>14580</v>
      </c>
      <c r="CN156" s="127">
        <f t="shared" si="510"/>
        <v>14580</v>
      </c>
      <c r="CO156" s="127">
        <f t="shared" si="511"/>
        <v>103226.4</v>
      </c>
      <c r="CP156" s="127">
        <f t="shared" si="512"/>
        <v>-86022</v>
      </c>
      <c r="CQ156" s="127">
        <f t="shared" si="513"/>
        <v>0</v>
      </c>
      <c r="CR156" s="127">
        <f t="shared" si="514"/>
        <v>0</v>
      </c>
      <c r="CS156" s="127">
        <f t="shared" si="515"/>
        <v>17204.399999999994</v>
      </c>
      <c r="CT156" s="127" t="s">
        <v>361</v>
      </c>
      <c r="CU156" s="127" t="s">
        <v>361</v>
      </c>
      <c r="CV156" s="142" t="str">
        <f t="shared" si="516"/>
        <v>AAMCB5608A</v>
      </c>
      <c r="CW156" s="142" t="str">
        <f t="shared" si="517"/>
        <v>BJHPB3107J</v>
      </c>
    </row>
    <row r="157" spans="2:101" s="149" customFormat="1" ht="11.85" customHeight="1" x14ac:dyDescent="0.25">
      <c r="B157" s="120" t="str">
        <f t="shared" si="479"/>
        <v>Q1</v>
      </c>
      <c r="C157" s="121" t="str">
        <f t="shared" si="480"/>
        <v>May-26</v>
      </c>
      <c r="D157" s="122">
        <v>46169</v>
      </c>
      <c r="E157" s="123" t="s">
        <v>3714</v>
      </c>
      <c r="F157" s="123" t="s">
        <v>196</v>
      </c>
      <c r="G157" s="123" t="s">
        <v>198</v>
      </c>
      <c r="H157" s="124" t="s">
        <v>3715</v>
      </c>
      <c r="I157" s="122">
        <v>46169</v>
      </c>
      <c r="J157" s="123" t="s">
        <v>3716</v>
      </c>
      <c r="K157" s="122">
        <v>46169</v>
      </c>
      <c r="L157" s="123" t="s">
        <v>199</v>
      </c>
      <c r="M157" s="123" t="s">
        <v>2331</v>
      </c>
      <c r="N157" s="124" t="s">
        <v>258</v>
      </c>
      <c r="O157" s="123">
        <v>630</v>
      </c>
      <c r="P157" s="124">
        <v>1.1000000000000001</v>
      </c>
      <c r="Q157" s="125">
        <f t="shared" si="481"/>
        <v>693</v>
      </c>
      <c r="R157" s="126">
        <v>0</v>
      </c>
      <c r="S157" s="125">
        <f t="shared" si="482"/>
        <v>630</v>
      </c>
      <c r="T157" s="126">
        <v>0</v>
      </c>
      <c r="U157" s="127">
        <v>0</v>
      </c>
      <c r="V157" s="128">
        <v>0</v>
      </c>
      <c r="W157" s="127">
        <v>0</v>
      </c>
      <c r="X157" s="129">
        <v>0</v>
      </c>
      <c r="Y157" s="127">
        <v>0</v>
      </c>
      <c r="Z157" s="127">
        <v>0</v>
      </c>
      <c r="AA157" s="126">
        <v>0</v>
      </c>
      <c r="AB157" s="130">
        <f t="shared" si="483"/>
        <v>0</v>
      </c>
      <c r="AC157" s="129">
        <v>0</v>
      </c>
      <c r="AD157" s="125">
        <f t="shared" si="484"/>
        <v>1.1000000000000001</v>
      </c>
      <c r="AE157" s="144">
        <v>0</v>
      </c>
      <c r="AF157" s="127">
        <v>0</v>
      </c>
      <c r="AG157" s="131">
        <v>0</v>
      </c>
      <c r="AH157" s="127">
        <v>0</v>
      </c>
      <c r="AI157" s="128">
        <v>0</v>
      </c>
      <c r="AJ157" s="127">
        <v>0</v>
      </c>
      <c r="AK157" s="127">
        <v>0</v>
      </c>
      <c r="AL157" s="127">
        <v>0</v>
      </c>
      <c r="AM157" s="132">
        <f t="shared" si="485"/>
        <v>693</v>
      </c>
      <c r="AN157" s="133">
        <v>46169</v>
      </c>
      <c r="AO157" s="134" t="s">
        <v>3719</v>
      </c>
      <c r="AP157" s="135" t="s">
        <v>234</v>
      </c>
      <c r="AQ157" s="136" t="s">
        <v>235</v>
      </c>
      <c r="AR157" s="136" t="s">
        <v>236</v>
      </c>
      <c r="AS157" s="123" t="s">
        <v>239</v>
      </c>
      <c r="AT157" s="137" t="s">
        <v>238</v>
      </c>
      <c r="AU157" s="137" t="s">
        <v>197</v>
      </c>
      <c r="AV157" s="138" t="s">
        <v>329</v>
      </c>
      <c r="AW157" s="136">
        <v>630</v>
      </c>
      <c r="AX157" s="138">
        <v>2.1</v>
      </c>
      <c r="AY157" s="136">
        <f t="shared" si="486"/>
        <v>1323</v>
      </c>
      <c r="AZ157" s="139" t="b">
        <f t="shared" si="487"/>
        <v>1</v>
      </c>
      <c r="BA157" s="125">
        <v>0</v>
      </c>
      <c r="BB157" s="140">
        <f t="shared" si="488"/>
        <v>630</v>
      </c>
      <c r="BC157" s="141">
        <v>0</v>
      </c>
      <c r="BD157" s="140" t="s">
        <v>107</v>
      </c>
      <c r="BE157" s="141">
        <v>0</v>
      </c>
      <c r="BF157" s="140">
        <v>0</v>
      </c>
      <c r="BG157" s="141">
        <v>0</v>
      </c>
      <c r="BH157" s="127">
        <v>0</v>
      </c>
      <c r="BI157" s="130">
        <v>0</v>
      </c>
      <c r="BJ157" s="128">
        <v>0</v>
      </c>
      <c r="BK157" s="125">
        <v>0</v>
      </c>
      <c r="BL157" s="136">
        <v>0</v>
      </c>
      <c r="BM157" s="127">
        <v>0</v>
      </c>
      <c r="BN157" s="142">
        <f t="shared" si="489"/>
        <v>0</v>
      </c>
      <c r="BO157" s="126">
        <f t="shared" si="490"/>
        <v>1323</v>
      </c>
      <c r="BP157" s="132">
        <f t="shared" si="491"/>
        <v>630</v>
      </c>
      <c r="BQ157" s="141" t="str">
        <f t="shared" si="492"/>
        <v>Positive Margin</v>
      </c>
      <c r="BR157" s="143" t="s">
        <v>119</v>
      </c>
      <c r="BS157" s="125">
        <f t="shared" si="493"/>
        <v>630</v>
      </c>
      <c r="BT157" s="144" t="str">
        <f t="shared" si="494"/>
        <v>Positive Margin at Inception</v>
      </c>
      <c r="BU157" s="145">
        <f t="shared" si="495"/>
        <v>0.47619047619047616</v>
      </c>
      <c r="BV157" s="144" t="str">
        <f t="shared" si="496"/>
        <v>More than 2%</v>
      </c>
      <c r="BW157" s="125">
        <f t="shared" si="497"/>
        <v>0</v>
      </c>
      <c r="BX157" s="126">
        <f t="shared" si="498"/>
        <v>0</v>
      </c>
      <c r="BY157" s="125">
        <f t="shared" si="499"/>
        <v>0</v>
      </c>
      <c r="BZ157" s="146">
        <f t="shared" si="500"/>
        <v>0</v>
      </c>
      <c r="CA157" s="146">
        <f t="shared" si="501"/>
        <v>0</v>
      </c>
      <c r="CB157" s="127">
        <f t="shared" si="502"/>
        <v>0</v>
      </c>
      <c r="CC157" s="146" t="s">
        <v>397</v>
      </c>
      <c r="CD157" s="127">
        <v>0</v>
      </c>
      <c r="CE157" s="127" t="str">
        <f t="shared" si="503"/>
        <v>May-26</v>
      </c>
      <c r="CF157" s="127">
        <f t="shared" si="504"/>
        <v>693</v>
      </c>
      <c r="CG157" s="127">
        <f t="shared" si="505"/>
        <v>1323</v>
      </c>
      <c r="CH157" s="127">
        <f t="shared" si="506"/>
        <v>9</v>
      </c>
      <c r="CI157" s="147" t="str">
        <f t="shared" si="507"/>
        <v>BG AHD</v>
      </c>
      <c r="CJ157" s="127">
        <v>0</v>
      </c>
      <c r="CK157" s="127">
        <v>0</v>
      </c>
      <c r="CL157" s="127">
        <f t="shared" si="508"/>
        <v>630</v>
      </c>
      <c r="CM157" s="127">
        <f t="shared" si="509"/>
        <v>630</v>
      </c>
      <c r="CN157" s="127">
        <f t="shared" si="510"/>
        <v>630</v>
      </c>
      <c r="CO157" s="127">
        <f t="shared" si="511"/>
        <v>1561.1399999999999</v>
      </c>
      <c r="CP157" s="127">
        <f t="shared" si="512"/>
        <v>-817.74</v>
      </c>
      <c r="CQ157" s="127">
        <f t="shared" si="513"/>
        <v>0</v>
      </c>
      <c r="CR157" s="127">
        <f t="shared" si="514"/>
        <v>0</v>
      </c>
      <c r="CS157" s="127">
        <f t="shared" si="515"/>
        <v>743.39999999999986</v>
      </c>
      <c r="CT157" s="127" t="s">
        <v>361</v>
      </c>
      <c r="CU157" s="127" t="s">
        <v>361</v>
      </c>
      <c r="CV157" s="142" t="str">
        <f t="shared" si="516"/>
        <v>AAMCB5608A</v>
      </c>
      <c r="CW157" s="142" t="str">
        <f t="shared" si="517"/>
        <v>BJHPB3107J</v>
      </c>
    </row>
    <row r="158" spans="2:101" s="149" customFormat="1" ht="11.85" customHeight="1" x14ac:dyDescent="0.25">
      <c r="B158" s="120" t="str">
        <f t="shared" si="479"/>
        <v>Q1</v>
      </c>
      <c r="C158" s="121" t="str">
        <f t="shared" si="480"/>
        <v>May-26</v>
      </c>
      <c r="D158" s="122">
        <v>46169</v>
      </c>
      <c r="E158" s="123" t="s">
        <v>3714</v>
      </c>
      <c r="F158" s="123" t="s">
        <v>196</v>
      </c>
      <c r="G158" s="123" t="s">
        <v>198</v>
      </c>
      <c r="H158" s="124" t="s">
        <v>3715</v>
      </c>
      <c r="I158" s="122">
        <v>46169</v>
      </c>
      <c r="J158" s="123" t="s">
        <v>3716</v>
      </c>
      <c r="K158" s="122">
        <v>46169</v>
      </c>
      <c r="L158" s="123" t="s">
        <v>199</v>
      </c>
      <c r="M158" s="123" t="s">
        <v>2331</v>
      </c>
      <c r="N158" s="124" t="s">
        <v>243</v>
      </c>
      <c r="O158" s="123">
        <v>370</v>
      </c>
      <c r="P158" s="124">
        <v>60</v>
      </c>
      <c r="Q158" s="125">
        <f t="shared" si="481"/>
        <v>22200</v>
      </c>
      <c r="R158" s="126">
        <v>0</v>
      </c>
      <c r="S158" s="125">
        <f t="shared" si="482"/>
        <v>370</v>
      </c>
      <c r="T158" s="126">
        <v>0</v>
      </c>
      <c r="U158" s="127">
        <v>0</v>
      </c>
      <c r="V158" s="128">
        <v>0</v>
      </c>
      <c r="W158" s="127">
        <v>0</v>
      </c>
      <c r="X158" s="129">
        <v>0</v>
      </c>
      <c r="Y158" s="127">
        <v>0</v>
      </c>
      <c r="Z158" s="127">
        <v>0</v>
      </c>
      <c r="AA158" s="126">
        <v>0</v>
      </c>
      <c r="AB158" s="130">
        <f t="shared" si="483"/>
        <v>0</v>
      </c>
      <c r="AC158" s="129">
        <v>0</v>
      </c>
      <c r="AD158" s="125">
        <f t="shared" si="484"/>
        <v>60</v>
      </c>
      <c r="AE158" s="144">
        <v>0</v>
      </c>
      <c r="AF158" s="127">
        <v>0</v>
      </c>
      <c r="AG158" s="131">
        <v>0</v>
      </c>
      <c r="AH158" s="127">
        <v>0</v>
      </c>
      <c r="AI158" s="128">
        <v>0</v>
      </c>
      <c r="AJ158" s="127">
        <v>0</v>
      </c>
      <c r="AK158" s="127">
        <v>0</v>
      </c>
      <c r="AL158" s="127">
        <v>0</v>
      </c>
      <c r="AM158" s="132">
        <f t="shared" si="485"/>
        <v>22200</v>
      </c>
      <c r="AN158" s="133">
        <v>46169</v>
      </c>
      <c r="AO158" s="134" t="s">
        <v>3719</v>
      </c>
      <c r="AP158" s="135" t="s">
        <v>234</v>
      </c>
      <c r="AQ158" s="136" t="s">
        <v>235</v>
      </c>
      <c r="AR158" s="136" t="s">
        <v>236</v>
      </c>
      <c r="AS158" s="123" t="s">
        <v>239</v>
      </c>
      <c r="AT158" s="137" t="s">
        <v>238</v>
      </c>
      <c r="AU158" s="137" t="s">
        <v>197</v>
      </c>
      <c r="AV158" s="138" t="s">
        <v>329</v>
      </c>
      <c r="AW158" s="136">
        <v>370</v>
      </c>
      <c r="AX158" s="138">
        <v>80</v>
      </c>
      <c r="AY158" s="136">
        <f t="shared" si="486"/>
        <v>29600</v>
      </c>
      <c r="AZ158" s="139" t="b">
        <f t="shared" si="487"/>
        <v>1</v>
      </c>
      <c r="BA158" s="125">
        <v>0</v>
      </c>
      <c r="BB158" s="140">
        <f t="shared" si="488"/>
        <v>370</v>
      </c>
      <c r="BC158" s="141">
        <v>0</v>
      </c>
      <c r="BD158" s="140" t="s">
        <v>107</v>
      </c>
      <c r="BE158" s="141">
        <v>0</v>
      </c>
      <c r="BF158" s="140">
        <v>0</v>
      </c>
      <c r="BG158" s="141">
        <v>0</v>
      </c>
      <c r="BH158" s="127">
        <v>0</v>
      </c>
      <c r="BI158" s="130">
        <v>0</v>
      </c>
      <c r="BJ158" s="128">
        <v>0</v>
      </c>
      <c r="BK158" s="125">
        <v>0</v>
      </c>
      <c r="BL158" s="136">
        <v>0</v>
      </c>
      <c r="BM158" s="127">
        <v>0</v>
      </c>
      <c r="BN158" s="142">
        <f t="shared" si="489"/>
        <v>0</v>
      </c>
      <c r="BO158" s="126">
        <f t="shared" si="490"/>
        <v>29600</v>
      </c>
      <c r="BP158" s="132">
        <f t="shared" si="491"/>
        <v>7400</v>
      </c>
      <c r="BQ158" s="141" t="str">
        <f t="shared" si="492"/>
        <v>Positive Margin</v>
      </c>
      <c r="BR158" s="143" t="s">
        <v>119</v>
      </c>
      <c r="BS158" s="125">
        <f t="shared" si="493"/>
        <v>7400</v>
      </c>
      <c r="BT158" s="144" t="str">
        <f t="shared" si="494"/>
        <v>Positive Margin at Inception</v>
      </c>
      <c r="BU158" s="145">
        <f t="shared" si="495"/>
        <v>0.25</v>
      </c>
      <c r="BV158" s="144" t="str">
        <f t="shared" si="496"/>
        <v>More than 2%</v>
      </c>
      <c r="BW158" s="125">
        <f t="shared" si="497"/>
        <v>0</v>
      </c>
      <c r="BX158" s="126">
        <f t="shared" si="498"/>
        <v>0</v>
      </c>
      <c r="BY158" s="125">
        <f t="shared" si="499"/>
        <v>0</v>
      </c>
      <c r="BZ158" s="146">
        <f t="shared" si="500"/>
        <v>0</v>
      </c>
      <c r="CA158" s="146">
        <f t="shared" si="501"/>
        <v>0</v>
      </c>
      <c r="CB158" s="127">
        <f t="shared" si="502"/>
        <v>0</v>
      </c>
      <c r="CC158" s="146" t="s">
        <v>397</v>
      </c>
      <c r="CD158" s="127">
        <v>0</v>
      </c>
      <c r="CE158" s="127" t="str">
        <f t="shared" si="503"/>
        <v>May-26</v>
      </c>
      <c r="CF158" s="127">
        <f t="shared" si="504"/>
        <v>22200</v>
      </c>
      <c r="CG158" s="127">
        <f t="shared" si="505"/>
        <v>29600</v>
      </c>
      <c r="CH158" s="127">
        <f t="shared" si="506"/>
        <v>9</v>
      </c>
      <c r="CI158" s="147" t="str">
        <f t="shared" si="507"/>
        <v>BG AHD</v>
      </c>
      <c r="CJ158" s="127">
        <v>0</v>
      </c>
      <c r="CK158" s="127">
        <v>0</v>
      </c>
      <c r="CL158" s="127">
        <f t="shared" si="508"/>
        <v>7400</v>
      </c>
      <c r="CM158" s="127">
        <f t="shared" si="509"/>
        <v>7400</v>
      </c>
      <c r="CN158" s="127">
        <f t="shared" si="510"/>
        <v>7400</v>
      </c>
      <c r="CO158" s="127">
        <f t="shared" si="511"/>
        <v>34928</v>
      </c>
      <c r="CP158" s="127">
        <f t="shared" si="512"/>
        <v>-26196</v>
      </c>
      <c r="CQ158" s="127">
        <f t="shared" si="513"/>
        <v>0</v>
      </c>
      <c r="CR158" s="127">
        <f t="shared" si="514"/>
        <v>0</v>
      </c>
      <c r="CS158" s="127">
        <f t="shared" si="515"/>
        <v>8732</v>
      </c>
      <c r="CT158" s="127" t="s">
        <v>361</v>
      </c>
      <c r="CU158" s="127" t="s">
        <v>361</v>
      </c>
      <c r="CV158" s="142" t="str">
        <f t="shared" si="516"/>
        <v>AAMCB5608A</v>
      </c>
      <c r="CW158" s="142" t="str">
        <f t="shared" si="517"/>
        <v>BJHPB3107J</v>
      </c>
    </row>
    <row r="159" spans="2:101" s="149" customFormat="1" ht="11.85" customHeight="1" x14ac:dyDescent="0.25">
      <c r="B159" s="120" t="str">
        <f t="shared" si="479"/>
        <v>Q1</v>
      </c>
      <c r="C159" s="121" t="str">
        <f t="shared" si="480"/>
        <v>May-26</v>
      </c>
      <c r="D159" s="122">
        <v>46169</v>
      </c>
      <c r="E159" s="123" t="s">
        <v>3714</v>
      </c>
      <c r="F159" s="123" t="s">
        <v>196</v>
      </c>
      <c r="G159" s="123" t="s">
        <v>198</v>
      </c>
      <c r="H159" s="124" t="s">
        <v>3715</v>
      </c>
      <c r="I159" s="122">
        <v>46169</v>
      </c>
      <c r="J159" s="123" t="s">
        <v>3716</v>
      </c>
      <c r="K159" s="122">
        <v>46169</v>
      </c>
      <c r="L159" s="123" t="s">
        <v>199</v>
      </c>
      <c r="M159" s="123" t="s">
        <v>2331</v>
      </c>
      <c r="N159" s="124" t="s">
        <v>206</v>
      </c>
      <c r="O159" s="123">
        <v>168</v>
      </c>
      <c r="P159" s="124">
        <v>50</v>
      </c>
      <c r="Q159" s="125">
        <f t="shared" si="481"/>
        <v>8400</v>
      </c>
      <c r="R159" s="126">
        <v>0</v>
      </c>
      <c r="S159" s="125">
        <f t="shared" si="482"/>
        <v>168</v>
      </c>
      <c r="T159" s="126">
        <v>0</v>
      </c>
      <c r="U159" s="127">
        <v>0</v>
      </c>
      <c r="V159" s="128">
        <v>0</v>
      </c>
      <c r="W159" s="127">
        <v>0</v>
      </c>
      <c r="X159" s="129">
        <v>0</v>
      </c>
      <c r="Y159" s="127">
        <v>0</v>
      </c>
      <c r="Z159" s="127">
        <v>0</v>
      </c>
      <c r="AA159" s="126">
        <v>0</v>
      </c>
      <c r="AB159" s="130">
        <f t="shared" si="483"/>
        <v>0</v>
      </c>
      <c r="AC159" s="129">
        <v>0</v>
      </c>
      <c r="AD159" s="125">
        <f t="shared" si="484"/>
        <v>50</v>
      </c>
      <c r="AE159" s="144">
        <v>0</v>
      </c>
      <c r="AF159" s="127">
        <v>0</v>
      </c>
      <c r="AG159" s="131">
        <v>0</v>
      </c>
      <c r="AH159" s="127">
        <v>0</v>
      </c>
      <c r="AI159" s="128">
        <v>0</v>
      </c>
      <c r="AJ159" s="127">
        <v>0</v>
      </c>
      <c r="AK159" s="127">
        <v>0</v>
      </c>
      <c r="AL159" s="127">
        <v>0</v>
      </c>
      <c r="AM159" s="132">
        <f t="shared" si="485"/>
        <v>8400</v>
      </c>
      <c r="AN159" s="133">
        <v>46169</v>
      </c>
      <c r="AO159" s="134" t="s">
        <v>3719</v>
      </c>
      <c r="AP159" s="135" t="s">
        <v>234</v>
      </c>
      <c r="AQ159" s="136" t="s">
        <v>235</v>
      </c>
      <c r="AR159" s="136" t="s">
        <v>236</v>
      </c>
      <c r="AS159" s="123" t="s">
        <v>239</v>
      </c>
      <c r="AT159" s="137" t="s">
        <v>238</v>
      </c>
      <c r="AU159" s="137" t="s">
        <v>197</v>
      </c>
      <c r="AV159" s="138" t="s">
        <v>329</v>
      </c>
      <c r="AW159" s="136">
        <v>168</v>
      </c>
      <c r="AX159" s="138">
        <v>70</v>
      </c>
      <c r="AY159" s="136">
        <f t="shared" si="486"/>
        <v>11760</v>
      </c>
      <c r="AZ159" s="139" t="b">
        <f t="shared" si="487"/>
        <v>1</v>
      </c>
      <c r="BA159" s="125">
        <v>0</v>
      </c>
      <c r="BB159" s="140">
        <f t="shared" si="488"/>
        <v>168</v>
      </c>
      <c r="BC159" s="141">
        <v>0</v>
      </c>
      <c r="BD159" s="140" t="s">
        <v>107</v>
      </c>
      <c r="BE159" s="141">
        <v>0</v>
      </c>
      <c r="BF159" s="140">
        <v>0</v>
      </c>
      <c r="BG159" s="141">
        <v>0</v>
      </c>
      <c r="BH159" s="127">
        <v>0</v>
      </c>
      <c r="BI159" s="130">
        <v>0</v>
      </c>
      <c r="BJ159" s="128">
        <v>0</v>
      </c>
      <c r="BK159" s="125">
        <v>0</v>
      </c>
      <c r="BL159" s="136">
        <v>0</v>
      </c>
      <c r="BM159" s="127">
        <v>0</v>
      </c>
      <c r="BN159" s="142">
        <f t="shared" si="489"/>
        <v>0</v>
      </c>
      <c r="BO159" s="126">
        <f t="shared" si="490"/>
        <v>11760</v>
      </c>
      <c r="BP159" s="132">
        <f t="shared" si="491"/>
        <v>3360</v>
      </c>
      <c r="BQ159" s="141" t="str">
        <f t="shared" si="492"/>
        <v>Positive Margin</v>
      </c>
      <c r="BR159" s="143" t="s">
        <v>119</v>
      </c>
      <c r="BS159" s="125">
        <f t="shared" si="493"/>
        <v>3360</v>
      </c>
      <c r="BT159" s="144" t="str">
        <f t="shared" si="494"/>
        <v>Positive Margin at Inception</v>
      </c>
      <c r="BU159" s="145">
        <f t="shared" si="495"/>
        <v>0.2857142857142857</v>
      </c>
      <c r="BV159" s="144" t="str">
        <f t="shared" si="496"/>
        <v>More than 2%</v>
      </c>
      <c r="BW159" s="125">
        <f t="shared" si="497"/>
        <v>0</v>
      </c>
      <c r="BX159" s="126">
        <f t="shared" si="498"/>
        <v>0</v>
      </c>
      <c r="BY159" s="125">
        <f t="shared" si="499"/>
        <v>0</v>
      </c>
      <c r="BZ159" s="146">
        <f t="shared" si="500"/>
        <v>0</v>
      </c>
      <c r="CA159" s="146">
        <f t="shared" si="501"/>
        <v>0</v>
      </c>
      <c r="CB159" s="127">
        <f t="shared" si="502"/>
        <v>0</v>
      </c>
      <c r="CC159" s="146" t="s">
        <v>397</v>
      </c>
      <c r="CD159" s="127">
        <v>0</v>
      </c>
      <c r="CE159" s="127" t="str">
        <f t="shared" si="503"/>
        <v>May-26</v>
      </c>
      <c r="CF159" s="127">
        <f t="shared" si="504"/>
        <v>8400</v>
      </c>
      <c r="CG159" s="127">
        <f t="shared" si="505"/>
        <v>11760</v>
      </c>
      <c r="CH159" s="127">
        <f t="shared" si="506"/>
        <v>9</v>
      </c>
      <c r="CI159" s="147" t="str">
        <f t="shared" si="507"/>
        <v>BG AHD</v>
      </c>
      <c r="CJ159" s="127">
        <v>0</v>
      </c>
      <c r="CK159" s="127">
        <v>0</v>
      </c>
      <c r="CL159" s="127">
        <f t="shared" si="508"/>
        <v>3360</v>
      </c>
      <c r="CM159" s="127">
        <f t="shared" si="509"/>
        <v>3360</v>
      </c>
      <c r="CN159" s="127">
        <f t="shared" si="510"/>
        <v>3360</v>
      </c>
      <c r="CO159" s="127">
        <f t="shared" si="511"/>
        <v>13876.8</v>
      </c>
      <c r="CP159" s="127">
        <f t="shared" si="512"/>
        <v>-9912</v>
      </c>
      <c r="CQ159" s="127">
        <f t="shared" si="513"/>
        <v>0</v>
      </c>
      <c r="CR159" s="127">
        <f t="shared" si="514"/>
        <v>0</v>
      </c>
      <c r="CS159" s="127">
        <f t="shared" si="515"/>
        <v>3964.7999999999993</v>
      </c>
      <c r="CT159" s="127" t="s">
        <v>361</v>
      </c>
      <c r="CU159" s="127" t="s">
        <v>361</v>
      </c>
      <c r="CV159" s="142" t="str">
        <f t="shared" si="516"/>
        <v>AAMCB5608A</v>
      </c>
      <c r="CW159" s="142" t="str">
        <f t="shared" si="517"/>
        <v>BJHPB3107J</v>
      </c>
    </row>
    <row r="160" spans="2:101" s="149" customFormat="1" ht="11.85" customHeight="1" x14ac:dyDescent="0.25">
      <c r="B160" s="120" t="str">
        <f t="shared" ref="B160:B165" si="518">"Q" &amp; IF(ROUNDUP(MONTH(D160)/3,0)-1=0,4,ROUNDUP(MONTH(D160)/3,0)-1)</f>
        <v>Q1</v>
      </c>
      <c r="C160" s="121" t="str">
        <f t="shared" ref="C160:C165" si="519">TEXT(AN160,"mmm-yy")</f>
        <v>May-26</v>
      </c>
      <c r="D160" s="122">
        <v>46171</v>
      </c>
      <c r="E160" s="123" t="s">
        <v>3727</v>
      </c>
      <c r="F160" s="123" t="s">
        <v>196</v>
      </c>
      <c r="G160" s="123" t="s">
        <v>198</v>
      </c>
      <c r="H160" s="124" t="s">
        <v>3728</v>
      </c>
      <c r="I160" s="122">
        <v>46171</v>
      </c>
      <c r="J160" s="123" t="s">
        <v>3729</v>
      </c>
      <c r="K160" s="122">
        <v>46171</v>
      </c>
      <c r="L160" s="123" t="s">
        <v>199</v>
      </c>
      <c r="M160" s="123" t="s">
        <v>3532</v>
      </c>
      <c r="N160" s="124" t="s">
        <v>204</v>
      </c>
      <c r="O160" s="123">
        <v>3830</v>
      </c>
      <c r="P160" s="124">
        <v>10</v>
      </c>
      <c r="Q160" s="125">
        <f t="shared" ref="Q160:Q165" si="520">O160*P160</f>
        <v>38300</v>
      </c>
      <c r="R160" s="126">
        <v>0</v>
      </c>
      <c r="S160" s="125">
        <f t="shared" ref="S160:S165" si="521">O160-R160</f>
        <v>3830</v>
      </c>
      <c r="T160" s="126">
        <v>0</v>
      </c>
      <c r="U160" s="127">
        <v>0</v>
      </c>
      <c r="V160" s="128">
        <v>0</v>
      </c>
      <c r="W160" s="127">
        <v>0</v>
      </c>
      <c r="X160" s="129">
        <v>0</v>
      </c>
      <c r="Y160" s="127">
        <v>0</v>
      </c>
      <c r="Z160" s="127">
        <v>0</v>
      </c>
      <c r="AA160" s="126">
        <v>0</v>
      </c>
      <c r="AB160" s="130">
        <f t="shared" ref="AB160:AB165" si="522">Y160+AA160+Z160</f>
        <v>0</v>
      </c>
      <c r="AC160" s="129">
        <v>0</v>
      </c>
      <c r="AD160" s="125">
        <f t="shared" ref="AD160:AD165" si="523">Q160/O160</f>
        <v>10</v>
      </c>
      <c r="AE160" s="144">
        <v>0</v>
      </c>
      <c r="AF160" s="127">
        <v>0</v>
      </c>
      <c r="AG160" s="131">
        <v>0</v>
      </c>
      <c r="AH160" s="127">
        <v>0</v>
      </c>
      <c r="AI160" s="128">
        <v>0</v>
      </c>
      <c r="AJ160" s="127">
        <v>0</v>
      </c>
      <c r="AK160" s="127">
        <v>0</v>
      </c>
      <c r="AL160" s="127">
        <v>0</v>
      </c>
      <c r="AM160" s="132">
        <f t="shared" ref="AM160:AM165" si="524">Q160+AB160+AL160+AK160+AJ160+T160+AE160</f>
        <v>38300</v>
      </c>
      <c r="AN160" s="133">
        <v>46171</v>
      </c>
      <c r="AO160" s="134" t="s">
        <v>3739</v>
      </c>
      <c r="AP160" s="135" t="s">
        <v>234</v>
      </c>
      <c r="AQ160" s="136" t="s">
        <v>235</v>
      </c>
      <c r="AR160" s="136" t="s">
        <v>236</v>
      </c>
      <c r="AS160" s="123" t="s">
        <v>237</v>
      </c>
      <c r="AT160" s="137" t="s">
        <v>238</v>
      </c>
      <c r="AU160" s="137" t="s">
        <v>197</v>
      </c>
      <c r="AV160" s="138" t="s">
        <v>329</v>
      </c>
      <c r="AW160" s="136">
        <v>3830</v>
      </c>
      <c r="AX160" s="138">
        <v>12</v>
      </c>
      <c r="AY160" s="136">
        <f t="shared" ref="AY160:AY165" si="525">AW160*AX160</f>
        <v>45960</v>
      </c>
      <c r="AZ160" s="139" t="b">
        <f t="shared" ref="AZ160:AZ165" si="526">AW160=O160</f>
        <v>1</v>
      </c>
      <c r="BA160" s="125">
        <v>0</v>
      </c>
      <c r="BB160" s="140">
        <f t="shared" ref="BB160:BB165" si="527">AW160-BA160</f>
        <v>3830</v>
      </c>
      <c r="BC160" s="141">
        <v>0</v>
      </c>
      <c r="BD160" s="140" t="s">
        <v>107</v>
      </c>
      <c r="BE160" s="141">
        <v>0</v>
      </c>
      <c r="BF160" s="140">
        <v>0</v>
      </c>
      <c r="BG160" s="141">
        <v>0</v>
      </c>
      <c r="BH160" s="127">
        <v>0</v>
      </c>
      <c r="BI160" s="130">
        <v>0</v>
      </c>
      <c r="BJ160" s="128">
        <v>0</v>
      </c>
      <c r="BK160" s="125">
        <v>0</v>
      </c>
      <c r="BL160" s="136">
        <v>0</v>
      </c>
      <c r="BM160" s="127">
        <v>0</v>
      </c>
      <c r="BN160" s="142">
        <f t="shared" ref="BN160:BN165" si="528">AY160*$BN$3</f>
        <v>0</v>
      </c>
      <c r="BO160" s="126">
        <f t="shared" ref="BO160:BO165" si="529">AY160+BL160+BM160+BN160+BC160+BG160</f>
        <v>45960</v>
      </c>
      <c r="BP160" s="132">
        <f t="shared" ref="BP160:BP165" si="530">BO160-AM160</f>
        <v>7660</v>
      </c>
      <c r="BQ160" s="141" t="str">
        <f t="shared" ref="BQ160:BQ165" si="531">IF(BP160&gt;=0,"Positive Margin","Negative Margin")</f>
        <v>Positive Margin</v>
      </c>
      <c r="BR160" s="143" t="s">
        <v>119</v>
      </c>
      <c r="BS160" s="125">
        <f t="shared" ref="BS160:BS165" si="532">AY160-Y160-Q160-AA160-T160+BC160</f>
        <v>7660</v>
      </c>
      <c r="BT160" s="144" t="str">
        <f t="shared" ref="BT160:BT165" si="533">IF(BS160&lt;0, "Negative Margin at Inception", "Positive Margin at Inception")</f>
        <v>Positive Margin at Inception</v>
      </c>
      <c r="BU160" s="145">
        <f t="shared" ref="BU160:BU165" si="534">IFERROR(BP160/BO160,"0")</f>
        <v>0.16666666666666666</v>
      </c>
      <c r="BV160" s="144" t="str">
        <f t="shared" ref="BV160:BV165" si="535">IF(BU160&lt;1%,"Less Than 1%",IF(BU160&gt;2%,"More than 2%",IF(BU160&gt;=1%,"1% - 2%")))</f>
        <v>More than 2%</v>
      </c>
      <c r="BW160" s="125">
        <f t="shared" ref="BW160:BW165" si="536">BM160+BN160</f>
        <v>0</v>
      </c>
      <c r="BX160" s="126">
        <f t="shared" ref="BX160:BX165" si="537">AL160+AK160</f>
        <v>0</v>
      </c>
      <c r="BY160" s="125">
        <f t="shared" ref="BY160:BY165" si="538">BW160-BX160</f>
        <v>0</v>
      </c>
      <c r="BZ160" s="146">
        <f t="shared" ref="BZ160:BZ165" si="539">BM160</f>
        <v>0</v>
      </c>
      <c r="CA160" s="146">
        <f t="shared" ref="CA160:CA165" si="540">AK160</f>
        <v>0</v>
      </c>
      <c r="CB160" s="127">
        <f t="shared" ref="CB160:CB165" si="541">BZ160-CA160</f>
        <v>0</v>
      </c>
      <c r="CC160" s="146" t="s">
        <v>397</v>
      </c>
      <c r="CD160" s="127">
        <v>0</v>
      </c>
      <c r="CE160" s="127" t="str">
        <f t="shared" ref="CE160:CE165" si="542">TEXT(AN160,"mmm-yy")</f>
        <v>May-26</v>
      </c>
      <c r="CF160" s="127">
        <f t="shared" ref="CF160:CF165" si="543">AM160-AL160-AA160</f>
        <v>38300</v>
      </c>
      <c r="CG160" s="127">
        <f t="shared" ref="CG160:CG165" si="544">BO160-BN160</f>
        <v>45960</v>
      </c>
      <c r="CH160" s="127">
        <f t="shared" ref="CH160:CH165" si="545">INT((D160- IF(MONTH(D160) &gt;= 4, DATE(YEAR(D160), 4, 1), DATE(YEAR(D160)-1, 4, 1))) / 7) + 1</f>
        <v>9</v>
      </c>
      <c r="CI160" s="147" t="str">
        <f t="shared" ref="CI160:CI165" si="546">IF(F160="BLACK GOLD RECYCLING PRIVATE LIMITED", "BG AHD", "B2B")</f>
        <v>BG AHD</v>
      </c>
      <c r="CJ160" s="127">
        <v>0</v>
      </c>
      <c r="CK160" s="127">
        <v>0</v>
      </c>
      <c r="CL160" s="127">
        <f t="shared" ref="CL160:CL165" si="547">AY160-Q160</f>
        <v>7660</v>
      </c>
      <c r="CM160" s="127">
        <f t="shared" ref="CM160:CM165" si="548">CL160-Y160+Z160</f>
        <v>7660</v>
      </c>
      <c r="CN160" s="127">
        <f t="shared" ref="CN160:CN165" si="549">BO160-AM160</f>
        <v>7660</v>
      </c>
      <c r="CO160" s="127">
        <f t="shared" ref="CO160:CO165" si="550">AY160*118%</f>
        <v>54232.799999999996</v>
      </c>
      <c r="CP160" s="127">
        <f t="shared" ref="CP160:CP165" si="551">-Q160*118%</f>
        <v>-45194</v>
      </c>
      <c r="CQ160" s="127">
        <f t="shared" ref="CQ160:CQ165" si="552">-BZ160*118%</f>
        <v>0</v>
      </c>
      <c r="CR160" s="127">
        <f t="shared" ref="CR160:CR165" si="553">-CA160*118%</f>
        <v>0</v>
      </c>
      <c r="CS160" s="127">
        <f t="shared" ref="CS160:CS165" si="554">SUM(CO160:CR160)</f>
        <v>9038.7999999999956</v>
      </c>
      <c r="CT160" s="127" t="s">
        <v>361</v>
      </c>
      <c r="CU160" s="127" t="s">
        <v>361</v>
      </c>
      <c r="CV160" s="142" t="str">
        <f t="shared" ref="CV160:CV165" si="555">MID(G160,3,10)</f>
        <v>AAMCB5608A</v>
      </c>
      <c r="CW160" s="142" t="str">
        <f t="shared" ref="CW160:CW165" si="556">MID(AR160,3,10)</f>
        <v>BJHPB3107J</v>
      </c>
    </row>
    <row r="161" spans="2:101" s="149" customFormat="1" ht="11.85" customHeight="1" x14ac:dyDescent="0.25">
      <c r="B161" s="120" t="str">
        <f t="shared" si="518"/>
        <v>Q1</v>
      </c>
      <c r="C161" s="121" t="str">
        <f t="shared" si="519"/>
        <v>May-26</v>
      </c>
      <c r="D161" s="122">
        <v>46171</v>
      </c>
      <c r="E161" s="123" t="s">
        <v>3727</v>
      </c>
      <c r="F161" s="123" t="s">
        <v>196</v>
      </c>
      <c r="G161" s="123" t="s">
        <v>198</v>
      </c>
      <c r="H161" s="124" t="s">
        <v>3728</v>
      </c>
      <c r="I161" s="122">
        <v>46171</v>
      </c>
      <c r="J161" s="123" t="s">
        <v>3729</v>
      </c>
      <c r="K161" s="122">
        <v>46171</v>
      </c>
      <c r="L161" s="123" t="s">
        <v>199</v>
      </c>
      <c r="M161" s="123" t="s">
        <v>3532</v>
      </c>
      <c r="N161" s="124" t="s">
        <v>207</v>
      </c>
      <c r="O161" s="123">
        <v>3610</v>
      </c>
      <c r="P161" s="124">
        <v>6.5</v>
      </c>
      <c r="Q161" s="125">
        <f t="shared" si="520"/>
        <v>23465</v>
      </c>
      <c r="R161" s="126">
        <v>0</v>
      </c>
      <c r="S161" s="125">
        <f t="shared" si="521"/>
        <v>3610</v>
      </c>
      <c r="T161" s="126">
        <v>0</v>
      </c>
      <c r="U161" s="127">
        <v>0</v>
      </c>
      <c r="V161" s="128">
        <v>0</v>
      </c>
      <c r="W161" s="127">
        <v>0</v>
      </c>
      <c r="X161" s="129">
        <v>0</v>
      </c>
      <c r="Y161" s="127">
        <v>0</v>
      </c>
      <c r="Z161" s="127">
        <v>0</v>
      </c>
      <c r="AA161" s="126">
        <v>0</v>
      </c>
      <c r="AB161" s="130">
        <f t="shared" si="522"/>
        <v>0</v>
      </c>
      <c r="AC161" s="129">
        <v>0</v>
      </c>
      <c r="AD161" s="125">
        <f t="shared" si="523"/>
        <v>6.5</v>
      </c>
      <c r="AE161" s="144">
        <v>0</v>
      </c>
      <c r="AF161" s="127">
        <v>0</v>
      </c>
      <c r="AG161" s="131">
        <v>0</v>
      </c>
      <c r="AH161" s="127">
        <v>0</v>
      </c>
      <c r="AI161" s="128">
        <v>0</v>
      </c>
      <c r="AJ161" s="127">
        <v>0</v>
      </c>
      <c r="AK161" s="127">
        <v>0</v>
      </c>
      <c r="AL161" s="127">
        <v>0</v>
      </c>
      <c r="AM161" s="132">
        <f t="shared" si="524"/>
        <v>23465</v>
      </c>
      <c r="AN161" s="133">
        <v>46171</v>
      </c>
      <c r="AO161" s="134" t="s">
        <v>3739</v>
      </c>
      <c r="AP161" s="135" t="s">
        <v>234</v>
      </c>
      <c r="AQ161" s="136" t="s">
        <v>235</v>
      </c>
      <c r="AR161" s="136" t="s">
        <v>236</v>
      </c>
      <c r="AS161" s="123" t="s">
        <v>237</v>
      </c>
      <c r="AT161" s="137" t="s">
        <v>238</v>
      </c>
      <c r="AU161" s="137" t="s">
        <v>197</v>
      </c>
      <c r="AV161" s="138" t="s">
        <v>329</v>
      </c>
      <c r="AW161" s="136">
        <v>3610</v>
      </c>
      <c r="AX161" s="138">
        <v>8</v>
      </c>
      <c r="AY161" s="136">
        <f t="shared" si="525"/>
        <v>28880</v>
      </c>
      <c r="AZ161" s="139" t="b">
        <f t="shared" si="526"/>
        <v>1</v>
      </c>
      <c r="BA161" s="125">
        <v>0</v>
      </c>
      <c r="BB161" s="140">
        <f t="shared" si="527"/>
        <v>3610</v>
      </c>
      <c r="BC161" s="141">
        <v>0</v>
      </c>
      <c r="BD161" s="140" t="s">
        <v>107</v>
      </c>
      <c r="BE161" s="141">
        <v>0</v>
      </c>
      <c r="BF161" s="140">
        <v>0</v>
      </c>
      <c r="BG161" s="141">
        <v>0</v>
      </c>
      <c r="BH161" s="127">
        <v>0</v>
      </c>
      <c r="BI161" s="130">
        <v>0</v>
      </c>
      <c r="BJ161" s="128">
        <v>0</v>
      </c>
      <c r="BK161" s="125">
        <v>0</v>
      </c>
      <c r="BL161" s="136">
        <v>0</v>
      </c>
      <c r="BM161" s="127">
        <v>0</v>
      </c>
      <c r="BN161" s="142">
        <f t="shared" si="528"/>
        <v>0</v>
      </c>
      <c r="BO161" s="126">
        <f t="shared" si="529"/>
        <v>28880</v>
      </c>
      <c r="BP161" s="132">
        <f t="shared" si="530"/>
        <v>5415</v>
      </c>
      <c r="BQ161" s="141" t="str">
        <f t="shared" si="531"/>
        <v>Positive Margin</v>
      </c>
      <c r="BR161" s="143" t="s">
        <v>119</v>
      </c>
      <c r="BS161" s="125">
        <f t="shared" si="532"/>
        <v>5415</v>
      </c>
      <c r="BT161" s="144" t="str">
        <f t="shared" si="533"/>
        <v>Positive Margin at Inception</v>
      </c>
      <c r="BU161" s="145">
        <f t="shared" si="534"/>
        <v>0.1875</v>
      </c>
      <c r="BV161" s="144" t="str">
        <f t="shared" si="535"/>
        <v>More than 2%</v>
      </c>
      <c r="BW161" s="125">
        <f t="shared" si="536"/>
        <v>0</v>
      </c>
      <c r="BX161" s="126">
        <f t="shared" si="537"/>
        <v>0</v>
      </c>
      <c r="BY161" s="125">
        <f t="shared" si="538"/>
        <v>0</v>
      </c>
      <c r="BZ161" s="146">
        <f t="shared" si="539"/>
        <v>0</v>
      </c>
      <c r="CA161" s="146">
        <f t="shared" si="540"/>
        <v>0</v>
      </c>
      <c r="CB161" s="127">
        <f t="shared" si="541"/>
        <v>0</v>
      </c>
      <c r="CC161" s="146" t="s">
        <v>397</v>
      </c>
      <c r="CD161" s="127">
        <v>0</v>
      </c>
      <c r="CE161" s="127" t="str">
        <f t="shared" si="542"/>
        <v>May-26</v>
      </c>
      <c r="CF161" s="127">
        <f t="shared" si="543"/>
        <v>23465</v>
      </c>
      <c r="CG161" s="127">
        <f t="shared" si="544"/>
        <v>28880</v>
      </c>
      <c r="CH161" s="127">
        <f t="shared" si="545"/>
        <v>9</v>
      </c>
      <c r="CI161" s="147" t="str">
        <f t="shared" si="546"/>
        <v>BG AHD</v>
      </c>
      <c r="CJ161" s="127">
        <v>0</v>
      </c>
      <c r="CK161" s="127">
        <v>0</v>
      </c>
      <c r="CL161" s="127">
        <f t="shared" si="547"/>
        <v>5415</v>
      </c>
      <c r="CM161" s="127">
        <f t="shared" si="548"/>
        <v>5415</v>
      </c>
      <c r="CN161" s="127">
        <f t="shared" si="549"/>
        <v>5415</v>
      </c>
      <c r="CO161" s="127">
        <f t="shared" si="550"/>
        <v>34078.400000000001</v>
      </c>
      <c r="CP161" s="127">
        <f t="shared" si="551"/>
        <v>-27688.699999999997</v>
      </c>
      <c r="CQ161" s="127">
        <f t="shared" si="552"/>
        <v>0</v>
      </c>
      <c r="CR161" s="127">
        <f t="shared" si="553"/>
        <v>0</v>
      </c>
      <c r="CS161" s="127">
        <f t="shared" si="554"/>
        <v>6389.7000000000044</v>
      </c>
      <c r="CT161" s="127" t="s">
        <v>361</v>
      </c>
      <c r="CU161" s="127" t="s">
        <v>361</v>
      </c>
      <c r="CV161" s="142" t="str">
        <f t="shared" si="555"/>
        <v>AAMCB5608A</v>
      </c>
      <c r="CW161" s="142" t="str">
        <f t="shared" si="556"/>
        <v>BJHPB3107J</v>
      </c>
    </row>
    <row r="162" spans="2:101" s="149" customFormat="1" ht="11.85" customHeight="1" x14ac:dyDescent="0.25">
      <c r="B162" s="120" t="str">
        <f t="shared" si="518"/>
        <v>Q1</v>
      </c>
      <c r="C162" s="121" t="str">
        <f t="shared" si="519"/>
        <v>May-26</v>
      </c>
      <c r="D162" s="122">
        <v>46171</v>
      </c>
      <c r="E162" s="123" t="s">
        <v>3730</v>
      </c>
      <c r="F162" s="123" t="s">
        <v>196</v>
      </c>
      <c r="G162" s="123" t="s">
        <v>198</v>
      </c>
      <c r="H162" s="124" t="s">
        <v>3731</v>
      </c>
      <c r="I162" s="122">
        <v>46171</v>
      </c>
      <c r="J162" s="123" t="s">
        <v>3732</v>
      </c>
      <c r="K162" s="122">
        <v>46171</v>
      </c>
      <c r="L162" s="123" t="s">
        <v>199</v>
      </c>
      <c r="M162" s="123" t="s">
        <v>2331</v>
      </c>
      <c r="N162" s="124" t="s">
        <v>353</v>
      </c>
      <c r="O162" s="123">
        <v>1940</v>
      </c>
      <c r="P162" s="124">
        <v>7</v>
      </c>
      <c r="Q162" s="125">
        <f t="shared" si="520"/>
        <v>13580</v>
      </c>
      <c r="R162" s="126">
        <v>0</v>
      </c>
      <c r="S162" s="125">
        <f t="shared" si="521"/>
        <v>1940</v>
      </c>
      <c r="T162" s="126">
        <v>0</v>
      </c>
      <c r="U162" s="127">
        <v>0</v>
      </c>
      <c r="V162" s="128">
        <v>0</v>
      </c>
      <c r="W162" s="127">
        <v>0</v>
      </c>
      <c r="X162" s="129">
        <v>0</v>
      </c>
      <c r="Y162" s="127">
        <v>0</v>
      </c>
      <c r="Z162" s="127">
        <v>0</v>
      </c>
      <c r="AA162" s="126">
        <v>0</v>
      </c>
      <c r="AB162" s="130">
        <f t="shared" si="522"/>
        <v>0</v>
      </c>
      <c r="AC162" s="129">
        <v>0</v>
      </c>
      <c r="AD162" s="125">
        <f t="shared" si="523"/>
        <v>7</v>
      </c>
      <c r="AE162" s="144">
        <v>0</v>
      </c>
      <c r="AF162" s="127">
        <v>0</v>
      </c>
      <c r="AG162" s="131">
        <v>0</v>
      </c>
      <c r="AH162" s="127">
        <v>0</v>
      </c>
      <c r="AI162" s="128">
        <v>0</v>
      </c>
      <c r="AJ162" s="127">
        <v>0</v>
      </c>
      <c r="AK162" s="127">
        <v>0</v>
      </c>
      <c r="AL162" s="127">
        <v>0</v>
      </c>
      <c r="AM162" s="132">
        <f t="shared" si="524"/>
        <v>13580</v>
      </c>
      <c r="AN162" s="133">
        <v>46171</v>
      </c>
      <c r="AO162" s="134" t="s">
        <v>3740</v>
      </c>
      <c r="AP162" s="135" t="s">
        <v>234</v>
      </c>
      <c r="AQ162" s="136" t="s">
        <v>235</v>
      </c>
      <c r="AR162" s="136" t="s">
        <v>236</v>
      </c>
      <c r="AS162" s="123" t="s">
        <v>2006</v>
      </c>
      <c r="AT162" s="137" t="s">
        <v>238</v>
      </c>
      <c r="AU162" s="137" t="s">
        <v>197</v>
      </c>
      <c r="AV162" s="138" t="s">
        <v>329</v>
      </c>
      <c r="AW162" s="136">
        <v>1940</v>
      </c>
      <c r="AX162" s="138">
        <v>13</v>
      </c>
      <c r="AY162" s="136">
        <f t="shared" si="525"/>
        <v>25220</v>
      </c>
      <c r="AZ162" s="139" t="b">
        <f t="shared" si="526"/>
        <v>1</v>
      </c>
      <c r="BA162" s="125">
        <v>0</v>
      </c>
      <c r="BB162" s="140">
        <f t="shared" si="527"/>
        <v>1940</v>
      </c>
      <c r="BC162" s="141">
        <v>0</v>
      </c>
      <c r="BD162" s="140" t="s">
        <v>107</v>
      </c>
      <c r="BE162" s="141">
        <v>0</v>
      </c>
      <c r="BF162" s="140">
        <v>0</v>
      </c>
      <c r="BG162" s="141">
        <v>0</v>
      </c>
      <c r="BH162" s="127">
        <v>0</v>
      </c>
      <c r="BI162" s="130">
        <v>0</v>
      </c>
      <c r="BJ162" s="128">
        <v>0</v>
      </c>
      <c r="BK162" s="125">
        <v>0</v>
      </c>
      <c r="BL162" s="136">
        <v>0</v>
      </c>
      <c r="BM162" s="127">
        <v>0</v>
      </c>
      <c r="BN162" s="142">
        <f t="shared" si="528"/>
        <v>0</v>
      </c>
      <c r="BO162" s="126">
        <f t="shared" si="529"/>
        <v>25220</v>
      </c>
      <c r="BP162" s="132">
        <f t="shared" si="530"/>
        <v>11640</v>
      </c>
      <c r="BQ162" s="141" t="str">
        <f t="shared" si="531"/>
        <v>Positive Margin</v>
      </c>
      <c r="BR162" s="143" t="s">
        <v>119</v>
      </c>
      <c r="BS162" s="125">
        <f t="shared" si="532"/>
        <v>11640</v>
      </c>
      <c r="BT162" s="144" t="str">
        <f t="shared" si="533"/>
        <v>Positive Margin at Inception</v>
      </c>
      <c r="BU162" s="145">
        <f t="shared" si="534"/>
        <v>0.46153846153846156</v>
      </c>
      <c r="BV162" s="144" t="str">
        <f t="shared" si="535"/>
        <v>More than 2%</v>
      </c>
      <c r="BW162" s="125">
        <f t="shared" si="536"/>
        <v>0</v>
      </c>
      <c r="BX162" s="126">
        <f t="shared" si="537"/>
        <v>0</v>
      </c>
      <c r="BY162" s="125">
        <f t="shared" si="538"/>
        <v>0</v>
      </c>
      <c r="BZ162" s="146">
        <f t="shared" si="539"/>
        <v>0</v>
      </c>
      <c r="CA162" s="146">
        <f t="shared" si="540"/>
        <v>0</v>
      </c>
      <c r="CB162" s="127">
        <f t="shared" si="541"/>
        <v>0</v>
      </c>
      <c r="CC162" s="146" t="s">
        <v>397</v>
      </c>
      <c r="CD162" s="127">
        <v>0</v>
      </c>
      <c r="CE162" s="127" t="str">
        <f t="shared" si="542"/>
        <v>May-26</v>
      </c>
      <c r="CF162" s="127">
        <f t="shared" si="543"/>
        <v>13580</v>
      </c>
      <c r="CG162" s="127">
        <f t="shared" si="544"/>
        <v>25220</v>
      </c>
      <c r="CH162" s="127">
        <f t="shared" si="545"/>
        <v>9</v>
      </c>
      <c r="CI162" s="147" t="str">
        <f t="shared" si="546"/>
        <v>BG AHD</v>
      </c>
      <c r="CJ162" s="127">
        <v>0</v>
      </c>
      <c r="CK162" s="127">
        <v>0</v>
      </c>
      <c r="CL162" s="127">
        <f t="shared" si="547"/>
        <v>11640</v>
      </c>
      <c r="CM162" s="127">
        <f t="shared" si="548"/>
        <v>11640</v>
      </c>
      <c r="CN162" s="127">
        <f t="shared" si="549"/>
        <v>11640</v>
      </c>
      <c r="CO162" s="127">
        <f t="shared" si="550"/>
        <v>29759.599999999999</v>
      </c>
      <c r="CP162" s="127">
        <f t="shared" si="551"/>
        <v>-16024.4</v>
      </c>
      <c r="CQ162" s="127">
        <f t="shared" si="552"/>
        <v>0</v>
      </c>
      <c r="CR162" s="127">
        <f t="shared" si="553"/>
        <v>0</v>
      </c>
      <c r="CS162" s="127">
        <f t="shared" si="554"/>
        <v>13735.199999999999</v>
      </c>
      <c r="CT162" s="127" t="s">
        <v>361</v>
      </c>
      <c r="CU162" s="127" t="s">
        <v>361</v>
      </c>
      <c r="CV162" s="142" t="str">
        <f t="shared" si="555"/>
        <v>AAMCB5608A</v>
      </c>
      <c r="CW162" s="142" t="str">
        <f t="shared" si="556"/>
        <v>BJHPB3107J</v>
      </c>
    </row>
    <row r="163" spans="2:101" s="149" customFormat="1" ht="11.85" customHeight="1" x14ac:dyDescent="0.25">
      <c r="B163" s="120" t="str">
        <f t="shared" si="518"/>
        <v>Q1</v>
      </c>
      <c r="C163" s="121" t="str">
        <f t="shared" si="519"/>
        <v>May-26</v>
      </c>
      <c r="D163" s="122">
        <v>46171</v>
      </c>
      <c r="E163" s="123" t="s">
        <v>3730</v>
      </c>
      <c r="F163" s="123" t="s">
        <v>196</v>
      </c>
      <c r="G163" s="123" t="s">
        <v>198</v>
      </c>
      <c r="H163" s="124" t="s">
        <v>3731</v>
      </c>
      <c r="I163" s="122">
        <v>46171</v>
      </c>
      <c r="J163" s="123" t="s">
        <v>3732</v>
      </c>
      <c r="K163" s="122">
        <v>46171</v>
      </c>
      <c r="L163" s="123" t="s">
        <v>199</v>
      </c>
      <c r="M163" s="123" t="s">
        <v>2331</v>
      </c>
      <c r="N163" s="124" t="s">
        <v>1422</v>
      </c>
      <c r="O163" s="123">
        <v>1620</v>
      </c>
      <c r="P163" s="124">
        <v>13.5</v>
      </c>
      <c r="Q163" s="125">
        <f t="shared" si="520"/>
        <v>21870</v>
      </c>
      <c r="R163" s="126">
        <v>0</v>
      </c>
      <c r="S163" s="125">
        <f t="shared" si="521"/>
        <v>1620</v>
      </c>
      <c r="T163" s="126">
        <v>0</v>
      </c>
      <c r="U163" s="127">
        <v>0</v>
      </c>
      <c r="V163" s="128">
        <v>0</v>
      </c>
      <c r="W163" s="127">
        <v>0</v>
      </c>
      <c r="X163" s="129">
        <v>0</v>
      </c>
      <c r="Y163" s="127">
        <v>0</v>
      </c>
      <c r="Z163" s="127">
        <v>0</v>
      </c>
      <c r="AA163" s="126">
        <v>0</v>
      </c>
      <c r="AB163" s="130">
        <f t="shared" si="522"/>
        <v>0</v>
      </c>
      <c r="AC163" s="129">
        <v>0</v>
      </c>
      <c r="AD163" s="125">
        <f t="shared" si="523"/>
        <v>13.5</v>
      </c>
      <c r="AE163" s="144">
        <v>0</v>
      </c>
      <c r="AF163" s="127">
        <v>0</v>
      </c>
      <c r="AG163" s="131">
        <v>0</v>
      </c>
      <c r="AH163" s="127">
        <v>0</v>
      </c>
      <c r="AI163" s="128">
        <v>0</v>
      </c>
      <c r="AJ163" s="127">
        <v>0</v>
      </c>
      <c r="AK163" s="127">
        <v>0</v>
      </c>
      <c r="AL163" s="127">
        <v>0</v>
      </c>
      <c r="AM163" s="132">
        <f t="shared" si="524"/>
        <v>21870</v>
      </c>
      <c r="AN163" s="133">
        <v>46171</v>
      </c>
      <c r="AO163" s="134" t="s">
        <v>3740</v>
      </c>
      <c r="AP163" s="135" t="s">
        <v>234</v>
      </c>
      <c r="AQ163" s="136" t="s">
        <v>235</v>
      </c>
      <c r="AR163" s="136" t="s">
        <v>236</v>
      </c>
      <c r="AS163" s="123" t="s">
        <v>2006</v>
      </c>
      <c r="AT163" s="137" t="s">
        <v>238</v>
      </c>
      <c r="AU163" s="137" t="s">
        <v>197</v>
      </c>
      <c r="AV163" s="138" t="s">
        <v>329</v>
      </c>
      <c r="AW163" s="136">
        <v>1620</v>
      </c>
      <c r="AX163" s="138">
        <v>17</v>
      </c>
      <c r="AY163" s="136">
        <f t="shared" si="525"/>
        <v>27540</v>
      </c>
      <c r="AZ163" s="139" t="b">
        <f t="shared" si="526"/>
        <v>1</v>
      </c>
      <c r="BA163" s="125">
        <v>0</v>
      </c>
      <c r="BB163" s="140">
        <f t="shared" si="527"/>
        <v>1620</v>
      </c>
      <c r="BC163" s="141">
        <v>0</v>
      </c>
      <c r="BD163" s="140" t="s">
        <v>107</v>
      </c>
      <c r="BE163" s="141">
        <v>0</v>
      </c>
      <c r="BF163" s="140">
        <v>0</v>
      </c>
      <c r="BG163" s="141">
        <v>0</v>
      </c>
      <c r="BH163" s="127">
        <v>0</v>
      </c>
      <c r="BI163" s="130">
        <v>0</v>
      </c>
      <c r="BJ163" s="128">
        <v>0</v>
      </c>
      <c r="BK163" s="125">
        <v>0</v>
      </c>
      <c r="BL163" s="136">
        <v>0</v>
      </c>
      <c r="BM163" s="127">
        <v>0</v>
      </c>
      <c r="BN163" s="142">
        <f t="shared" si="528"/>
        <v>0</v>
      </c>
      <c r="BO163" s="126">
        <f t="shared" si="529"/>
        <v>27540</v>
      </c>
      <c r="BP163" s="132">
        <f t="shared" si="530"/>
        <v>5670</v>
      </c>
      <c r="BQ163" s="141" t="str">
        <f t="shared" si="531"/>
        <v>Positive Margin</v>
      </c>
      <c r="BR163" s="143" t="s">
        <v>119</v>
      </c>
      <c r="BS163" s="125">
        <f t="shared" si="532"/>
        <v>5670</v>
      </c>
      <c r="BT163" s="144" t="str">
        <f t="shared" si="533"/>
        <v>Positive Margin at Inception</v>
      </c>
      <c r="BU163" s="145">
        <f t="shared" si="534"/>
        <v>0.20588235294117646</v>
      </c>
      <c r="BV163" s="144" t="str">
        <f t="shared" si="535"/>
        <v>More than 2%</v>
      </c>
      <c r="BW163" s="125">
        <f t="shared" si="536"/>
        <v>0</v>
      </c>
      <c r="BX163" s="126">
        <f t="shared" si="537"/>
        <v>0</v>
      </c>
      <c r="BY163" s="125">
        <f t="shared" si="538"/>
        <v>0</v>
      </c>
      <c r="BZ163" s="146">
        <f t="shared" si="539"/>
        <v>0</v>
      </c>
      <c r="CA163" s="146">
        <f t="shared" si="540"/>
        <v>0</v>
      </c>
      <c r="CB163" s="127">
        <f t="shared" si="541"/>
        <v>0</v>
      </c>
      <c r="CC163" s="146" t="s">
        <v>397</v>
      </c>
      <c r="CD163" s="127">
        <v>0</v>
      </c>
      <c r="CE163" s="127" t="str">
        <f t="shared" si="542"/>
        <v>May-26</v>
      </c>
      <c r="CF163" s="127">
        <f t="shared" si="543"/>
        <v>21870</v>
      </c>
      <c r="CG163" s="127">
        <f t="shared" si="544"/>
        <v>27540</v>
      </c>
      <c r="CH163" s="127">
        <f t="shared" si="545"/>
        <v>9</v>
      </c>
      <c r="CI163" s="147" t="str">
        <f t="shared" si="546"/>
        <v>BG AHD</v>
      </c>
      <c r="CJ163" s="127">
        <v>0</v>
      </c>
      <c r="CK163" s="127">
        <v>0</v>
      </c>
      <c r="CL163" s="127">
        <f t="shared" si="547"/>
        <v>5670</v>
      </c>
      <c r="CM163" s="127">
        <f t="shared" si="548"/>
        <v>5670</v>
      </c>
      <c r="CN163" s="127">
        <f t="shared" si="549"/>
        <v>5670</v>
      </c>
      <c r="CO163" s="127">
        <f t="shared" si="550"/>
        <v>32497.199999999997</v>
      </c>
      <c r="CP163" s="127">
        <f t="shared" si="551"/>
        <v>-25806.6</v>
      </c>
      <c r="CQ163" s="127">
        <f t="shared" si="552"/>
        <v>0</v>
      </c>
      <c r="CR163" s="127">
        <f t="shared" si="553"/>
        <v>0</v>
      </c>
      <c r="CS163" s="127">
        <f t="shared" si="554"/>
        <v>6690.5999999999985</v>
      </c>
      <c r="CT163" s="127" t="s">
        <v>361</v>
      </c>
      <c r="CU163" s="127" t="s">
        <v>361</v>
      </c>
      <c r="CV163" s="142" t="str">
        <f t="shared" si="555"/>
        <v>AAMCB5608A</v>
      </c>
      <c r="CW163" s="142" t="str">
        <f t="shared" si="556"/>
        <v>BJHPB3107J</v>
      </c>
    </row>
    <row r="164" spans="2:101" s="149" customFormat="1" ht="11.85" customHeight="1" x14ac:dyDescent="0.25">
      <c r="B164" s="120" t="str">
        <f t="shared" si="518"/>
        <v>Q1</v>
      </c>
      <c r="C164" s="121" t="str">
        <f t="shared" si="519"/>
        <v>May-26</v>
      </c>
      <c r="D164" s="122">
        <v>46171</v>
      </c>
      <c r="E164" s="123" t="s">
        <v>3733</v>
      </c>
      <c r="F164" s="123" t="s">
        <v>3635</v>
      </c>
      <c r="G164" s="123" t="s">
        <v>3636</v>
      </c>
      <c r="H164" s="124" t="s">
        <v>3734</v>
      </c>
      <c r="I164" s="122">
        <v>46171</v>
      </c>
      <c r="J164" s="123" t="s">
        <v>3735</v>
      </c>
      <c r="K164" s="122">
        <v>46171</v>
      </c>
      <c r="L164" s="123" t="s">
        <v>199</v>
      </c>
      <c r="M164" s="123" t="s">
        <v>3137</v>
      </c>
      <c r="N164" s="124" t="s">
        <v>257</v>
      </c>
      <c r="O164" s="123">
        <v>2960</v>
      </c>
      <c r="P164" s="124">
        <v>27.3</v>
      </c>
      <c r="Q164" s="125">
        <f t="shared" si="520"/>
        <v>80808</v>
      </c>
      <c r="R164" s="126">
        <v>0</v>
      </c>
      <c r="S164" s="125">
        <f t="shared" si="521"/>
        <v>2960</v>
      </c>
      <c r="T164" s="126">
        <v>0</v>
      </c>
      <c r="U164" s="127">
        <v>0</v>
      </c>
      <c r="V164" s="128">
        <v>0</v>
      </c>
      <c r="W164" s="127">
        <v>0</v>
      </c>
      <c r="X164" s="129">
        <v>0</v>
      </c>
      <c r="Y164" s="127">
        <v>0</v>
      </c>
      <c r="Z164" s="127">
        <v>0</v>
      </c>
      <c r="AA164" s="126">
        <v>0</v>
      </c>
      <c r="AB164" s="130">
        <f t="shared" si="522"/>
        <v>0</v>
      </c>
      <c r="AC164" s="129">
        <v>0</v>
      </c>
      <c r="AD164" s="125">
        <f t="shared" si="523"/>
        <v>27.3</v>
      </c>
      <c r="AE164" s="144">
        <v>0</v>
      </c>
      <c r="AF164" s="127">
        <v>0</v>
      </c>
      <c r="AG164" s="131">
        <v>0</v>
      </c>
      <c r="AH164" s="127">
        <v>0</v>
      </c>
      <c r="AI164" s="128">
        <v>0</v>
      </c>
      <c r="AJ164" s="127">
        <v>0</v>
      </c>
      <c r="AK164" s="127">
        <v>0</v>
      </c>
      <c r="AL164" s="127">
        <v>0</v>
      </c>
      <c r="AM164" s="132">
        <f t="shared" si="524"/>
        <v>80808</v>
      </c>
      <c r="AN164" s="133">
        <v>46171</v>
      </c>
      <c r="AO164" s="134" t="s">
        <v>3741</v>
      </c>
      <c r="AP164" s="135" t="s">
        <v>1937</v>
      </c>
      <c r="AQ164" s="136" t="s">
        <v>1938</v>
      </c>
      <c r="AR164" s="136" t="s">
        <v>1939</v>
      </c>
      <c r="AS164" s="123" t="s">
        <v>3678</v>
      </c>
      <c r="AT164" s="137" t="s">
        <v>1940</v>
      </c>
      <c r="AU164" s="137" t="s">
        <v>197</v>
      </c>
      <c r="AV164" s="138" t="s">
        <v>3742</v>
      </c>
      <c r="AW164" s="136">
        <v>2960</v>
      </c>
      <c r="AX164" s="138">
        <v>27.9</v>
      </c>
      <c r="AY164" s="136">
        <f t="shared" si="525"/>
        <v>82584</v>
      </c>
      <c r="AZ164" s="139" t="b">
        <f t="shared" si="526"/>
        <v>1</v>
      </c>
      <c r="BA164" s="125">
        <v>0</v>
      </c>
      <c r="BB164" s="140">
        <f t="shared" si="527"/>
        <v>2960</v>
      </c>
      <c r="BC164" s="141">
        <v>0</v>
      </c>
      <c r="BD164" s="140" t="s">
        <v>107</v>
      </c>
      <c r="BE164" s="141">
        <v>0</v>
      </c>
      <c r="BF164" s="140">
        <v>0</v>
      </c>
      <c r="BG164" s="141">
        <v>0</v>
      </c>
      <c r="BH164" s="127">
        <v>0</v>
      </c>
      <c r="BI164" s="130">
        <v>0</v>
      </c>
      <c r="BJ164" s="128">
        <v>0</v>
      </c>
      <c r="BK164" s="125">
        <v>0</v>
      </c>
      <c r="BL164" s="136">
        <v>0</v>
      </c>
      <c r="BM164" s="127">
        <v>0</v>
      </c>
      <c r="BN164" s="142">
        <f t="shared" si="528"/>
        <v>0</v>
      </c>
      <c r="BO164" s="126">
        <f t="shared" si="529"/>
        <v>82584</v>
      </c>
      <c r="BP164" s="132">
        <f t="shared" si="530"/>
        <v>1776</v>
      </c>
      <c r="BQ164" s="141" t="str">
        <f t="shared" si="531"/>
        <v>Positive Margin</v>
      </c>
      <c r="BR164" s="143" t="s">
        <v>119</v>
      </c>
      <c r="BS164" s="125">
        <f t="shared" si="532"/>
        <v>1776</v>
      </c>
      <c r="BT164" s="144" t="str">
        <f t="shared" si="533"/>
        <v>Positive Margin at Inception</v>
      </c>
      <c r="BU164" s="145">
        <f t="shared" si="534"/>
        <v>2.1505376344086023E-2</v>
      </c>
      <c r="BV164" s="144" t="str">
        <f t="shared" si="535"/>
        <v>More than 2%</v>
      </c>
      <c r="BW164" s="125">
        <f t="shared" si="536"/>
        <v>0</v>
      </c>
      <c r="BX164" s="126">
        <f t="shared" si="537"/>
        <v>0</v>
      </c>
      <c r="BY164" s="125">
        <f t="shared" si="538"/>
        <v>0</v>
      </c>
      <c r="BZ164" s="146">
        <f t="shared" si="539"/>
        <v>0</v>
      </c>
      <c r="CA164" s="146">
        <f t="shared" si="540"/>
        <v>0</v>
      </c>
      <c r="CB164" s="127">
        <f t="shared" si="541"/>
        <v>0</v>
      </c>
      <c r="CC164" s="146" t="s">
        <v>397</v>
      </c>
      <c r="CD164" s="127">
        <v>0</v>
      </c>
      <c r="CE164" s="127" t="str">
        <f t="shared" si="542"/>
        <v>May-26</v>
      </c>
      <c r="CF164" s="127">
        <f t="shared" si="543"/>
        <v>80808</v>
      </c>
      <c r="CG164" s="127">
        <f t="shared" si="544"/>
        <v>82584</v>
      </c>
      <c r="CH164" s="127">
        <f t="shared" si="545"/>
        <v>9</v>
      </c>
      <c r="CI164" s="147" t="str">
        <f t="shared" si="546"/>
        <v>B2B</v>
      </c>
      <c r="CJ164" s="127">
        <v>0</v>
      </c>
      <c r="CK164" s="127">
        <v>0</v>
      </c>
      <c r="CL164" s="127">
        <f t="shared" si="547"/>
        <v>1776</v>
      </c>
      <c r="CM164" s="127">
        <f t="shared" si="548"/>
        <v>1776</v>
      </c>
      <c r="CN164" s="127">
        <f t="shared" si="549"/>
        <v>1776</v>
      </c>
      <c r="CO164" s="127">
        <f t="shared" si="550"/>
        <v>97449.12</v>
      </c>
      <c r="CP164" s="127">
        <f t="shared" si="551"/>
        <v>-95353.439999999988</v>
      </c>
      <c r="CQ164" s="127">
        <f t="shared" si="552"/>
        <v>0</v>
      </c>
      <c r="CR164" s="127">
        <f t="shared" si="553"/>
        <v>0</v>
      </c>
      <c r="CS164" s="127">
        <f t="shared" si="554"/>
        <v>2095.6800000000076</v>
      </c>
      <c r="CT164" s="127" t="s">
        <v>361</v>
      </c>
      <c r="CU164" s="127" t="s">
        <v>361</v>
      </c>
      <c r="CV164" s="142" t="str">
        <f t="shared" si="555"/>
        <v>AAHCR8445C</v>
      </c>
      <c r="CW164" s="142" t="str">
        <f t="shared" si="556"/>
        <v>AFDPY5902R</v>
      </c>
    </row>
    <row r="165" spans="2:101" s="149" customFormat="1" ht="11.85" customHeight="1" x14ac:dyDescent="0.25">
      <c r="B165" s="120" t="str">
        <f t="shared" si="518"/>
        <v>Q1</v>
      </c>
      <c r="C165" s="121" t="str">
        <f t="shared" si="519"/>
        <v>May-26</v>
      </c>
      <c r="D165" s="122">
        <v>46172</v>
      </c>
      <c r="E165" s="123" t="s">
        <v>3736</v>
      </c>
      <c r="F165" s="123" t="s">
        <v>196</v>
      </c>
      <c r="G165" s="123" t="s">
        <v>198</v>
      </c>
      <c r="H165" s="124" t="s">
        <v>3737</v>
      </c>
      <c r="I165" s="122">
        <v>46172</v>
      </c>
      <c r="J165" s="123" t="s">
        <v>3738</v>
      </c>
      <c r="K165" s="122">
        <v>46172</v>
      </c>
      <c r="L165" s="123" t="s">
        <v>199</v>
      </c>
      <c r="M165" s="123" t="s">
        <v>2331</v>
      </c>
      <c r="N165" s="124" t="s">
        <v>258</v>
      </c>
      <c r="O165" s="123">
        <v>740</v>
      </c>
      <c r="P165" s="124">
        <v>1.1000000000000001</v>
      </c>
      <c r="Q165" s="125">
        <f t="shared" si="520"/>
        <v>814.00000000000011</v>
      </c>
      <c r="R165" s="126">
        <v>0</v>
      </c>
      <c r="S165" s="125">
        <f t="shared" si="521"/>
        <v>740</v>
      </c>
      <c r="T165" s="126">
        <v>0</v>
      </c>
      <c r="U165" s="127">
        <v>0</v>
      </c>
      <c r="V165" s="128">
        <v>0</v>
      </c>
      <c r="W165" s="127">
        <v>0</v>
      </c>
      <c r="X165" s="129">
        <v>0</v>
      </c>
      <c r="Y165" s="127">
        <v>0</v>
      </c>
      <c r="Z165" s="127">
        <v>0</v>
      </c>
      <c r="AA165" s="126">
        <v>0</v>
      </c>
      <c r="AB165" s="130">
        <f t="shared" si="522"/>
        <v>0</v>
      </c>
      <c r="AC165" s="129">
        <v>0</v>
      </c>
      <c r="AD165" s="125">
        <f t="shared" si="523"/>
        <v>1.1000000000000001</v>
      </c>
      <c r="AE165" s="144">
        <v>0</v>
      </c>
      <c r="AF165" s="127">
        <v>0</v>
      </c>
      <c r="AG165" s="131">
        <v>0</v>
      </c>
      <c r="AH165" s="127">
        <v>0</v>
      </c>
      <c r="AI165" s="128">
        <v>0</v>
      </c>
      <c r="AJ165" s="127">
        <v>0</v>
      </c>
      <c r="AK165" s="127">
        <v>0</v>
      </c>
      <c r="AL165" s="127">
        <v>0</v>
      </c>
      <c r="AM165" s="132">
        <f t="shared" si="524"/>
        <v>814.00000000000011</v>
      </c>
      <c r="AN165" s="133">
        <v>46172</v>
      </c>
      <c r="AO165" s="134" t="s">
        <v>3743</v>
      </c>
      <c r="AP165" s="135" t="s">
        <v>234</v>
      </c>
      <c r="AQ165" s="136" t="s">
        <v>235</v>
      </c>
      <c r="AR165" s="136" t="s">
        <v>236</v>
      </c>
      <c r="AS165" s="123" t="s">
        <v>239</v>
      </c>
      <c r="AT165" s="137" t="s">
        <v>238</v>
      </c>
      <c r="AU165" s="137" t="s">
        <v>197</v>
      </c>
      <c r="AV165" s="138" t="s">
        <v>329</v>
      </c>
      <c r="AW165" s="136">
        <v>740</v>
      </c>
      <c r="AX165" s="138">
        <v>2.1</v>
      </c>
      <c r="AY165" s="136">
        <f t="shared" si="525"/>
        <v>1554</v>
      </c>
      <c r="AZ165" s="139" t="b">
        <f t="shared" si="526"/>
        <v>1</v>
      </c>
      <c r="BA165" s="125">
        <v>0</v>
      </c>
      <c r="BB165" s="140">
        <f t="shared" si="527"/>
        <v>740</v>
      </c>
      <c r="BC165" s="141">
        <v>0</v>
      </c>
      <c r="BD165" s="140" t="s">
        <v>107</v>
      </c>
      <c r="BE165" s="141">
        <v>0</v>
      </c>
      <c r="BF165" s="140">
        <v>0</v>
      </c>
      <c r="BG165" s="141">
        <v>0</v>
      </c>
      <c r="BH165" s="127">
        <v>0</v>
      </c>
      <c r="BI165" s="130">
        <v>0</v>
      </c>
      <c r="BJ165" s="128">
        <v>0</v>
      </c>
      <c r="BK165" s="125">
        <v>0</v>
      </c>
      <c r="BL165" s="136">
        <v>0</v>
      </c>
      <c r="BM165" s="127">
        <v>0</v>
      </c>
      <c r="BN165" s="142">
        <f t="shared" si="528"/>
        <v>0</v>
      </c>
      <c r="BO165" s="126">
        <f t="shared" si="529"/>
        <v>1554</v>
      </c>
      <c r="BP165" s="132">
        <f t="shared" si="530"/>
        <v>739.99999999999989</v>
      </c>
      <c r="BQ165" s="141" t="str">
        <f t="shared" si="531"/>
        <v>Positive Margin</v>
      </c>
      <c r="BR165" s="143" t="s">
        <v>119</v>
      </c>
      <c r="BS165" s="125">
        <f t="shared" si="532"/>
        <v>739.99999999999989</v>
      </c>
      <c r="BT165" s="144" t="str">
        <f t="shared" si="533"/>
        <v>Positive Margin at Inception</v>
      </c>
      <c r="BU165" s="145">
        <f t="shared" si="534"/>
        <v>0.47619047619047611</v>
      </c>
      <c r="BV165" s="144" t="str">
        <f t="shared" si="535"/>
        <v>More than 2%</v>
      </c>
      <c r="BW165" s="125">
        <f t="shared" si="536"/>
        <v>0</v>
      </c>
      <c r="BX165" s="126">
        <f t="shared" si="537"/>
        <v>0</v>
      </c>
      <c r="BY165" s="125">
        <f t="shared" si="538"/>
        <v>0</v>
      </c>
      <c r="BZ165" s="146">
        <f t="shared" si="539"/>
        <v>0</v>
      </c>
      <c r="CA165" s="146">
        <f t="shared" si="540"/>
        <v>0</v>
      </c>
      <c r="CB165" s="127">
        <f t="shared" si="541"/>
        <v>0</v>
      </c>
      <c r="CC165" s="146" t="s">
        <v>397</v>
      </c>
      <c r="CD165" s="127">
        <v>0</v>
      </c>
      <c r="CE165" s="127" t="str">
        <f t="shared" si="542"/>
        <v>May-26</v>
      </c>
      <c r="CF165" s="127">
        <f t="shared" si="543"/>
        <v>814.00000000000011</v>
      </c>
      <c r="CG165" s="127">
        <f t="shared" si="544"/>
        <v>1554</v>
      </c>
      <c r="CH165" s="127">
        <f t="shared" si="545"/>
        <v>9</v>
      </c>
      <c r="CI165" s="147" t="str">
        <f t="shared" si="546"/>
        <v>BG AHD</v>
      </c>
      <c r="CJ165" s="127">
        <v>0</v>
      </c>
      <c r="CK165" s="127">
        <v>0</v>
      </c>
      <c r="CL165" s="127">
        <f t="shared" si="547"/>
        <v>739.99999999999989</v>
      </c>
      <c r="CM165" s="127">
        <f t="shared" si="548"/>
        <v>739.99999999999989</v>
      </c>
      <c r="CN165" s="127">
        <f t="shared" si="549"/>
        <v>739.99999999999989</v>
      </c>
      <c r="CO165" s="127">
        <f t="shared" si="550"/>
        <v>1833.7199999999998</v>
      </c>
      <c r="CP165" s="127">
        <f t="shared" si="551"/>
        <v>-960.5200000000001</v>
      </c>
      <c r="CQ165" s="127">
        <f t="shared" si="552"/>
        <v>0</v>
      </c>
      <c r="CR165" s="127">
        <f t="shared" si="553"/>
        <v>0</v>
      </c>
      <c r="CS165" s="127">
        <f t="shared" si="554"/>
        <v>873.1999999999997</v>
      </c>
      <c r="CT165" s="127" t="s">
        <v>361</v>
      </c>
      <c r="CU165" s="127" t="s">
        <v>361</v>
      </c>
      <c r="CV165" s="142" t="str">
        <f t="shared" si="555"/>
        <v>AAMCB5608A</v>
      </c>
      <c r="CW165" s="142" t="str">
        <f t="shared" si="556"/>
        <v>BJHPB3107J</v>
      </c>
    </row>
    <row r="166" spans="2:101" s="149" customFormat="1" ht="11.85" customHeight="1" x14ac:dyDescent="0.25">
      <c r="B166" s="120" t="str">
        <f t="shared" ref="B166:B221" si="557">"Q" &amp; IF(ROUNDUP(MONTH(D166)/3,0)-1=0,4,ROUNDUP(MONTH(D166)/3,0)-1)</f>
        <v>Q1</v>
      </c>
      <c r="C166" s="121" t="str">
        <f t="shared" ref="C166:C221" si="558">TEXT(AN166,"mmm-yy")</f>
        <v>Jun-26</v>
      </c>
      <c r="D166" s="122">
        <v>46174</v>
      </c>
      <c r="E166" s="123" t="s">
        <v>3780</v>
      </c>
      <c r="F166" s="123" t="s">
        <v>196</v>
      </c>
      <c r="G166" s="123" t="s">
        <v>198</v>
      </c>
      <c r="H166" s="124" t="s">
        <v>3781</v>
      </c>
      <c r="I166" s="122">
        <v>46174</v>
      </c>
      <c r="J166" s="123" t="s">
        <v>3782</v>
      </c>
      <c r="K166" s="122">
        <v>46174</v>
      </c>
      <c r="L166" s="123" t="s">
        <v>199</v>
      </c>
      <c r="M166" s="123" t="s">
        <v>3445</v>
      </c>
      <c r="N166" s="124" t="s">
        <v>204</v>
      </c>
      <c r="O166" s="123">
        <v>7830</v>
      </c>
      <c r="P166" s="124">
        <v>10</v>
      </c>
      <c r="Q166" s="125">
        <f t="shared" ref="Q166:Q221" si="559">O166*P166</f>
        <v>78300</v>
      </c>
      <c r="R166" s="126">
        <v>0</v>
      </c>
      <c r="S166" s="125">
        <f t="shared" ref="S166:S221" si="560">O166-R166</f>
        <v>7830</v>
      </c>
      <c r="T166" s="126">
        <v>0</v>
      </c>
      <c r="U166" s="127">
        <v>0</v>
      </c>
      <c r="V166" s="128">
        <v>0</v>
      </c>
      <c r="W166" s="127">
        <v>0</v>
      </c>
      <c r="X166" s="129">
        <v>0</v>
      </c>
      <c r="Y166" s="127">
        <v>0</v>
      </c>
      <c r="Z166" s="127">
        <v>0</v>
      </c>
      <c r="AA166" s="126">
        <v>0</v>
      </c>
      <c r="AB166" s="130">
        <f t="shared" ref="AB166:AB221" si="561">Y166+AA166+Z166</f>
        <v>0</v>
      </c>
      <c r="AC166" s="129">
        <v>0</v>
      </c>
      <c r="AD166" s="125">
        <f t="shared" ref="AD166:AD221" si="562">Q166/O166</f>
        <v>10</v>
      </c>
      <c r="AE166" s="144">
        <v>0</v>
      </c>
      <c r="AF166" s="127">
        <v>0</v>
      </c>
      <c r="AG166" s="131">
        <v>0</v>
      </c>
      <c r="AH166" s="127">
        <v>0</v>
      </c>
      <c r="AI166" s="128">
        <v>0</v>
      </c>
      <c r="AJ166" s="127">
        <v>0</v>
      </c>
      <c r="AK166" s="127">
        <v>0</v>
      </c>
      <c r="AL166" s="127">
        <v>0</v>
      </c>
      <c r="AM166" s="132">
        <f t="shared" ref="AM166:AM221" si="563">Q166+AB166+AL166+AK166+AJ166+T166+AE166</f>
        <v>78300</v>
      </c>
      <c r="AN166" s="133">
        <v>46174</v>
      </c>
      <c r="AO166" s="134" t="s">
        <v>3925</v>
      </c>
      <c r="AP166" s="135" t="s">
        <v>234</v>
      </c>
      <c r="AQ166" s="136" t="s">
        <v>235</v>
      </c>
      <c r="AR166" s="136" t="s">
        <v>236</v>
      </c>
      <c r="AS166" s="123" t="s">
        <v>237</v>
      </c>
      <c r="AT166" s="137" t="s">
        <v>238</v>
      </c>
      <c r="AU166" s="137" t="s">
        <v>197</v>
      </c>
      <c r="AV166" s="138" t="s">
        <v>329</v>
      </c>
      <c r="AW166" s="136">
        <v>7830</v>
      </c>
      <c r="AX166" s="138">
        <v>12</v>
      </c>
      <c r="AY166" s="136">
        <f t="shared" ref="AY166:AY221" si="564">AW166*AX166</f>
        <v>93960</v>
      </c>
      <c r="AZ166" s="139" t="b">
        <f t="shared" ref="AZ166:AZ221" si="565">AW166=O166</f>
        <v>1</v>
      </c>
      <c r="BA166" s="125">
        <v>0</v>
      </c>
      <c r="BB166" s="140">
        <f t="shared" ref="BB166:BB221" si="566">AW166-BA166</f>
        <v>7830</v>
      </c>
      <c r="BC166" s="141">
        <v>0</v>
      </c>
      <c r="BD166" s="140" t="s">
        <v>107</v>
      </c>
      <c r="BE166" s="141">
        <v>0</v>
      </c>
      <c r="BF166" s="140">
        <v>0</v>
      </c>
      <c r="BG166" s="141">
        <v>0</v>
      </c>
      <c r="BH166" s="127">
        <v>0</v>
      </c>
      <c r="BI166" s="130">
        <v>0</v>
      </c>
      <c r="BJ166" s="128">
        <v>0</v>
      </c>
      <c r="BK166" s="125">
        <v>0</v>
      </c>
      <c r="BL166" s="136">
        <v>0</v>
      </c>
      <c r="BM166" s="127">
        <v>0</v>
      </c>
      <c r="BN166" s="142">
        <f t="shared" ref="BN166:BN221" si="567">AY166*$BN$3</f>
        <v>0</v>
      </c>
      <c r="BO166" s="126">
        <f t="shared" ref="BO166:BO221" si="568">AY166+BL166+BM166+BN166+BC166+BG166</f>
        <v>93960</v>
      </c>
      <c r="BP166" s="132">
        <f t="shared" ref="BP166:BP221" si="569">BO166-AM166</f>
        <v>15660</v>
      </c>
      <c r="BQ166" s="141" t="str">
        <f t="shared" ref="BQ166:BQ221" si="570">IF(BP166&gt;=0,"Positive Margin","Negative Margin")</f>
        <v>Positive Margin</v>
      </c>
      <c r="BR166" s="143" t="s">
        <v>119</v>
      </c>
      <c r="BS166" s="125">
        <f t="shared" ref="BS166:BS221" si="571">AY166-Y166-Q166-AA166-T166+BC166</f>
        <v>15660</v>
      </c>
      <c r="BT166" s="144" t="str">
        <f t="shared" ref="BT166:BT221" si="572">IF(BS166&lt;0, "Negative Margin at Inception", "Positive Margin at Inception")</f>
        <v>Positive Margin at Inception</v>
      </c>
      <c r="BU166" s="145">
        <f t="shared" ref="BU166:BU221" si="573">IFERROR(BP166/BO166,"0")</f>
        <v>0.16666666666666666</v>
      </c>
      <c r="BV166" s="144" t="str">
        <f t="shared" ref="BV166:BV221" si="574">IF(BU166&lt;1%,"Less Than 1%",IF(BU166&gt;2%,"More than 2%",IF(BU166&gt;=1%,"1% - 2%")))</f>
        <v>More than 2%</v>
      </c>
      <c r="BW166" s="125">
        <f t="shared" ref="BW166:BW221" si="575">BM166+BN166</f>
        <v>0</v>
      </c>
      <c r="BX166" s="126">
        <f t="shared" ref="BX166:BX221" si="576">AL166+AK166</f>
        <v>0</v>
      </c>
      <c r="BY166" s="125">
        <f t="shared" ref="BY166:BY221" si="577">BW166-BX166</f>
        <v>0</v>
      </c>
      <c r="BZ166" s="146">
        <f t="shared" ref="BZ166:BZ221" si="578">BM166</f>
        <v>0</v>
      </c>
      <c r="CA166" s="146">
        <f t="shared" ref="CA166:CA221" si="579">AK166</f>
        <v>0</v>
      </c>
      <c r="CB166" s="127">
        <f t="shared" ref="CB166:CB221" si="580">BZ166-CA166</f>
        <v>0</v>
      </c>
      <c r="CC166" s="146" t="s">
        <v>397</v>
      </c>
      <c r="CD166" s="127">
        <v>0</v>
      </c>
      <c r="CE166" s="127" t="str">
        <f t="shared" ref="CE166:CE221" si="581">TEXT(AN166,"mmm-yy")</f>
        <v>Jun-26</v>
      </c>
      <c r="CF166" s="127">
        <f t="shared" ref="CF166:CF221" si="582">AM166-AL166-AA166</f>
        <v>78300</v>
      </c>
      <c r="CG166" s="127">
        <f t="shared" ref="CG166:CG221" si="583">BO166-BN166</f>
        <v>93960</v>
      </c>
      <c r="CH166" s="127">
        <f t="shared" ref="CH166:CH221" si="584">INT((D166- IF(MONTH(D166) &gt;= 4, DATE(YEAR(D166), 4, 1), DATE(YEAR(D166)-1, 4, 1))) / 7) + 1</f>
        <v>9</v>
      </c>
      <c r="CI166" s="147" t="str">
        <f t="shared" ref="CI166:CI221" si="585">IF(F166="BLACK GOLD RECYCLING PRIVATE LIMITED", "BG AHD", "B2B")</f>
        <v>BG AHD</v>
      </c>
      <c r="CJ166" s="127">
        <v>0</v>
      </c>
      <c r="CK166" s="127">
        <v>0</v>
      </c>
      <c r="CL166" s="127">
        <f t="shared" ref="CL166:CL221" si="586">AY166-Q166</f>
        <v>15660</v>
      </c>
      <c r="CM166" s="127">
        <f t="shared" ref="CM166:CM221" si="587">CL166-Y166+Z166</f>
        <v>15660</v>
      </c>
      <c r="CN166" s="127">
        <f t="shared" ref="CN166:CN221" si="588">BO166-AM166</f>
        <v>15660</v>
      </c>
      <c r="CO166" s="127">
        <f t="shared" ref="CO166:CO221" si="589">AY166*118%</f>
        <v>110872.79999999999</v>
      </c>
      <c r="CP166" s="127">
        <f t="shared" ref="CP166:CP221" si="590">-Q166*118%</f>
        <v>-92394</v>
      </c>
      <c r="CQ166" s="127">
        <f t="shared" ref="CQ166:CQ221" si="591">-BZ166*118%</f>
        <v>0</v>
      </c>
      <c r="CR166" s="127">
        <f t="shared" ref="CR166:CR221" si="592">-CA166*118%</f>
        <v>0</v>
      </c>
      <c r="CS166" s="127">
        <f t="shared" ref="CS166:CS221" si="593">SUM(CO166:CR166)</f>
        <v>18478.799999999988</v>
      </c>
      <c r="CT166" s="127" t="s">
        <v>361</v>
      </c>
      <c r="CU166" s="127" t="s">
        <v>361</v>
      </c>
      <c r="CV166" s="142" t="str">
        <f t="shared" ref="CV166:CV221" si="594">MID(G166,3,10)</f>
        <v>AAMCB5608A</v>
      </c>
      <c r="CW166" s="142" t="str">
        <f t="shared" ref="CW166:CW221" si="595">MID(AR166,3,10)</f>
        <v>BJHPB3107J</v>
      </c>
    </row>
    <row r="167" spans="2:101" s="149" customFormat="1" ht="11.85" customHeight="1" x14ac:dyDescent="0.25">
      <c r="B167" s="120" t="str">
        <f t="shared" si="557"/>
        <v>Q1</v>
      </c>
      <c r="C167" s="121" t="str">
        <f t="shared" si="558"/>
        <v>Jun-26</v>
      </c>
      <c r="D167" s="122">
        <v>46174</v>
      </c>
      <c r="E167" s="123" t="s">
        <v>3783</v>
      </c>
      <c r="F167" s="123" t="s">
        <v>196</v>
      </c>
      <c r="G167" s="123" t="s">
        <v>198</v>
      </c>
      <c r="H167" s="124" t="s">
        <v>3784</v>
      </c>
      <c r="I167" s="122">
        <v>46174</v>
      </c>
      <c r="J167" s="123" t="s">
        <v>3785</v>
      </c>
      <c r="K167" s="122">
        <v>46174</v>
      </c>
      <c r="L167" s="123" t="s">
        <v>199</v>
      </c>
      <c r="M167" s="123" t="s">
        <v>3786</v>
      </c>
      <c r="N167" s="124" t="s">
        <v>3089</v>
      </c>
      <c r="O167" s="123">
        <v>5140</v>
      </c>
      <c r="P167" s="124">
        <v>16.100000000000001</v>
      </c>
      <c r="Q167" s="125">
        <f t="shared" si="559"/>
        <v>82754.000000000015</v>
      </c>
      <c r="R167" s="126">
        <v>0</v>
      </c>
      <c r="S167" s="125">
        <f t="shared" si="560"/>
        <v>5140</v>
      </c>
      <c r="T167" s="126">
        <v>0</v>
      </c>
      <c r="U167" s="127">
        <v>0</v>
      </c>
      <c r="V167" s="128">
        <v>0</v>
      </c>
      <c r="W167" s="127">
        <v>0</v>
      </c>
      <c r="X167" s="129">
        <v>0</v>
      </c>
      <c r="Y167" s="127">
        <v>0</v>
      </c>
      <c r="Z167" s="127">
        <v>0</v>
      </c>
      <c r="AA167" s="126">
        <v>0</v>
      </c>
      <c r="AB167" s="130">
        <f t="shared" si="561"/>
        <v>0</v>
      </c>
      <c r="AC167" s="129">
        <v>0</v>
      </c>
      <c r="AD167" s="125">
        <f t="shared" si="562"/>
        <v>16.100000000000001</v>
      </c>
      <c r="AE167" s="144">
        <v>0</v>
      </c>
      <c r="AF167" s="127">
        <v>0</v>
      </c>
      <c r="AG167" s="131">
        <v>0</v>
      </c>
      <c r="AH167" s="127">
        <v>0</v>
      </c>
      <c r="AI167" s="128">
        <v>0</v>
      </c>
      <c r="AJ167" s="127">
        <v>0</v>
      </c>
      <c r="AK167" s="127">
        <v>0</v>
      </c>
      <c r="AL167" s="127">
        <v>0</v>
      </c>
      <c r="AM167" s="132">
        <f t="shared" si="563"/>
        <v>82754.000000000015</v>
      </c>
      <c r="AN167" s="133">
        <v>46174</v>
      </c>
      <c r="AO167" s="134" t="s">
        <v>3927</v>
      </c>
      <c r="AP167" s="135" t="s">
        <v>234</v>
      </c>
      <c r="AQ167" s="136" t="s">
        <v>235</v>
      </c>
      <c r="AR167" s="136" t="s">
        <v>236</v>
      </c>
      <c r="AS167" s="123" t="s">
        <v>2006</v>
      </c>
      <c r="AT167" s="137" t="s">
        <v>238</v>
      </c>
      <c r="AU167" s="137" t="s">
        <v>197</v>
      </c>
      <c r="AV167" s="138" t="s">
        <v>329</v>
      </c>
      <c r="AW167" s="136">
        <v>5140</v>
      </c>
      <c r="AX167" s="138">
        <v>20</v>
      </c>
      <c r="AY167" s="136">
        <f t="shared" si="564"/>
        <v>102800</v>
      </c>
      <c r="AZ167" s="139" t="b">
        <f t="shared" si="565"/>
        <v>1</v>
      </c>
      <c r="BA167" s="125">
        <v>0</v>
      </c>
      <c r="BB167" s="140">
        <f t="shared" si="566"/>
        <v>5140</v>
      </c>
      <c r="BC167" s="141">
        <v>0</v>
      </c>
      <c r="BD167" s="140" t="s">
        <v>107</v>
      </c>
      <c r="BE167" s="141">
        <v>0</v>
      </c>
      <c r="BF167" s="140">
        <v>0</v>
      </c>
      <c r="BG167" s="141">
        <v>0</v>
      </c>
      <c r="BH167" s="127">
        <v>0</v>
      </c>
      <c r="BI167" s="130">
        <v>0</v>
      </c>
      <c r="BJ167" s="128">
        <v>0</v>
      </c>
      <c r="BK167" s="125">
        <v>0</v>
      </c>
      <c r="BL167" s="136">
        <v>0</v>
      </c>
      <c r="BM167" s="127">
        <v>0</v>
      </c>
      <c r="BN167" s="142">
        <f t="shared" si="567"/>
        <v>0</v>
      </c>
      <c r="BO167" s="126">
        <f t="shared" si="568"/>
        <v>102800</v>
      </c>
      <c r="BP167" s="132">
        <f t="shared" si="569"/>
        <v>20045.999999999985</v>
      </c>
      <c r="BQ167" s="141" t="str">
        <f t="shared" si="570"/>
        <v>Positive Margin</v>
      </c>
      <c r="BR167" s="143" t="s">
        <v>119</v>
      </c>
      <c r="BS167" s="125">
        <f t="shared" si="571"/>
        <v>20045.999999999985</v>
      </c>
      <c r="BT167" s="144" t="str">
        <f t="shared" si="572"/>
        <v>Positive Margin at Inception</v>
      </c>
      <c r="BU167" s="145">
        <f t="shared" si="573"/>
        <v>0.19499999999999987</v>
      </c>
      <c r="BV167" s="144" t="str">
        <f t="shared" si="574"/>
        <v>More than 2%</v>
      </c>
      <c r="BW167" s="125">
        <f t="shared" si="575"/>
        <v>0</v>
      </c>
      <c r="BX167" s="126">
        <f t="shared" si="576"/>
        <v>0</v>
      </c>
      <c r="BY167" s="125">
        <f t="shared" si="577"/>
        <v>0</v>
      </c>
      <c r="BZ167" s="146">
        <f t="shared" si="578"/>
        <v>0</v>
      </c>
      <c r="CA167" s="146">
        <f t="shared" si="579"/>
        <v>0</v>
      </c>
      <c r="CB167" s="127">
        <f t="shared" si="580"/>
        <v>0</v>
      </c>
      <c r="CC167" s="146" t="s">
        <v>397</v>
      </c>
      <c r="CD167" s="127">
        <v>0</v>
      </c>
      <c r="CE167" s="127" t="str">
        <f t="shared" si="581"/>
        <v>Jun-26</v>
      </c>
      <c r="CF167" s="127">
        <f t="shared" si="582"/>
        <v>82754.000000000015</v>
      </c>
      <c r="CG167" s="127">
        <f t="shared" si="583"/>
        <v>102800</v>
      </c>
      <c r="CH167" s="127">
        <f t="shared" si="584"/>
        <v>9</v>
      </c>
      <c r="CI167" s="147" t="str">
        <f t="shared" si="585"/>
        <v>BG AHD</v>
      </c>
      <c r="CJ167" s="127">
        <v>0</v>
      </c>
      <c r="CK167" s="127">
        <v>0</v>
      </c>
      <c r="CL167" s="127">
        <f t="shared" si="586"/>
        <v>20045.999999999985</v>
      </c>
      <c r="CM167" s="127">
        <f t="shared" si="587"/>
        <v>20045.999999999985</v>
      </c>
      <c r="CN167" s="127">
        <f t="shared" si="588"/>
        <v>20045.999999999985</v>
      </c>
      <c r="CO167" s="127">
        <f t="shared" si="589"/>
        <v>121304</v>
      </c>
      <c r="CP167" s="127">
        <f t="shared" si="590"/>
        <v>-97649.720000000016</v>
      </c>
      <c r="CQ167" s="127">
        <f t="shared" si="591"/>
        <v>0</v>
      </c>
      <c r="CR167" s="127">
        <f t="shared" si="592"/>
        <v>0</v>
      </c>
      <c r="CS167" s="127">
        <f t="shared" si="593"/>
        <v>23654.279999999984</v>
      </c>
      <c r="CT167" s="127" t="s">
        <v>361</v>
      </c>
      <c r="CU167" s="127" t="s">
        <v>361</v>
      </c>
      <c r="CV167" s="142" t="str">
        <f t="shared" si="594"/>
        <v>AAMCB5608A</v>
      </c>
      <c r="CW167" s="142" t="str">
        <f t="shared" si="595"/>
        <v>BJHPB3107J</v>
      </c>
    </row>
    <row r="168" spans="2:101" s="149" customFormat="1" ht="11.85" customHeight="1" x14ac:dyDescent="0.25">
      <c r="B168" s="120" t="str">
        <f t="shared" si="557"/>
        <v>Q1</v>
      </c>
      <c r="C168" s="121" t="str">
        <f t="shared" si="558"/>
        <v>Jun-26</v>
      </c>
      <c r="D168" s="122">
        <v>46175</v>
      </c>
      <c r="E168" s="123" t="s">
        <v>3787</v>
      </c>
      <c r="F168" s="123" t="s">
        <v>196</v>
      </c>
      <c r="G168" s="123" t="s">
        <v>198</v>
      </c>
      <c r="H168" s="124" t="s">
        <v>3788</v>
      </c>
      <c r="I168" s="122">
        <v>46175</v>
      </c>
      <c r="J168" s="123" t="s">
        <v>3789</v>
      </c>
      <c r="K168" s="122">
        <v>46175</v>
      </c>
      <c r="L168" s="123" t="s">
        <v>199</v>
      </c>
      <c r="M168" s="123" t="s">
        <v>2331</v>
      </c>
      <c r="N168" s="124" t="s">
        <v>242</v>
      </c>
      <c r="O168" s="123">
        <v>2780</v>
      </c>
      <c r="P168" s="124">
        <v>0.1</v>
      </c>
      <c r="Q168" s="125">
        <f t="shared" si="559"/>
        <v>278</v>
      </c>
      <c r="R168" s="126">
        <v>0</v>
      </c>
      <c r="S168" s="125">
        <f t="shared" si="560"/>
        <v>2780</v>
      </c>
      <c r="T168" s="126">
        <v>0</v>
      </c>
      <c r="U168" s="127">
        <v>0</v>
      </c>
      <c r="V168" s="128">
        <v>0</v>
      </c>
      <c r="W168" s="127">
        <v>0</v>
      </c>
      <c r="X168" s="129">
        <v>0</v>
      </c>
      <c r="Y168" s="127">
        <v>0</v>
      </c>
      <c r="Z168" s="127">
        <v>0</v>
      </c>
      <c r="AA168" s="126">
        <v>0</v>
      </c>
      <c r="AB168" s="130">
        <f t="shared" si="561"/>
        <v>0</v>
      </c>
      <c r="AC168" s="129">
        <v>0</v>
      </c>
      <c r="AD168" s="125">
        <f t="shared" si="562"/>
        <v>0.1</v>
      </c>
      <c r="AE168" s="144">
        <v>0</v>
      </c>
      <c r="AF168" s="127">
        <v>0</v>
      </c>
      <c r="AG168" s="131">
        <v>0</v>
      </c>
      <c r="AH168" s="127">
        <v>0</v>
      </c>
      <c r="AI168" s="128">
        <v>0</v>
      </c>
      <c r="AJ168" s="127">
        <v>0</v>
      </c>
      <c r="AK168" s="127">
        <v>0</v>
      </c>
      <c r="AL168" s="127">
        <v>0</v>
      </c>
      <c r="AM168" s="132">
        <f t="shared" si="563"/>
        <v>278</v>
      </c>
      <c r="AN168" s="133">
        <v>46175</v>
      </c>
      <c r="AO168" s="134" t="s">
        <v>3928</v>
      </c>
      <c r="AP168" s="135" t="s">
        <v>234</v>
      </c>
      <c r="AQ168" s="136" t="s">
        <v>235</v>
      </c>
      <c r="AR168" s="136" t="s">
        <v>236</v>
      </c>
      <c r="AS168" s="123" t="s">
        <v>237</v>
      </c>
      <c r="AT168" s="137" t="s">
        <v>238</v>
      </c>
      <c r="AU168" s="137" t="s">
        <v>197</v>
      </c>
      <c r="AV168" s="138" t="s">
        <v>329</v>
      </c>
      <c r="AW168" s="136">
        <v>2780</v>
      </c>
      <c r="AX168" s="138">
        <v>1.1000000000000001</v>
      </c>
      <c r="AY168" s="136">
        <f t="shared" si="564"/>
        <v>3058.0000000000005</v>
      </c>
      <c r="AZ168" s="139" t="b">
        <f t="shared" si="565"/>
        <v>1</v>
      </c>
      <c r="BA168" s="125">
        <v>0</v>
      </c>
      <c r="BB168" s="140">
        <f t="shared" si="566"/>
        <v>2780</v>
      </c>
      <c r="BC168" s="141">
        <v>0</v>
      </c>
      <c r="BD168" s="140" t="s">
        <v>107</v>
      </c>
      <c r="BE168" s="141">
        <v>0</v>
      </c>
      <c r="BF168" s="140">
        <v>0</v>
      </c>
      <c r="BG168" s="141">
        <v>0</v>
      </c>
      <c r="BH168" s="127">
        <v>0</v>
      </c>
      <c r="BI168" s="130">
        <v>0</v>
      </c>
      <c r="BJ168" s="128">
        <v>0</v>
      </c>
      <c r="BK168" s="125">
        <v>0</v>
      </c>
      <c r="BL168" s="136">
        <v>0</v>
      </c>
      <c r="BM168" s="127">
        <v>0</v>
      </c>
      <c r="BN168" s="142">
        <f t="shared" si="567"/>
        <v>0</v>
      </c>
      <c r="BO168" s="126">
        <f t="shared" si="568"/>
        <v>3058.0000000000005</v>
      </c>
      <c r="BP168" s="132">
        <f t="shared" si="569"/>
        <v>2780.0000000000005</v>
      </c>
      <c r="BQ168" s="141" t="str">
        <f t="shared" si="570"/>
        <v>Positive Margin</v>
      </c>
      <c r="BR168" s="143" t="s">
        <v>119</v>
      </c>
      <c r="BS168" s="125">
        <f t="shared" si="571"/>
        <v>2780.0000000000005</v>
      </c>
      <c r="BT168" s="144" t="str">
        <f t="shared" si="572"/>
        <v>Positive Margin at Inception</v>
      </c>
      <c r="BU168" s="145">
        <f t="shared" si="573"/>
        <v>0.90909090909090906</v>
      </c>
      <c r="BV168" s="144" t="str">
        <f t="shared" si="574"/>
        <v>More than 2%</v>
      </c>
      <c r="BW168" s="125">
        <f t="shared" si="575"/>
        <v>0</v>
      </c>
      <c r="BX168" s="126">
        <f t="shared" si="576"/>
        <v>0</v>
      </c>
      <c r="BY168" s="125">
        <f t="shared" si="577"/>
        <v>0</v>
      </c>
      <c r="BZ168" s="146">
        <f t="shared" si="578"/>
        <v>0</v>
      </c>
      <c r="CA168" s="146">
        <f t="shared" si="579"/>
        <v>0</v>
      </c>
      <c r="CB168" s="127">
        <f t="shared" si="580"/>
        <v>0</v>
      </c>
      <c r="CC168" s="146" t="s">
        <v>397</v>
      </c>
      <c r="CD168" s="127">
        <v>0</v>
      </c>
      <c r="CE168" s="127" t="str">
        <f t="shared" si="581"/>
        <v>Jun-26</v>
      </c>
      <c r="CF168" s="127">
        <f t="shared" si="582"/>
        <v>278</v>
      </c>
      <c r="CG168" s="127">
        <f t="shared" si="583"/>
        <v>3058.0000000000005</v>
      </c>
      <c r="CH168" s="127">
        <f t="shared" si="584"/>
        <v>9</v>
      </c>
      <c r="CI168" s="147" t="str">
        <f t="shared" si="585"/>
        <v>BG AHD</v>
      </c>
      <c r="CJ168" s="127">
        <v>0</v>
      </c>
      <c r="CK168" s="127">
        <v>0</v>
      </c>
      <c r="CL168" s="127">
        <f t="shared" si="586"/>
        <v>2780.0000000000005</v>
      </c>
      <c r="CM168" s="127">
        <f t="shared" si="587"/>
        <v>2780.0000000000005</v>
      </c>
      <c r="CN168" s="127">
        <f t="shared" si="588"/>
        <v>2780.0000000000005</v>
      </c>
      <c r="CO168" s="127">
        <f t="shared" si="589"/>
        <v>3608.4400000000005</v>
      </c>
      <c r="CP168" s="127">
        <f t="shared" si="590"/>
        <v>-328.03999999999996</v>
      </c>
      <c r="CQ168" s="127">
        <f t="shared" si="591"/>
        <v>0</v>
      </c>
      <c r="CR168" s="127">
        <f t="shared" si="592"/>
        <v>0</v>
      </c>
      <c r="CS168" s="127">
        <f t="shared" si="593"/>
        <v>3280.4000000000005</v>
      </c>
      <c r="CT168" s="127" t="s">
        <v>361</v>
      </c>
      <c r="CU168" s="127" t="s">
        <v>361</v>
      </c>
      <c r="CV168" s="142" t="str">
        <f t="shared" si="594"/>
        <v>AAMCB5608A</v>
      </c>
      <c r="CW168" s="142" t="str">
        <f t="shared" si="595"/>
        <v>BJHPB3107J</v>
      </c>
    </row>
    <row r="169" spans="2:101" s="149" customFormat="1" ht="11.85" customHeight="1" x14ac:dyDescent="0.25">
      <c r="B169" s="120" t="str">
        <f t="shared" si="557"/>
        <v>Q1</v>
      </c>
      <c r="C169" s="121" t="str">
        <f t="shared" si="558"/>
        <v>Jun-26</v>
      </c>
      <c r="D169" s="122">
        <v>46175</v>
      </c>
      <c r="E169" s="123" t="s">
        <v>3787</v>
      </c>
      <c r="F169" s="123" t="s">
        <v>196</v>
      </c>
      <c r="G169" s="123" t="s">
        <v>198</v>
      </c>
      <c r="H169" s="124" t="s">
        <v>3788</v>
      </c>
      <c r="I169" s="122">
        <v>46175</v>
      </c>
      <c r="J169" s="123" t="s">
        <v>3789</v>
      </c>
      <c r="K169" s="122">
        <v>46175</v>
      </c>
      <c r="L169" s="123" t="s">
        <v>199</v>
      </c>
      <c r="M169" s="123" t="s">
        <v>2331</v>
      </c>
      <c r="N169" s="124" t="s">
        <v>243</v>
      </c>
      <c r="O169" s="123">
        <v>52</v>
      </c>
      <c r="P169" s="124">
        <v>60</v>
      </c>
      <c r="Q169" s="125">
        <f t="shared" si="559"/>
        <v>3120</v>
      </c>
      <c r="R169" s="126">
        <v>0</v>
      </c>
      <c r="S169" s="125">
        <f t="shared" si="560"/>
        <v>52</v>
      </c>
      <c r="T169" s="126">
        <v>0</v>
      </c>
      <c r="U169" s="127">
        <v>0</v>
      </c>
      <c r="V169" s="128">
        <v>0</v>
      </c>
      <c r="W169" s="127">
        <v>0</v>
      </c>
      <c r="X169" s="129">
        <v>0</v>
      </c>
      <c r="Y169" s="127">
        <v>0</v>
      </c>
      <c r="Z169" s="127">
        <v>0</v>
      </c>
      <c r="AA169" s="126">
        <v>0</v>
      </c>
      <c r="AB169" s="130">
        <f t="shared" si="561"/>
        <v>0</v>
      </c>
      <c r="AC169" s="129">
        <v>0</v>
      </c>
      <c r="AD169" s="125">
        <f t="shared" si="562"/>
        <v>60</v>
      </c>
      <c r="AE169" s="144">
        <v>0</v>
      </c>
      <c r="AF169" s="127">
        <v>0</v>
      </c>
      <c r="AG169" s="131">
        <v>0</v>
      </c>
      <c r="AH169" s="127">
        <v>0</v>
      </c>
      <c r="AI169" s="128">
        <v>0</v>
      </c>
      <c r="AJ169" s="127">
        <v>0</v>
      </c>
      <c r="AK169" s="127">
        <v>0</v>
      </c>
      <c r="AL169" s="127">
        <v>0</v>
      </c>
      <c r="AM169" s="132">
        <f t="shared" si="563"/>
        <v>3120</v>
      </c>
      <c r="AN169" s="133">
        <v>46175</v>
      </c>
      <c r="AO169" s="134" t="s">
        <v>3928</v>
      </c>
      <c r="AP169" s="135" t="s">
        <v>234</v>
      </c>
      <c r="AQ169" s="136" t="s">
        <v>235</v>
      </c>
      <c r="AR169" s="136" t="s">
        <v>236</v>
      </c>
      <c r="AS169" s="123" t="s">
        <v>237</v>
      </c>
      <c r="AT169" s="137" t="s">
        <v>238</v>
      </c>
      <c r="AU169" s="137" t="s">
        <v>197</v>
      </c>
      <c r="AV169" s="138" t="s">
        <v>329</v>
      </c>
      <c r="AW169" s="136">
        <v>52</v>
      </c>
      <c r="AX169" s="138">
        <v>80</v>
      </c>
      <c r="AY169" s="136">
        <f t="shared" si="564"/>
        <v>4160</v>
      </c>
      <c r="AZ169" s="139" t="b">
        <f t="shared" si="565"/>
        <v>1</v>
      </c>
      <c r="BA169" s="125">
        <v>0</v>
      </c>
      <c r="BB169" s="140">
        <f t="shared" si="566"/>
        <v>52</v>
      </c>
      <c r="BC169" s="141">
        <v>0</v>
      </c>
      <c r="BD169" s="140" t="s">
        <v>107</v>
      </c>
      <c r="BE169" s="141">
        <v>0</v>
      </c>
      <c r="BF169" s="140">
        <v>0</v>
      </c>
      <c r="BG169" s="141">
        <v>0</v>
      </c>
      <c r="BH169" s="127">
        <v>0</v>
      </c>
      <c r="BI169" s="130">
        <v>0</v>
      </c>
      <c r="BJ169" s="128">
        <v>0</v>
      </c>
      <c r="BK169" s="125">
        <v>0</v>
      </c>
      <c r="BL169" s="136">
        <v>0</v>
      </c>
      <c r="BM169" s="127">
        <v>0</v>
      </c>
      <c r="BN169" s="142">
        <f t="shared" si="567"/>
        <v>0</v>
      </c>
      <c r="BO169" s="126">
        <f t="shared" si="568"/>
        <v>4160</v>
      </c>
      <c r="BP169" s="132">
        <f t="shared" si="569"/>
        <v>1040</v>
      </c>
      <c r="BQ169" s="141" t="str">
        <f t="shared" si="570"/>
        <v>Positive Margin</v>
      </c>
      <c r="BR169" s="143" t="s">
        <v>119</v>
      </c>
      <c r="BS169" s="125">
        <f t="shared" si="571"/>
        <v>1040</v>
      </c>
      <c r="BT169" s="144" t="str">
        <f t="shared" si="572"/>
        <v>Positive Margin at Inception</v>
      </c>
      <c r="BU169" s="145">
        <f t="shared" si="573"/>
        <v>0.25</v>
      </c>
      <c r="BV169" s="144" t="str">
        <f t="shared" si="574"/>
        <v>More than 2%</v>
      </c>
      <c r="BW169" s="125">
        <f t="shared" si="575"/>
        <v>0</v>
      </c>
      <c r="BX169" s="126">
        <f t="shared" si="576"/>
        <v>0</v>
      </c>
      <c r="BY169" s="125">
        <f t="shared" si="577"/>
        <v>0</v>
      </c>
      <c r="BZ169" s="146">
        <f t="shared" si="578"/>
        <v>0</v>
      </c>
      <c r="CA169" s="146">
        <f t="shared" si="579"/>
        <v>0</v>
      </c>
      <c r="CB169" s="127">
        <f t="shared" si="580"/>
        <v>0</v>
      </c>
      <c r="CC169" s="146" t="s">
        <v>397</v>
      </c>
      <c r="CD169" s="127">
        <v>0</v>
      </c>
      <c r="CE169" s="127" t="str">
        <f t="shared" si="581"/>
        <v>Jun-26</v>
      </c>
      <c r="CF169" s="127">
        <f t="shared" si="582"/>
        <v>3120</v>
      </c>
      <c r="CG169" s="127">
        <f t="shared" si="583"/>
        <v>4160</v>
      </c>
      <c r="CH169" s="127">
        <f t="shared" si="584"/>
        <v>9</v>
      </c>
      <c r="CI169" s="147" t="str">
        <f t="shared" si="585"/>
        <v>BG AHD</v>
      </c>
      <c r="CJ169" s="127">
        <v>0</v>
      </c>
      <c r="CK169" s="127">
        <v>0</v>
      </c>
      <c r="CL169" s="127">
        <f t="shared" si="586"/>
        <v>1040</v>
      </c>
      <c r="CM169" s="127">
        <f t="shared" si="587"/>
        <v>1040</v>
      </c>
      <c r="CN169" s="127">
        <f t="shared" si="588"/>
        <v>1040</v>
      </c>
      <c r="CO169" s="127">
        <f t="shared" si="589"/>
        <v>4908.8</v>
      </c>
      <c r="CP169" s="127">
        <f t="shared" si="590"/>
        <v>-3681.6</v>
      </c>
      <c r="CQ169" s="127">
        <f t="shared" si="591"/>
        <v>0</v>
      </c>
      <c r="CR169" s="127">
        <f t="shared" si="592"/>
        <v>0</v>
      </c>
      <c r="CS169" s="127">
        <f t="shared" si="593"/>
        <v>1227.2000000000003</v>
      </c>
      <c r="CT169" s="127" t="s">
        <v>361</v>
      </c>
      <c r="CU169" s="127" t="s">
        <v>361</v>
      </c>
      <c r="CV169" s="142" t="str">
        <f t="shared" si="594"/>
        <v>AAMCB5608A</v>
      </c>
      <c r="CW169" s="142" t="str">
        <f t="shared" si="595"/>
        <v>BJHPB3107J</v>
      </c>
    </row>
    <row r="170" spans="2:101" s="149" customFormat="1" ht="11.85" customHeight="1" x14ac:dyDescent="0.25">
      <c r="B170" s="120" t="str">
        <f t="shared" si="557"/>
        <v>Q1</v>
      </c>
      <c r="C170" s="121" t="str">
        <f t="shared" si="558"/>
        <v>Jun-26</v>
      </c>
      <c r="D170" s="122">
        <v>46175</v>
      </c>
      <c r="E170" s="123" t="s">
        <v>3790</v>
      </c>
      <c r="F170" s="123" t="s">
        <v>196</v>
      </c>
      <c r="G170" s="123" t="s">
        <v>198</v>
      </c>
      <c r="H170" s="124" t="s">
        <v>3791</v>
      </c>
      <c r="I170" s="122">
        <v>46175</v>
      </c>
      <c r="J170" s="123" t="s">
        <v>3792</v>
      </c>
      <c r="K170" s="122">
        <v>46175</v>
      </c>
      <c r="L170" s="123" t="s">
        <v>199</v>
      </c>
      <c r="M170" s="123" t="s">
        <v>3462</v>
      </c>
      <c r="N170" s="124" t="s">
        <v>241</v>
      </c>
      <c r="O170" s="123">
        <v>1460</v>
      </c>
      <c r="P170" s="124">
        <v>30</v>
      </c>
      <c r="Q170" s="125">
        <f t="shared" si="559"/>
        <v>43800</v>
      </c>
      <c r="R170" s="126">
        <v>0</v>
      </c>
      <c r="S170" s="125">
        <f t="shared" si="560"/>
        <v>1460</v>
      </c>
      <c r="T170" s="126">
        <v>0</v>
      </c>
      <c r="U170" s="127">
        <v>0</v>
      </c>
      <c r="V170" s="128">
        <v>0</v>
      </c>
      <c r="W170" s="127">
        <v>0</v>
      </c>
      <c r="X170" s="129">
        <v>0</v>
      </c>
      <c r="Y170" s="127">
        <v>0</v>
      </c>
      <c r="Z170" s="127">
        <v>0</v>
      </c>
      <c r="AA170" s="126">
        <v>0</v>
      </c>
      <c r="AB170" s="130">
        <f t="shared" si="561"/>
        <v>0</v>
      </c>
      <c r="AC170" s="129">
        <v>0</v>
      </c>
      <c r="AD170" s="125">
        <f t="shared" si="562"/>
        <v>30</v>
      </c>
      <c r="AE170" s="144">
        <v>0</v>
      </c>
      <c r="AF170" s="127">
        <v>0</v>
      </c>
      <c r="AG170" s="131">
        <v>0</v>
      </c>
      <c r="AH170" s="127">
        <v>0</v>
      </c>
      <c r="AI170" s="128">
        <v>0</v>
      </c>
      <c r="AJ170" s="127">
        <v>0</v>
      </c>
      <c r="AK170" s="127">
        <v>0</v>
      </c>
      <c r="AL170" s="127">
        <v>0</v>
      </c>
      <c r="AM170" s="132">
        <f t="shared" si="563"/>
        <v>43800</v>
      </c>
      <c r="AN170" s="133">
        <v>46175</v>
      </c>
      <c r="AO170" s="134" t="s">
        <v>3926</v>
      </c>
      <c r="AP170" s="135" t="s">
        <v>234</v>
      </c>
      <c r="AQ170" s="136" t="s">
        <v>235</v>
      </c>
      <c r="AR170" s="136" t="s">
        <v>236</v>
      </c>
      <c r="AS170" s="123" t="s">
        <v>2006</v>
      </c>
      <c r="AT170" s="137" t="s">
        <v>238</v>
      </c>
      <c r="AU170" s="137" t="s">
        <v>197</v>
      </c>
      <c r="AV170" s="138" t="s">
        <v>329</v>
      </c>
      <c r="AW170" s="136">
        <v>1460</v>
      </c>
      <c r="AX170" s="138">
        <v>35</v>
      </c>
      <c r="AY170" s="136">
        <f t="shared" si="564"/>
        <v>51100</v>
      </c>
      <c r="AZ170" s="139" t="b">
        <f t="shared" si="565"/>
        <v>1</v>
      </c>
      <c r="BA170" s="125">
        <v>0</v>
      </c>
      <c r="BB170" s="140">
        <f t="shared" si="566"/>
        <v>1460</v>
      </c>
      <c r="BC170" s="141">
        <v>0</v>
      </c>
      <c r="BD170" s="140" t="s">
        <v>107</v>
      </c>
      <c r="BE170" s="141">
        <v>0</v>
      </c>
      <c r="BF170" s="140">
        <v>0</v>
      </c>
      <c r="BG170" s="141">
        <v>0</v>
      </c>
      <c r="BH170" s="127">
        <v>0</v>
      </c>
      <c r="BI170" s="130">
        <v>0</v>
      </c>
      <c r="BJ170" s="128">
        <v>0</v>
      </c>
      <c r="BK170" s="125">
        <v>0</v>
      </c>
      <c r="BL170" s="136">
        <v>0</v>
      </c>
      <c r="BM170" s="127">
        <v>0</v>
      </c>
      <c r="BN170" s="142">
        <f t="shared" si="567"/>
        <v>0</v>
      </c>
      <c r="BO170" s="126">
        <f t="shared" si="568"/>
        <v>51100</v>
      </c>
      <c r="BP170" s="132">
        <f t="shared" si="569"/>
        <v>7300</v>
      </c>
      <c r="BQ170" s="141" t="str">
        <f t="shared" si="570"/>
        <v>Positive Margin</v>
      </c>
      <c r="BR170" s="143" t="s">
        <v>119</v>
      </c>
      <c r="BS170" s="125">
        <f t="shared" si="571"/>
        <v>7300</v>
      </c>
      <c r="BT170" s="144" t="str">
        <f t="shared" si="572"/>
        <v>Positive Margin at Inception</v>
      </c>
      <c r="BU170" s="145">
        <f t="shared" si="573"/>
        <v>0.14285714285714285</v>
      </c>
      <c r="BV170" s="144" t="str">
        <f t="shared" si="574"/>
        <v>More than 2%</v>
      </c>
      <c r="BW170" s="125">
        <f t="shared" si="575"/>
        <v>0</v>
      </c>
      <c r="BX170" s="126">
        <f t="shared" si="576"/>
        <v>0</v>
      </c>
      <c r="BY170" s="125">
        <f t="shared" si="577"/>
        <v>0</v>
      </c>
      <c r="BZ170" s="146">
        <f t="shared" si="578"/>
        <v>0</v>
      </c>
      <c r="CA170" s="146">
        <f t="shared" si="579"/>
        <v>0</v>
      </c>
      <c r="CB170" s="127">
        <f t="shared" si="580"/>
        <v>0</v>
      </c>
      <c r="CC170" s="146" t="s">
        <v>397</v>
      </c>
      <c r="CD170" s="127">
        <v>0</v>
      </c>
      <c r="CE170" s="127" t="str">
        <f t="shared" si="581"/>
        <v>Jun-26</v>
      </c>
      <c r="CF170" s="127">
        <f t="shared" si="582"/>
        <v>43800</v>
      </c>
      <c r="CG170" s="127">
        <f t="shared" si="583"/>
        <v>51100</v>
      </c>
      <c r="CH170" s="127">
        <f t="shared" si="584"/>
        <v>9</v>
      </c>
      <c r="CI170" s="147" t="str">
        <f t="shared" si="585"/>
        <v>BG AHD</v>
      </c>
      <c r="CJ170" s="127">
        <v>0</v>
      </c>
      <c r="CK170" s="127">
        <v>0</v>
      </c>
      <c r="CL170" s="127">
        <f t="shared" si="586"/>
        <v>7300</v>
      </c>
      <c r="CM170" s="127">
        <f t="shared" si="587"/>
        <v>7300</v>
      </c>
      <c r="CN170" s="127">
        <f t="shared" si="588"/>
        <v>7300</v>
      </c>
      <c r="CO170" s="127">
        <f t="shared" si="589"/>
        <v>60298</v>
      </c>
      <c r="CP170" s="127">
        <f t="shared" si="590"/>
        <v>-51684</v>
      </c>
      <c r="CQ170" s="127">
        <f t="shared" si="591"/>
        <v>0</v>
      </c>
      <c r="CR170" s="127">
        <f t="shared" si="592"/>
        <v>0</v>
      </c>
      <c r="CS170" s="127">
        <f t="shared" si="593"/>
        <v>8614</v>
      </c>
      <c r="CT170" s="127" t="s">
        <v>361</v>
      </c>
      <c r="CU170" s="127" t="s">
        <v>361</v>
      </c>
      <c r="CV170" s="142" t="str">
        <f t="shared" si="594"/>
        <v>AAMCB5608A</v>
      </c>
      <c r="CW170" s="142" t="str">
        <f t="shared" si="595"/>
        <v>BJHPB3107J</v>
      </c>
    </row>
    <row r="171" spans="2:101" s="149" customFormat="1" ht="11.85" customHeight="1" x14ac:dyDescent="0.25">
      <c r="B171" s="120" t="str">
        <f t="shared" si="557"/>
        <v>Q1</v>
      </c>
      <c r="C171" s="121" t="str">
        <f t="shared" si="558"/>
        <v>Jun-26</v>
      </c>
      <c r="D171" s="122">
        <v>46176</v>
      </c>
      <c r="E171" s="123" t="s">
        <v>3793</v>
      </c>
      <c r="F171" s="123" t="s">
        <v>196</v>
      </c>
      <c r="G171" s="123" t="s">
        <v>198</v>
      </c>
      <c r="H171" s="124" t="s">
        <v>3794</v>
      </c>
      <c r="I171" s="122">
        <v>46176</v>
      </c>
      <c r="J171" s="123" t="s">
        <v>3795</v>
      </c>
      <c r="K171" s="122">
        <v>46176</v>
      </c>
      <c r="L171" s="123" t="s">
        <v>199</v>
      </c>
      <c r="M171" s="123" t="s">
        <v>3150</v>
      </c>
      <c r="N171" s="124" t="s">
        <v>204</v>
      </c>
      <c r="O171" s="123">
        <v>7630</v>
      </c>
      <c r="P171" s="124">
        <v>10</v>
      </c>
      <c r="Q171" s="125">
        <f t="shared" si="559"/>
        <v>76300</v>
      </c>
      <c r="R171" s="126">
        <v>0</v>
      </c>
      <c r="S171" s="125">
        <f t="shared" si="560"/>
        <v>7630</v>
      </c>
      <c r="T171" s="126">
        <v>0</v>
      </c>
      <c r="U171" s="127">
        <v>0</v>
      </c>
      <c r="V171" s="128">
        <v>0</v>
      </c>
      <c r="W171" s="127">
        <v>0</v>
      </c>
      <c r="X171" s="129">
        <v>0</v>
      </c>
      <c r="Y171" s="127">
        <v>0</v>
      </c>
      <c r="Z171" s="127">
        <v>0</v>
      </c>
      <c r="AA171" s="126">
        <v>0</v>
      </c>
      <c r="AB171" s="130">
        <f t="shared" si="561"/>
        <v>0</v>
      </c>
      <c r="AC171" s="129">
        <v>0</v>
      </c>
      <c r="AD171" s="125">
        <f t="shared" si="562"/>
        <v>10</v>
      </c>
      <c r="AE171" s="144">
        <v>0</v>
      </c>
      <c r="AF171" s="127">
        <v>0</v>
      </c>
      <c r="AG171" s="131">
        <v>0</v>
      </c>
      <c r="AH171" s="127">
        <v>0</v>
      </c>
      <c r="AI171" s="128">
        <v>0</v>
      </c>
      <c r="AJ171" s="127">
        <v>0</v>
      </c>
      <c r="AK171" s="127">
        <v>0</v>
      </c>
      <c r="AL171" s="127">
        <v>0</v>
      </c>
      <c r="AM171" s="132">
        <f t="shared" si="563"/>
        <v>76300</v>
      </c>
      <c r="AN171" s="133">
        <v>46176</v>
      </c>
      <c r="AO171" s="134" t="s">
        <v>3943</v>
      </c>
      <c r="AP171" s="135" t="s">
        <v>234</v>
      </c>
      <c r="AQ171" s="136" t="s">
        <v>235</v>
      </c>
      <c r="AR171" s="136" t="s">
        <v>236</v>
      </c>
      <c r="AS171" s="123" t="s">
        <v>239</v>
      </c>
      <c r="AT171" s="137" t="s">
        <v>238</v>
      </c>
      <c r="AU171" s="137" t="s">
        <v>197</v>
      </c>
      <c r="AV171" s="138" t="s">
        <v>329</v>
      </c>
      <c r="AW171" s="136">
        <v>7630</v>
      </c>
      <c r="AX171" s="138">
        <v>12</v>
      </c>
      <c r="AY171" s="136">
        <f t="shared" si="564"/>
        <v>91560</v>
      </c>
      <c r="AZ171" s="139" t="b">
        <f t="shared" si="565"/>
        <v>1</v>
      </c>
      <c r="BA171" s="125">
        <v>0</v>
      </c>
      <c r="BB171" s="140">
        <f t="shared" si="566"/>
        <v>7630</v>
      </c>
      <c r="BC171" s="141">
        <v>0</v>
      </c>
      <c r="BD171" s="140" t="s">
        <v>107</v>
      </c>
      <c r="BE171" s="141">
        <v>0</v>
      </c>
      <c r="BF171" s="140">
        <v>0</v>
      </c>
      <c r="BG171" s="141">
        <v>0</v>
      </c>
      <c r="BH171" s="127">
        <v>0</v>
      </c>
      <c r="BI171" s="130">
        <v>0</v>
      </c>
      <c r="BJ171" s="128">
        <v>0</v>
      </c>
      <c r="BK171" s="125">
        <v>0</v>
      </c>
      <c r="BL171" s="136">
        <v>0</v>
      </c>
      <c r="BM171" s="127">
        <v>0</v>
      </c>
      <c r="BN171" s="142">
        <f t="shared" si="567"/>
        <v>0</v>
      </c>
      <c r="BO171" s="126">
        <f t="shared" si="568"/>
        <v>91560</v>
      </c>
      <c r="BP171" s="132">
        <f t="shared" si="569"/>
        <v>15260</v>
      </c>
      <c r="BQ171" s="141" t="str">
        <f t="shared" si="570"/>
        <v>Positive Margin</v>
      </c>
      <c r="BR171" s="143" t="s">
        <v>119</v>
      </c>
      <c r="BS171" s="125">
        <f t="shared" si="571"/>
        <v>15260</v>
      </c>
      <c r="BT171" s="144" t="str">
        <f t="shared" si="572"/>
        <v>Positive Margin at Inception</v>
      </c>
      <c r="BU171" s="145">
        <f t="shared" si="573"/>
        <v>0.16666666666666666</v>
      </c>
      <c r="BV171" s="144" t="str">
        <f t="shared" si="574"/>
        <v>More than 2%</v>
      </c>
      <c r="BW171" s="125">
        <f t="shared" si="575"/>
        <v>0</v>
      </c>
      <c r="BX171" s="126">
        <f t="shared" si="576"/>
        <v>0</v>
      </c>
      <c r="BY171" s="125">
        <f t="shared" si="577"/>
        <v>0</v>
      </c>
      <c r="BZ171" s="146">
        <f t="shared" si="578"/>
        <v>0</v>
      </c>
      <c r="CA171" s="146">
        <f t="shared" si="579"/>
        <v>0</v>
      </c>
      <c r="CB171" s="127">
        <f t="shared" si="580"/>
        <v>0</v>
      </c>
      <c r="CC171" s="146" t="s">
        <v>397</v>
      </c>
      <c r="CD171" s="127">
        <v>0</v>
      </c>
      <c r="CE171" s="127" t="str">
        <f t="shared" si="581"/>
        <v>Jun-26</v>
      </c>
      <c r="CF171" s="127">
        <f t="shared" si="582"/>
        <v>76300</v>
      </c>
      <c r="CG171" s="127">
        <f t="shared" si="583"/>
        <v>91560</v>
      </c>
      <c r="CH171" s="127">
        <f t="shared" si="584"/>
        <v>10</v>
      </c>
      <c r="CI171" s="147" t="str">
        <f t="shared" si="585"/>
        <v>BG AHD</v>
      </c>
      <c r="CJ171" s="127">
        <v>0</v>
      </c>
      <c r="CK171" s="127">
        <v>0</v>
      </c>
      <c r="CL171" s="127">
        <f t="shared" si="586"/>
        <v>15260</v>
      </c>
      <c r="CM171" s="127">
        <f t="shared" si="587"/>
        <v>15260</v>
      </c>
      <c r="CN171" s="127">
        <f t="shared" si="588"/>
        <v>15260</v>
      </c>
      <c r="CO171" s="127">
        <f t="shared" si="589"/>
        <v>108040.79999999999</v>
      </c>
      <c r="CP171" s="127">
        <f t="shared" si="590"/>
        <v>-90034</v>
      </c>
      <c r="CQ171" s="127">
        <f t="shared" si="591"/>
        <v>0</v>
      </c>
      <c r="CR171" s="127">
        <f t="shared" si="592"/>
        <v>0</v>
      </c>
      <c r="CS171" s="127">
        <f t="shared" si="593"/>
        <v>18006.799999999988</v>
      </c>
      <c r="CT171" s="127" t="s">
        <v>361</v>
      </c>
      <c r="CU171" s="127" t="s">
        <v>361</v>
      </c>
      <c r="CV171" s="142" t="str">
        <f t="shared" si="594"/>
        <v>AAMCB5608A</v>
      </c>
      <c r="CW171" s="142" t="str">
        <f t="shared" si="595"/>
        <v>BJHPB3107J</v>
      </c>
    </row>
    <row r="172" spans="2:101" s="149" customFormat="1" ht="11.85" customHeight="1" x14ac:dyDescent="0.25">
      <c r="B172" s="120" t="str">
        <f t="shared" si="557"/>
        <v>Q1</v>
      </c>
      <c r="C172" s="121" t="str">
        <f t="shared" si="558"/>
        <v>Jun-26</v>
      </c>
      <c r="D172" s="122">
        <v>46177</v>
      </c>
      <c r="E172" s="123" t="s">
        <v>3796</v>
      </c>
      <c r="F172" s="123" t="s">
        <v>196</v>
      </c>
      <c r="G172" s="123" t="s">
        <v>198</v>
      </c>
      <c r="H172" s="124" t="s">
        <v>3797</v>
      </c>
      <c r="I172" s="122">
        <v>46177</v>
      </c>
      <c r="J172" s="123" t="s">
        <v>3798</v>
      </c>
      <c r="K172" s="122">
        <v>46178</v>
      </c>
      <c r="L172" s="123" t="s">
        <v>199</v>
      </c>
      <c r="M172" s="123" t="s">
        <v>2331</v>
      </c>
      <c r="N172" s="124" t="s">
        <v>3382</v>
      </c>
      <c r="O172" s="123">
        <v>1730</v>
      </c>
      <c r="P172" s="124">
        <v>82</v>
      </c>
      <c r="Q172" s="125">
        <f t="shared" si="559"/>
        <v>141860</v>
      </c>
      <c r="R172" s="126">
        <v>0</v>
      </c>
      <c r="S172" s="125">
        <f t="shared" si="560"/>
        <v>1730</v>
      </c>
      <c r="T172" s="126">
        <v>0</v>
      </c>
      <c r="U172" s="127">
        <v>0</v>
      </c>
      <c r="V172" s="128">
        <v>0</v>
      </c>
      <c r="W172" s="127">
        <v>0</v>
      </c>
      <c r="X172" s="129">
        <v>0</v>
      </c>
      <c r="Y172" s="127">
        <v>0</v>
      </c>
      <c r="Z172" s="127">
        <v>0</v>
      </c>
      <c r="AA172" s="126">
        <v>0</v>
      </c>
      <c r="AB172" s="130">
        <f t="shared" si="561"/>
        <v>0</v>
      </c>
      <c r="AC172" s="129">
        <v>0</v>
      </c>
      <c r="AD172" s="125">
        <f t="shared" si="562"/>
        <v>82</v>
      </c>
      <c r="AE172" s="144">
        <v>0</v>
      </c>
      <c r="AF172" s="127">
        <v>0</v>
      </c>
      <c r="AG172" s="131">
        <v>0</v>
      </c>
      <c r="AH172" s="127">
        <v>0</v>
      </c>
      <c r="AI172" s="128">
        <v>0</v>
      </c>
      <c r="AJ172" s="127">
        <v>0</v>
      </c>
      <c r="AK172" s="127">
        <v>0</v>
      </c>
      <c r="AL172" s="127">
        <v>0</v>
      </c>
      <c r="AM172" s="132">
        <f t="shared" si="563"/>
        <v>141860</v>
      </c>
      <c r="AN172" s="133">
        <v>46177</v>
      </c>
      <c r="AO172" s="134" t="s">
        <v>3933</v>
      </c>
      <c r="AP172" s="135" t="s">
        <v>234</v>
      </c>
      <c r="AQ172" s="136" t="s">
        <v>235</v>
      </c>
      <c r="AR172" s="136" t="s">
        <v>236</v>
      </c>
      <c r="AS172" s="123" t="s">
        <v>237</v>
      </c>
      <c r="AT172" s="137" t="s">
        <v>238</v>
      </c>
      <c r="AU172" s="137" t="s">
        <v>197</v>
      </c>
      <c r="AV172" s="138" t="s">
        <v>329</v>
      </c>
      <c r="AW172" s="136">
        <v>1730</v>
      </c>
      <c r="AX172" s="138">
        <v>87</v>
      </c>
      <c r="AY172" s="136">
        <f t="shared" si="564"/>
        <v>150510</v>
      </c>
      <c r="AZ172" s="139" t="b">
        <f t="shared" si="565"/>
        <v>1</v>
      </c>
      <c r="BA172" s="125">
        <v>0</v>
      </c>
      <c r="BB172" s="140">
        <f t="shared" si="566"/>
        <v>1730</v>
      </c>
      <c r="BC172" s="141">
        <v>0</v>
      </c>
      <c r="BD172" s="140" t="s">
        <v>107</v>
      </c>
      <c r="BE172" s="141">
        <v>0</v>
      </c>
      <c r="BF172" s="140">
        <v>0</v>
      </c>
      <c r="BG172" s="141">
        <v>0</v>
      </c>
      <c r="BH172" s="127">
        <v>0</v>
      </c>
      <c r="BI172" s="130">
        <v>0</v>
      </c>
      <c r="BJ172" s="128">
        <v>0</v>
      </c>
      <c r="BK172" s="125">
        <v>0</v>
      </c>
      <c r="BL172" s="136">
        <v>0</v>
      </c>
      <c r="BM172" s="127">
        <v>0</v>
      </c>
      <c r="BN172" s="142">
        <f t="shared" si="567"/>
        <v>0</v>
      </c>
      <c r="BO172" s="126">
        <f t="shared" si="568"/>
        <v>150510</v>
      </c>
      <c r="BP172" s="132">
        <f t="shared" si="569"/>
        <v>8650</v>
      </c>
      <c r="BQ172" s="141" t="str">
        <f t="shared" si="570"/>
        <v>Positive Margin</v>
      </c>
      <c r="BR172" s="143" t="s">
        <v>119</v>
      </c>
      <c r="BS172" s="125">
        <f t="shared" si="571"/>
        <v>8650</v>
      </c>
      <c r="BT172" s="144" t="str">
        <f t="shared" si="572"/>
        <v>Positive Margin at Inception</v>
      </c>
      <c r="BU172" s="145">
        <f t="shared" si="573"/>
        <v>5.7471264367816091E-2</v>
      </c>
      <c r="BV172" s="144" t="str">
        <f t="shared" si="574"/>
        <v>More than 2%</v>
      </c>
      <c r="BW172" s="125">
        <f t="shared" si="575"/>
        <v>0</v>
      </c>
      <c r="BX172" s="126">
        <f t="shared" si="576"/>
        <v>0</v>
      </c>
      <c r="BY172" s="125">
        <f t="shared" si="577"/>
        <v>0</v>
      </c>
      <c r="BZ172" s="146">
        <f t="shared" si="578"/>
        <v>0</v>
      </c>
      <c r="CA172" s="146">
        <f t="shared" si="579"/>
        <v>0</v>
      </c>
      <c r="CB172" s="127">
        <f t="shared" si="580"/>
        <v>0</v>
      </c>
      <c r="CC172" s="146" t="s">
        <v>397</v>
      </c>
      <c r="CD172" s="127">
        <v>0</v>
      </c>
      <c r="CE172" s="127" t="str">
        <f t="shared" si="581"/>
        <v>Jun-26</v>
      </c>
      <c r="CF172" s="127">
        <f t="shared" si="582"/>
        <v>141860</v>
      </c>
      <c r="CG172" s="127">
        <f t="shared" si="583"/>
        <v>150510</v>
      </c>
      <c r="CH172" s="127">
        <f t="shared" si="584"/>
        <v>10</v>
      </c>
      <c r="CI172" s="147" t="str">
        <f t="shared" si="585"/>
        <v>BG AHD</v>
      </c>
      <c r="CJ172" s="127">
        <v>0</v>
      </c>
      <c r="CK172" s="127">
        <v>0</v>
      </c>
      <c r="CL172" s="127">
        <f t="shared" si="586"/>
        <v>8650</v>
      </c>
      <c r="CM172" s="127">
        <f t="shared" si="587"/>
        <v>8650</v>
      </c>
      <c r="CN172" s="127">
        <f t="shared" si="588"/>
        <v>8650</v>
      </c>
      <c r="CO172" s="127">
        <f t="shared" si="589"/>
        <v>177601.8</v>
      </c>
      <c r="CP172" s="127">
        <f t="shared" si="590"/>
        <v>-167394.79999999999</v>
      </c>
      <c r="CQ172" s="127">
        <f t="shared" si="591"/>
        <v>0</v>
      </c>
      <c r="CR172" s="127">
        <f t="shared" si="592"/>
        <v>0</v>
      </c>
      <c r="CS172" s="127">
        <f t="shared" si="593"/>
        <v>10207</v>
      </c>
      <c r="CT172" s="127" t="s">
        <v>361</v>
      </c>
      <c r="CU172" s="127" t="s">
        <v>361</v>
      </c>
      <c r="CV172" s="142" t="str">
        <f t="shared" si="594"/>
        <v>AAMCB5608A</v>
      </c>
      <c r="CW172" s="142" t="str">
        <f t="shared" si="595"/>
        <v>BJHPB3107J</v>
      </c>
    </row>
    <row r="173" spans="2:101" s="149" customFormat="1" ht="11.85" customHeight="1" x14ac:dyDescent="0.25">
      <c r="B173" s="120" t="str">
        <f t="shared" si="557"/>
        <v>Q1</v>
      </c>
      <c r="C173" s="121" t="str">
        <f t="shared" si="558"/>
        <v>Jun-26</v>
      </c>
      <c r="D173" s="122">
        <v>46177</v>
      </c>
      <c r="E173" s="123" t="s">
        <v>3796</v>
      </c>
      <c r="F173" s="123" t="s">
        <v>196</v>
      </c>
      <c r="G173" s="123" t="s">
        <v>198</v>
      </c>
      <c r="H173" s="124" t="s">
        <v>3797</v>
      </c>
      <c r="I173" s="122">
        <v>46177</v>
      </c>
      <c r="J173" s="123" t="s">
        <v>3798</v>
      </c>
      <c r="K173" s="122">
        <v>46178</v>
      </c>
      <c r="L173" s="123" t="s">
        <v>199</v>
      </c>
      <c r="M173" s="123" t="s">
        <v>2331</v>
      </c>
      <c r="N173" s="124" t="s">
        <v>3799</v>
      </c>
      <c r="O173" s="123">
        <v>390</v>
      </c>
      <c r="P173" s="124">
        <v>108</v>
      </c>
      <c r="Q173" s="125">
        <f t="shared" si="559"/>
        <v>42120</v>
      </c>
      <c r="R173" s="126">
        <v>0</v>
      </c>
      <c r="S173" s="125">
        <f t="shared" si="560"/>
        <v>390</v>
      </c>
      <c r="T173" s="126">
        <v>0</v>
      </c>
      <c r="U173" s="127">
        <v>0</v>
      </c>
      <c r="V173" s="128">
        <v>0</v>
      </c>
      <c r="W173" s="127">
        <v>0</v>
      </c>
      <c r="X173" s="129">
        <v>0</v>
      </c>
      <c r="Y173" s="127">
        <v>0</v>
      </c>
      <c r="Z173" s="127">
        <v>0</v>
      </c>
      <c r="AA173" s="126">
        <v>0</v>
      </c>
      <c r="AB173" s="130">
        <f t="shared" si="561"/>
        <v>0</v>
      </c>
      <c r="AC173" s="129">
        <v>0</v>
      </c>
      <c r="AD173" s="125">
        <f t="shared" si="562"/>
        <v>108</v>
      </c>
      <c r="AE173" s="144">
        <v>0</v>
      </c>
      <c r="AF173" s="127">
        <v>0</v>
      </c>
      <c r="AG173" s="131">
        <v>0</v>
      </c>
      <c r="AH173" s="127">
        <v>0</v>
      </c>
      <c r="AI173" s="128">
        <v>0</v>
      </c>
      <c r="AJ173" s="127">
        <v>0</v>
      </c>
      <c r="AK173" s="127">
        <v>0</v>
      </c>
      <c r="AL173" s="127">
        <v>0</v>
      </c>
      <c r="AM173" s="132">
        <f t="shared" si="563"/>
        <v>42120</v>
      </c>
      <c r="AN173" s="133">
        <v>46177</v>
      </c>
      <c r="AO173" s="134" t="s">
        <v>3933</v>
      </c>
      <c r="AP173" s="135" t="s">
        <v>234</v>
      </c>
      <c r="AQ173" s="136" t="s">
        <v>235</v>
      </c>
      <c r="AR173" s="136" t="s">
        <v>236</v>
      </c>
      <c r="AS173" s="123" t="s">
        <v>237</v>
      </c>
      <c r="AT173" s="137" t="s">
        <v>238</v>
      </c>
      <c r="AU173" s="137" t="s">
        <v>197</v>
      </c>
      <c r="AV173" s="138" t="s">
        <v>329</v>
      </c>
      <c r="AW173" s="136">
        <v>390</v>
      </c>
      <c r="AX173" s="138">
        <v>120</v>
      </c>
      <c r="AY173" s="136">
        <f t="shared" si="564"/>
        <v>46800</v>
      </c>
      <c r="AZ173" s="139" t="b">
        <f t="shared" si="565"/>
        <v>1</v>
      </c>
      <c r="BA173" s="125">
        <v>0</v>
      </c>
      <c r="BB173" s="140">
        <f t="shared" si="566"/>
        <v>390</v>
      </c>
      <c r="BC173" s="141">
        <v>0</v>
      </c>
      <c r="BD173" s="140" t="s">
        <v>107</v>
      </c>
      <c r="BE173" s="141">
        <v>0</v>
      </c>
      <c r="BF173" s="140">
        <v>0</v>
      </c>
      <c r="BG173" s="141">
        <v>0</v>
      </c>
      <c r="BH173" s="127">
        <v>0</v>
      </c>
      <c r="BI173" s="130">
        <v>0</v>
      </c>
      <c r="BJ173" s="128">
        <v>0</v>
      </c>
      <c r="BK173" s="125">
        <v>0</v>
      </c>
      <c r="BL173" s="136">
        <v>0</v>
      </c>
      <c r="BM173" s="127">
        <v>0</v>
      </c>
      <c r="BN173" s="142">
        <f t="shared" si="567"/>
        <v>0</v>
      </c>
      <c r="BO173" s="126">
        <f t="shared" si="568"/>
        <v>46800</v>
      </c>
      <c r="BP173" s="132">
        <f t="shared" si="569"/>
        <v>4680</v>
      </c>
      <c r="BQ173" s="141" t="str">
        <f t="shared" si="570"/>
        <v>Positive Margin</v>
      </c>
      <c r="BR173" s="143" t="s">
        <v>119</v>
      </c>
      <c r="BS173" s="125">
        <f t="shared" si="571"/>
        <v>4680</v>
      </c>
      <c r="BT173" s="144" t="str">
        <f t="shared" si="572"/>
        <v>Positive Margin at Inception</v>
      </c>
      <c r="BU173" s="145">
        <f t="shared" si="573"/>
        <v>0.1</v>
      </c>
      <c r="BV173" s="144" t="str">
        <f t="shared" si="574"/>
        <v>More than 2%</v>
      </c>
      <c r="BW173" s="125">
        <f t="shared" si="575"/>
        <v>0</v>
      </c>
      <c r="BX173" s="126">
        <f t="shared" si="576"/>
        <v>0</v>
      </c>
      <c r="BY173" s="125">
        <f t="shared" si="577"/>
        <v>0</v>
      </c>
      <c r="BZ173" s="146">
        <f t="shared" si="578"/>
        <v>0</v>
      </c>
      <c r="CA173" s="146">
        <f t="shared" si="579"/>
        <v>0</v>
      </c>
      <c r="CB173" s="127">
        <f t="shared" si="580"/>
        <v>0</v>
      </c>
      <c r="CC173" s="146" t="s">
        <v>397</v>
      </c>
      <c r="CD173" s="127">
        <v>0</v>
      </c>
      <c r="CE173" s="127" t="str">
        <f t="shared" si="581"/>
        <v>Jun-26</v>
      </c>
      <c r="CF173" s="127">
        <f t="shared" si="582"/>
        <v>42120</v>
      </c>
      <c r="CG173" s="127">
        <f t="shared" si="583"/>
        <v>46800</v>
      </c>
      <c r="CH173" s="127">
        <f t="shared" si="584"/>
        <v>10</v>
      </c>
      <c r="CI173" s="147" t="str">
        <f t="shared" si="585"/>
        <v>BG AHD</v>
      </c>
      <c r="CJ173" s="127">
        <v>0</v>
      </c>
      <c r="CK173" s="127">
        <v>0</v>
      </c>
      <c r="CL173" s="127">
        <f t="shared" si="586"/>
        <v>4680</v>
      </c>
      <c r="CM173" s="127">
        <f t="shared" si="587"/>
        <v>4680</v>
      </c>
      <c r="CN173" s="127">
        <f t="shared" si="588"/>
        <v>4680</v>
      </c>
      <c r="CO173" s="127">
        <f t="shared" si="589"/>
        <v>55224</v>
      </c>
      <c r="CP173" s="127">
        <f t="shared" si="590"/>
        <v>-49701.599999999999</v>
      </c>
      <c r="CQ173" s="127">
        <f t="shared" si="591"/>
        <v>0</v>
      </c>
      <c r="CR173" s="127">
        <f t="shared" si="592"/>
        <v>0</v>
      </c>
      <c r="CS173" s="127">
        <f t="shared" si="593"/>
        <v>5522.4000000000015</v>
      </c>
      <c r="CT173" s="127" t="s">
        <v>361</v>
      </c>
      <c r="CU173" s="127" t="s">
        <v>361</v>
      </c>
      <c r="CV173" s="142" t="str">
        <f t="shared" si="594"/>
        <v>AAMCB5608A</v>
      </c>
      <c r="CW173" s="142" t="str">
        <f t="shared" si="595"/>
        <v>BJHPB3107J</v>
      </c>
    </row>
    <row r="174" spans="2:101" s="149" customFormat="1" ht="11.85" customHeight="1" x14ac:dyDescent="0.25">
      <c r="B174" s="120" t="str">
        <f t="shared" si="557"/>
        <v>Q1</v>
      </c>
      <c r="C174" s="121" t="str">
        <f t="shared" si="558"/>
        <v>Jun-26</v>
      </c>
      <c r="D174" s="122">
        <v>46177</v>
      </c>
      <c r="E174" s="123" t="s">
        <v>3800</v>
      </c>
      <c r="F174" s="123" t="s">
        <v>196</v>
      </c>
      <c r="G174" s="123" t="s">
        <v>198</v>
      </c>
      <c r="H174" s="124" t="s">
        <v>3801</v>
      </c>
      <c r="I174" s="122">
        <v>46177</v>
      </c>
      <c r="J174" s="123" t="s">
        <v>3802</v>
      </c>
      <c r="K174" s="122">
        <v>46177</v>
      </c>
      <c r="L174" s="123" t="s">
        <v>199</v>
      </c>
      <c r="M174" s="123" t="s">
        <v>3803</v>
      </c>
      <c r="N174" s="124" t="s">
        <v>204</v>
      </c>
      <c r="O174" s="123">
        <v>7290</v>
      </c>
      <c r="P174" s="124">
        <v>10</v>
      </c>
      <c r="Q174" s="125">
        <f t="shared" si="559"/>
        <v>72900</v>
      </c>
      <c r="R174" s="126">
        <v>0</v>
      </c>
      <c r="S174" s="125">
        <f t="shared" si="560"/>
        <v>7290</v>
      </c>
      <c r="T174" s="126">
        <v>0</v>
      </c>
      <c r="U174" s="127">
        <v>0</v>
      </c>
      <c r="V174" s="128">
        <v>0</v>
      </c>
      <c r="W174" s="127">
        <v>0</v>
      </c>
      <c r="X174" s="129">
        <v>0</v>
      </c>
      <c r="Y174" s="127">
        <v>0</v>
      </c>
      <c r="Z174" s="127">
        <v>0</v>
      </c>
      <c r="AA174" s="126">
        <v>0</v>
      </c>
      <c r="AB174" s="130">
        <f t="shared" si="561"/>
        <v>0</v>
      </c>
      <c r="AC174" s="129">
        <v>0</v>
      </c>
      <c r="AD174" s="125">
        <f t="shared" si="562"/>
        <v>10</v>
      </c>
      <c r="AE174" s="144">
        <v>0</v>
      </c>
      <c r="AF174" s="127">
        <v>0</v>
      </c>
      <c r="AG174" s="131">
        <v>0</v>
      </c>
      <c r="AH174" s="127">
        <v>0</v>
      </c>
      <c r="AI174" s="128">
        <v>0</v>
      </c>
      <c r="AJ174" s="127">
        <v>0</v>
      </c>
      <c r="AK174" s="127">
        <v>0</v>
      </c>
      <c r="AL174" s="127">
        <v>0</v>
      </c>
      <c r="AM174" s="132">
        <f t="shared" si="563"/>
        <v>72900</v>
      </c>
      <c r="AN174" s="133">
        <v>46177</v>
      </c>
      <c r="AO174" s="134" t="s">
        <v>3941</v>
      </c>
      <c r="AP174" s="135" t="s">
        <v>234</v>
      </c>
      <c r="AQ174" s="136" t="s">
        <v>235</v>
      </c>
      <c r="AR174" s="136" t="s">
        <v>236</v>
      </c>
      <c r="AS174" s="123" t="s">
        <v>237</v>
      </c>
      <c r="AT174" s="137" t="s">
        <v>238</v>
      </c>
      <c r="AU174" s="137" t="s">
        <v>197</v>
      </c>
      <c r="AV174" s="138" t="s">
        <v>329</v>
      </c>
      <c r="AW174" s="136">
        <v>7290</v>
      </c>
      <c r="AX174" s="138">
        <v>12</v>
      </c>
      <c r="AY174" s="136">
        <f t="shared" si="564"/>
        <v>87480</v>
      </c>
      <c r="AZ174" s="139" t="b">
        <f t="shared" si="565"/>
        <v>1</v>
      </c>
      <c r="BA174" s="125">
        <v>0</v>
      </c>
      <c r="BB174" s="140">
        <f t="shared" si="566"/>
        <v>7290</v>
      </c>
      <c r="BC174" s="141">
        <v>0</v>
      </c>
      <c r="BD174" s="140" t="s">
        <v>107</v>
      </c>
      <c r="BE174" s="141">
        <v>0</v>
      </c>
      <c r="BF174" s="140">
        <v>0</v>
      </c>
      <c r="BG174" s="141">
        <v>0</v>
      </c>
      <c r="BH174" s="127">
        <v>0</v>
      </c>
      <c r="BI174" s="130">
        <v>0</v>
      </c>
      <c r="BJ174" s="128">
        <v>0</v>
      </c>
      <c r="BK174" s="125">
        <v>0</v>
      </c>
      <c r="BL174" s="136">
        <v>0</v>
      </c>
      <c r="BM174" s="127">
        <v>0</v>
      </c>
      <c r="BN174" s="142">
        <f t="shared" si="567"/>
        <v>0</v>
      </c>
      <c r="BO174" s="126">
        <f t="shared" si="568"/>
        <v>87480</v>
      </c>
      <c r="BP174" s="132">
        <f t="shared" si="569"/>
        <v>14580</v>
      </c>
      <c r="BQ174" s="141" t="str">
        <f t="shared" si="570"/>
        <v>Positive Margin</v>
      </c>
      <c r="BR174" s="143" t="s">
        <v>119</v>
      </c>
      <c r="BS174" s="125">
        <f t="shared" si="571"/>
        <v>14580</v>
      </c>
      <c r="BT174" s="144" t="str">
        <f t="shared" si="572"/>
        <v>Positive Margin at Inception</v>
      </c>
      <c r="BU174" s="145">
        <f t="shared" si="573"/>
        <v>0.16666666666666666</v>
      </c>
      <c r="BV174" s="144" t="str">
        <f t="shared" si="574"/>
        <v>More than 2%</v>
      </c>
      <c r="BW174" s="125">
        <f t="shared" si="575"/>
        <v>0</v>
      </c>
      <c r="BX174" s="126">
        <f t="shared" si="576"/>
        <v>0</v>
      </c>
      <c r="BY174" s="125">
        <f t="shared" si="577"/>
        <v>0</v>
      </c>
      <c r="BZ174" s="146">
        <f t="shared" si="578"/>
        <v>0</v>
      </c>
      <c r="CA174" s="146">
        <f t="shared" si="579"/>
        <v>0</v>
      </c>
      <c r="CB174" s="127">
        <f t="shared" si="580"/>
        <v>0</v>
      </c>
      <c r="CC174" s="146" t="s">
        <v>397</v>
      </c>
      <c r="CD174" s="127">
        <v>0</v>
      </c>
      <c r="CE174" s="127" t="str">
        <f t="shared" si="581"/>
        <v>Jun-26</v>
      </c>
      <c r="CF174" s="127">
        <f t="shared" si="582"/>
        <v>72900</v>
      </c>
      <c r="CG174" s="127">
        <f t="shared" si="583"/>
        <v>87480</v>
      </c>
      <c r="CH174" s="127">
        <f t="shared" si="584"/>
        <v>10</v>
      </c>
      <c r="CI174" s="147" t="str">
        <f t="shared" si="585"/>
        <v>BG AHD</v>
      </c>
      <c r="CJ174" s="127">
        <v>0</v>
      </c>
      <c r="CK174" s="127">
        <v>0</v>
      </c>
      <c r="CL174" s="127">
        <f t="shared" si="586"/>
        <v>14580</v>
      </c>
      <c r="CM174" s="127">
        <f t="shared" si="587"/>
        <v>14580</v>
      </c>
      <c r="CN174" s="127">
        <f t="shared" si="588"/>
        <v>14580</v>
      </c>
      <c r="CO174" s="127">
        <f t="shared" si="589"/>
        <v>103226.4</v>
      </c>
      <c r="CP174" s="127">
        <f t="shared" si="590"/>
        <v>-86022</v>
      </c>
      <c r="CQ174" s="127">
        <f t="shared" si="591"/>
        <v>0</v>
      </c>
      <c r="CR174" s="127">
        <f t="shared" si="592"/>
        <v>0</v>
      </c>
      <c r="CS174" s="127">
        <f t="shared" si="593"/>
        <v>17204.399999999994</v>
      </c>
      <c r="CT174" s="127" t="s">
        <v>361</v>
      </c>
      <c r="CU174" s="127" t="s">
        <v>361</v>
      </c>
      <c r="CV174" s="142" t="str">
        <f t="shared" si="594"/>
        <v>AAMCB5608A</v>
      </c>
      <c r="CW174" s="142" t="str">
        <f t="shared" si="595"/>
        <v>BJHPB3107J</v>
      </c>
    </row>
    <row r="175" spans="2:101" s="149" customFormat="1" ht="11.85" customHeight="1" x14ac:dyDescent="0.25">
      <c r="B175" s="120" t="str">
        <f t="shared" si="557"/>
        <v>Q1</v>
      </c>
      <c r="C175" s="121" t="str">
        <f t="shared" si="558"/>
        <v>Jun-26</v>
      </c>
      <c r="D175" s="122">
        <v>46178</v>
      </c>
      <c r="E175" s="123" t="s">
        <v>3804</v>
      </c>
      <c r="F175" s="123" t="s">
        <v>196</v>
      </c>
      <c r="G175" s="123" t="s">
        <v>198</v>
      </c>
      <c r="H175" s="124" t="s">
        <v>3805</v>
      </c>
      <c r="I175" s="122">
        <v>46178</v>
      </c>
      <c r="J175" s="123" t="s">
        <v>3806</v>
      </c>
      <c r="K175" s="122">
        <v>46178</v>
      </c>
      <c r="L175" s="123" t="s">
        <v>199</v>
      </c>
      <c r="M175" s="123" t="s">
        <v>3462</v>
      </c>
      <c r="N175" s="124" t="s">
        <v>3807</v>
      </c>
      <c r="O175" s="123">
        <v>2000</v>
      </c>
      <c r="P175" s="124">
        <v>50</v>
      </c>
      <c r="Q175" s="125">
        <f t="shared" si="559"/>
        <v>100000</v>
      </c>
      <c r="R175" s="126">
        <v>0</v>
      </c>
      <c r="S175" s="125">
        <f t="shared" si="560"/>
        <v>2000</v>
      </c>
      <c r="T175" s="126">
        <v>0</v>
      </c>
      <c r="U175" s="127">
        <v>0</v>
      </c>
      <c r="V175" s="128">
        <v>0</v>
      </c>
      <c r="W175" s="127">
        <v>0</v>
      </c>
      <c r="X175" s="129">
        <v>0</v>
      </c>
      <c r="Y175" s="127">
        <v>0</v>
      </c>
      <c r="Z175" s="127">
        <v>0</v>
      </c>
      <c r="AA175" s="126">
        <v>0</v>
      </c>
      <c r="AB175" s="130">
        <f t="shared" si="561"/>
        <v>0</v>
      </c>
      <c r="AC175" s="129">
        <v>0</v>
      </c>
      <c r="AD175" s="125">
        <f t="shared" si="562"/>
        <v>50</v>
      </c>
      <c r="AE175" s="144">
        <v>0</v>
      </c>
      <c r="AF175" s="127">
        <v>0</v>
      </c>
      <c r="AG175" s="131">
        <v>0</v>
      </c>
      <c r="AH175" s="127">
        <v>0</v>
      </c>
      <c r="AI175" s="128">
        <v>0</v>
      </c>
      <c r="AJ175" s="127">
        <v>0</v>
      </c>
      <c r="AK175" s="127">
        <v>0</v>
      </c>
      <c r="AL175" s="127">
        <v>0</v>
      </c>
      <c r="AM175" s="132">
        <f t="shared" si="563"/>
        <v>100000</v>
      </c>
      <c r="AN175" s="133">
        <v>46178</v>
      </c>
      <c r="AO175" s="134" t="s">
        <v>3937</v>
      </c>
      <c r="AP175" s="135" t="s">
        <v>234</v>
      </c>
      <c r="AQ175" s="136" t="s">
        <v>235</v>
      </c>
      <c r="AR175" s="136" t="s">
        <v>236</v>
      </c>
      <c r="AS175" s="123" t="s">
        <v>2005</v>
      </c>
      <c r="AT175" s="137" t="s">
        <v>238</v>
      </c>
      <c r="AU175" s="137" t="s">
        <v>197</v>
      </c>
      <c r="AV175" s="138" t="s">
        <v>329</v>
      </c>
      <c r="AW175" s="136">
        <v>2000</v>
      </c>
      <c r="AX175" s="138">
        <v>53</v>
      </c>
      <c r="AY175" s="136">
        <f t="shared" si="564"/>
        <v>106000</v>
      </c>
      <c r="AZ175" s="139" t="b">
        <f t="shared" si="565"/>
        <v>1</v>
      </c>
      <c r="BA175" s="125">
        <v>0</v>
      </c>
      <c r="BB175" s="140">
        <f t="shared" si="566"/>
        <v>2000</v>
      </c>
      <c r="BC175" s="141">
        <v>0</v>
      </c>
      <c r="BD175" s="140" t="s">
        <v>107</v>
      </c>
      <c r="BE175" s="141">
        <v>0</v>
      </c>
      <c r="BF175" s="140">
        <v>0</v>
      </c>
      <c r="BG175" s="141">
        <v>0</v>
      </c>
      <c r="BH175" s="127">
        <v>0</v>
      </c>
      <c r="BI175" s="130">
        <v>0</v>
      </c>
      <c r="BJ175" s="128">
        <v>0</v>
      </c>
      <c r="BK175" s="125">
        <v>0</v>
      </c>
      <c r="BL175" s="136">
        <v>0</v>
      </c>
      <c r="BM175" s="127">
        <v>0</v>
      </c>
      <c r="BN175" s="142">
        <f t="shared" si="567"/>
        <v>0</v>
      </c>
      <c r="BO175" s="126">
        <f t="shared" si="568"/>
        <v>106000</v>
      </c>
      <c r="BP175" s="132">
        <f t="shared" si="569"/>
        <v>6000</v>
      </c>
      <c r="BQ175" s="141" t="str">
        <f t="shared" si="570"/>
        <v>Positive Margin</v>
      </c>
      <c r="BR175" s="143" t="s">
        <v>119</v>
      </c>
      <c r="BS175" s="125">
        <f t="shared" si="571"/>
        <v>6000</v>
      </c>
      <c r="BT175" s="144" t="str">
        <f t="shared" si="572"/>
        <v>Positive Margin at Inception</v>
      </c>
      <c r="BU175" s="145">
        <f t="shared" si="573"/>
        <v>5.6603773584905662E-2</v>
      </c>
      <c r="BV175" s="144" t="str">
        <f t="shared" si="574"/>
        <v>More than 2%</v>
      </c>
      <c r="BW175" s="125">
        <f t="shared" si="575"/>
        <v>0</v>
      </c>
      <c r="BX175" s="126">
        <f t="shared" si="576"/>
        <v>0</v>
      </c>
      <c r="BY175" s="125">
        <f t="shared" si="577"/>
        <v>0</v>
      </c>
      <c r="BZ175" s="146">
        <f t="shared" si="578"/>
        <v>0</v>
      </c>
      <c r="CA175" s="146">
        <f t="shared" si="579"/>
        <v>0</v>
      </c>
      <c r="CB175" s="127">
        <f t="shared" si="580"/>
        <v>0</v>
      </c>
      <c r="CC175" s="146" t="s">
        <v>397</v>
      </c>
      <c r="CD175" s="127">
        <v>0</v>
      </c>
      <c r="CE175" s="127" t="str">
        <f t="shared" si="581"/>
        <v>Jun-26</v>
      </c>
      <c r="CF175" s="127">
        <f t="shared" si="582"/>
        <v>100000</v>
      </c>
      <c r="CG175" s="127">
        <f t="shared" si="583"/>
        <v>106000</v>
      </c>
      <c r="CH175" s="127">
        <f t="shared" si="584"/>
        <v>10</v>
      </c>
      <c r="CI175" s="147" t="str">
        <f t="shared" si="585"/>
        <v>BG AHD</v>
      </c>
      <c r="CJ175" s="127">
        <v>0</v>
      </c>
      <c r="CK175" s="127">
        <v>0</v>
      </c>
      <c r="CL175" s="127">
        <f t="shared" si="586"/>
        <v>6000</v>
      </c>
      <c r="CM175" s="127">
        <f t="shared" si="587"/>
        <v>6000</v>
      </c>
      <c r="CN175" s="127">
        <f t="shared" si="588"/>
        <v>6000</v>
      </c>
      <c r="CO175" s="127">
        <f t="shared" si="589"/>
        <v>125080</v>
      </c>
      <c r="CP175" s="127">
        <f t="shared" si="590"/>
        <v>-118000</v>
      </c>
      <c r="CQ175" s="127">
        <f t="shared" si="591"/>
        <v>0</v>
      </c>
      <c r="CR175" s="127">
        <f t="shared" si="592"/>
        <v>0</v>
      </c>
      <c r="CS175" s="127">
        <f t="shared" si="593"/>
        <v>7080</v>
      </c>
      <c r="CT175" s="127" t="s">
        <v>361</v>
      </c>
      <c r="CU175" s="127" t="s">
        <v>361</v>
      </c>
      <c r="CV175" s="142" t="str">
        <f t="shared" si="594"/>
        <v>AAMCB5608A</v>
      </c>
      <c r="CW175" s="142" t="str">
        <f t="shared" si="595"/>
        <v>BJHPB3107J</v>
      </c>
    </row>
    <row r="176" spans="2:101" s="149" customFormat="1" ht="11.85" customHeight="1" x14ac:dyDescent="0.25">
      <c r="B176" s="120" t="str">
        <f t="shared" si="557"/>
        <v>Q1</v>
      </c>
      <c r="C176" s="121" t="str">
        <f t="shared" si="558"/>
        <v>Jun-26</v>
      </c>
      <c r="D176" s="122">
        <v>46178</v>
      </c>
      <c r="E176" s="123" t="s">
        <v>3808</v>
      </c>
      <c r="F176" s="123" t="s">
        <v>196</v>
      </c>
      <c r="G176" s="123" t="s">
        <v>198</v>
      </c>
      <c r="H176" s="124" t="s">
        <v>3809</v>
      </c>
      <c r="I176" s="122">
        <v>46178</v>
      </c>
      <c r="J176" s="123" t="s">
        <v>3810</v>
      </c>
      <c r="K176" s="122">
        <v>46178</v>
      </c>
      <c r="L176" s="123" t="s">
        <v>199</v>
      </c>
      <c r="M176" s="123" t="s">
        <v>3811</v>
      </c>
      <c r="N176" s="124" t="s">
        <v>205</v>
      </c>
      <c r="O176" s="123">
        <v>410</v>
      </c>
      <c r="P176" s="124">
        <v>12</v>
      </c>
      <c r="Q176" s="125">
        <f t="shared" si="559"/>
        <v>4920</v>
      </c>
      <c r="R176" s="126">
        <v>0</v>
      </c>
      <c r="S176" s="125">
        <f t="shared" si="560"/>
        <v>410</v>
      </c>
      <c r="T176" s="126">
        <v>0</v>
      </c>
      <c r="U176" s="127">
        <v>0</v>
      </c>
      <c r="V176" s="128">
        <v>0</v>
      </c>
      <c r="W176" s="127">
        <v>0</v>
      </c>
      <c r="X176" s="129">
        <v>0</v>
      </c>
      <c r="Y176" s="127">
        <v>0</v>
      </c>
      <c r="Z176" s="127">
        <v>0</v>
      </c>
      <c r="AA176" s="126">
        <v>0</v>
      </c>
      <c r="AB176" s="130">
        <f t="shared" si="561"/>
        <v>0</v>
      </c>
      <c r="AC176" s="129">
        <v>0</v>
      </c>
      <c r="AD176" s="125">
        <f t="shared" si="562"/>
        <v>12</v>
      </c>
      <c r="AE176" s="144">
        <v>0</v>
      </c>
      <c r="AF176" s="127">
        <v>0</v>
      </c>
      <c r="AG176" s="131">
        <v>0</v>
      </c>
      <c r="AH176" s="127">
        <v>0</v>
      </c>
      <c r="AI176" s="128">
        <v>0</v>
      </c>
      <c r="AJ176" s="127">
        <v>0</v>
      </c>
      <c r="AK176" s="127">
        <v>0</v>
      </c>
      <c r="AL176" s="127">
        <v>0</v>
      </c>
      <c r="AM176" s="132">
        <f t="shared" si="563"/>
        <v>4920</v>
      </c>
      <c r="AN176" s="133">
        <v>46178</v>
      </c>
      <c r="AO176" s="134" t="s">
        <v>3936</v>
      </c>
      <c r="AP176" s="135" t="s">
        <v>234</v>
      </c>
      <c r="AQ176" s="136" t="s">
        <v>235</v>
      </c>
      <c r="AR176" s="136" t="s">
        <v>236</v>
      </c>
      <c r="AS176" s="123" t="s">
        <v>237</v>
      </c>
      <c r="AT176" s="137" t="s">
        <v>238</v>
      </c>
      <c r="AU176" s="137" t="s">
        <v>197</v>
      </c>
      <c r="AV176" s="138" t="s">
        <v>329</v>
      </c>
      <c r="AW176" s="136">
        <v>410</v>
      </c>
      <c r="AX176" s="138">
        <v>14</v>
      </c>
      <c r="AY176" s="136">
        <f t="shared" si="564"/>
        <v>5740</v>
      </c>
      <c r="AZ176" s="139" t="b">
        <f t="shared" si="565"/>
        <v>1</v>
      </c>
      <c r="BA176" s="125">
        <v>0</v>
      </c>
      <c r="BB176" s="140">
        <f t="shared" si="566"/>
        <v>410</v>
      </c>
      <c r="BC176" s="141">
        <v>0</v>
      </c>
      <c r="BD176" s="140" t="s">
        <v>107</v>
      </c>
      <c r="BE176" s="141">
        <v>0</v>
      </c>
      <c r="BF176" s="140">
        <v>0</v>
      </c>
      <c r="BG176" s="141">
        <v>0</v>
      </c>
      <c r="BH176" s="127">
        <v>0</v>
      </c>
      <c r="BI176" s="130">
        <v>0</v>
      </c>
      <c r="BJ176" s="128">
        <v>0</v>
      </c>
      <c r="BK176" s="125">
        <v>0</v>
      </c>
      <c r="BL176" s="136">
        <v>0</v>
      </c>
      <c r="BM176" s="127">
        <v>0</v>
      </c>
      <c r="BN176" s="142">
        <f t="shared" si="567"/>
        <v>0</v>
      </c>
      <c r="BO176" s="126">
        <f t="shared" si="568"/>
        <v>5740</v>
      </c>
      <c r="BP176" s="132">
        <f t="shared" si="569"/>
        <v>820</v>
      </c>
      <c r="BQ176" s="141" t="str">
        <f t="shared" si="570"/>
        <v>Positive Margin</v>
      </c>
      <c r="BR176" s="143" t="s">
        <v>119</v>
      </c>
      <c r="BS176" s="125">
        <f t="shared" si="571"/>
        <v>820</v>
      </c>
      <c r="BT176" s="144" t="str">
        <f t="shared" si="572"/>
        <v>Positive Margin at Inception</v>
      </c>
      <c r="BU176" s="145">
        <f t="shared" si="573"/>
        <v>0.14285714285714285</v>
      </c>
      <c r="BV176" s="144" t="str">
        <f t="shared" si="574"/>
        <v>More than 2%</v>
      </c>
      <c r="BW176" s="125">
        <f t="shared" si="575"/>
        <v>0</v>
      </c>
      <c r="BX176" s="126">
        <f t="shared" si="576"/>
        <v>0</v>
      </c>
      <c r="BY176" s="125">
        <f t="shared" si="577"/>
        <v>0</v>
      </c>
      <c r="BZ176" s="146">
        <f t="shared" si="578"/>
        <v>0</v>
      </c>
      <c r="CA176" s="146">
        <f t="shared" si="579"/>
        <v>0</v>
      </c>
      <c r="CB176" s="127">
        <f t="shared" si="580"/>
        <v>0</v>
      </c>
      <c r="CC176" s="146" t="s">
        <v>397</v>
      </c>
      <c r="CD176" s="127">
        <v>0</v>
      </c>
      <c r="CE176" s="127" t="str">
        <f t="shared" si="581"/>
        <v>Jun-26</v>
      </c>
      <c r="CF176" s="127">
        <f t="shared" si="582"/>
        <v>4920</v>
      </c>
      <c r="CG176" s="127">
        <f t="shared" si="583"/>
        <v>5740</v>
      </c>
      <c r="CH176" s="127">
        <f t="shared" si="584"/>
        <v>10</v>
      </c>
      <c r="CI176" s="147" t="str">
        <f t="shared" si="585"/>
        <v>BG AHD</v>
      </c>
      <c r="CJ176" s="127">
        <v>0</v>
      </c>
      <c r="CK176" s="127">
        <v>0</v>
      </c>
      <c r="CL176" s="127">
        <f t="shared" si="586"/>
        <v>820</v>
      </c>
      <c r="CM176" s="127">
        <f t="shared" si="587"/>
        <v>820</v>
      </c>
      <c r="CN176" s="127">
        <f t="shared" si="588"/>
        <v>820</v>
      </c>
      <c r="CO176" s="127">
        <f t="shared" si="589"/>
        <v>6773.2</v>
      </c>
      <c r="CP176" s="127">
        <f t="shared" si="590"/>
        <v>-5805.5999999999995</v>
      </c>
      <c r="CQ176" s="127">
        <f t="shared" si="591"/>
        <v>0</v>
      </c>
      <c r="CR176" s="127">
        <f t="shared" si="592"/>
        <v>0</v>
      </c>
      <c r="CS176" s="127">
        <f t="shared" si="593"/>
        <v>967.60000000000036</v>
      </c>
      <c r="CT176" s="127" t="s">
        <v>361</v>
      </c>
      <c r="CU176" s="127" t="s">
        <v>361</v>
      </c>
      <c r="CV176" s="142" t="str">
        <f t="shared" si="594"/>
        <v>AAMCB5608A</v>
      </c>
      <c r="CW176" s="142" t="str">
        <f t="shared" si="595"/>
        <v>BJHPB3107J</v>
      </c>
    </row>
    <row r="177" spans="2:101" s="149" customFormat="1" ht="11.85" customHeight="1" x14ac:dyDescent="0.25">
      <c r="B177" s="120" t="str">
        <f t="shared" si="557"/>
        <v>Q1</v>
      </c>
      <c r="C177" s="121" t="str">
        <f t="shared" si="558"/>
        <v>Jun-26</v>
      </c>
      <c r="D177" s="122">
        <v>46178</v>
      </c>
      <c r="E177" s="123" t="s">
        <v>3808</v>
      </c>
      <c r="F177" s="123" t="s">
        <v>196</v>
      </c>
      <c r="G177" s="123" t="s">
        <v>198</v>
      </c>
      <c r="H177" s="124" t="s">
        <v>3809</v>
      </c>
      <c r="I177" s="122">
        <v>46178</v>
      </c>
      <c r="J177" s="123" t="s">
        <v>3810</v>
      </c>
      <c r="K177" s="122">
        <v>46178</v>
      </c>
      <c r="L177" s="123" t="s">
        <v>199</v>
      </c>
      <c r="M177" s="123" t="s">
        <v>3811</v>
      </c>
      <c r="N177" s="124" t="s">
        <v>206</v>
      </c>
      <c r="O177" s="123">
        <v>312</v>
      </c>
      <c r="P177" s="124">
        <v>50</v>
      </c>
      <c r="Q177" s="125">
        <f t="shared" si="559"/>
        <v>15600</v>
      </c>
      <c r="R177" s="126">
        <v>0</v>
      </c>
      <c r="S177" s="125">
        <f t="shared" si="560"/>
        <v>312</v>
      </c>
      <c r="T177" s="126">
        <v>0</v>
      </c>
      <c r="U177" s="127">
        <v>0</v>
      </c>
      <c r="V177" s="128">
        <v>0</v>
      </c>
      <c r="W177" s="127">
        <v>0</v>
      </c>
      <c r="X177" s="129">
        <v>0</v>
      </c>
      <c r="Y177" s="127">
        <v>0</v>
      </c>
      <c r="Z177" s="127">
        <v>0</v>
      </c>
      <c r="AA177" s="126">
        <v>0</v>
      </c>
      <c r="AB177" s="130">
        <f t="shared" si="561"/>
        <v>0</v>
      </c>
      <c r="AC177" s="129">
        <v>0</v>
      </c>
      <c r="AD177" s="125">
        <f t="shared" si="562"/>
        <v>50</v>
      </c>
      <c r="AE177" s="144">
        <v>0</v>
      </c>
      <c r="AF177" s="127">
        <v>0</v>
      </c>
      <c r="AG177" s="131">
        <v>0</v>
      </c>
      <c r="AH177" s="127">
        <v>0</v>
      </c>
      <c r="AI177" s="128">
        <v>0</v>
      </c>
      <c r="AJ177" s="127">
        <v>0</v>
      </c>
      <c r="AK177" s="127">
        <v>0</v>
      </c>
      <c r="AL177" s="127">
        <v>0</v>
      </c>
      <c r="AM177" s="132">
        <f t="shared" si="563"/>
        <v>15600</v>
      </c>
      <c r="AN177" s="133">
        <v>46178</v>
      </c>
      <c r="AO177" s="134" t="s">
        <v>3936</v>
      </c>
      <c r="AP177" s="135" t="s">
        <v>234</v>
      </c>
      <c r="AQ177" s="136" t="s">
        <v>235</v>
      </c>
      <c r="AR177" s="136" t="s">
        <v>236</v>
      </c>
      <c r="AS177" s="123" t="s">
        <v>237</v>
      </c>
      <c r="AT177" s="137" t="s">
        <v>238</v>
      </c>
      <c r="AU177" s="137" t="s">
        <v>197</v>
      </c>
      <c r="AV177" s="138" t="s">
        <v>329</v>
      </c>
      <c r="AW177" s="136">
        <v>312</v>
      </c>
      <c r="AX177" s="138">
        <v>70</v>
      </c>
      <c r="AY177" s="136">
        <f t="shared" si="564"/>
        <v>21840</v>
      </c>
      <c r="AZ177" s="139" t="b">
        <f t="shared" si="565"/>
        <v>1</v>
      </c>
      <c r="BA177" s="125">
        <v>0</v>
      </c>
      <c r="BB177" s="140">
        <f t="shared" si="566"/>
        <v>312</v>
      </c>
      <c r="BC177" s="141">
        <v>0</v>
      </c>
      <c r="BD177" s="140" t="s">
        <v>107</v>
      </c>
      <c r="BE177" s="141">
        <v>0</v>
      </c>
      <c r="BF177" s="140">
        <v>0</v>
      </c>
      <c r="BG177" s="141">
        <v>0</v>
      </c>
      <c r="BH177" s="127">
        <v>0</v>
      </c>
      <c r="BI177" s="130">
        <v>0</v>
      </c>
      <c r="BJ177" s="128">
        <v>0</v>
      </c>
      <c r="BK177" s="125">
        <v>0</v>
      </c>
      <c r="BL177" s="136">
        <v>0</v>
      </c>
      <c r="BM177" s="127">
        <v>0</v>
      </c>
      <c r="BN177" s="142">
        <f t="shared" si="567"/>
        <v>0</v>
      </c>
      <c r="BO177" s="126">
        <f t="shared" si="568"/>
        <v>21840</v>
      </c>
      <c r="BP177" s="132">
        <f t="shared" si="569"/>
        <v>6240</v>
      </c>
      <c r="BQ177" s="141" t="str">
        <f t="shared" si="570"/>
        <v>Positive Margin</v>
      </c>
      <c r="BR177" s="143" t="s">
        <v>119</v>
      </c>
      <c r="BS177" s="125">
        <f t="shared" si="571"/>
        <v>6240</v>
      </c>
      <c r="BT177" s="144" t="str">
        <f t="shared" si="572"/>
        <v>Positive Margin at Inception</v>
      </c>
      <c r="BU177" s="145">
        <f t="shared" si="573"/>
        <v>0.2857142857142857</v>
      </c>
      <c r="BV177" s="144" t="str">
        <f t="shared" si="574"/>
        <v>More than 2%</v>
      </c>
      <c r="BW177" s="125">
        <f t="shared" si="575"/>
        <v>0</v>
      </c>
      <c r="BX177" s="126">
        <f t="shared" si="576"/>
        <v>0</v>
      </c>
      <c r="BY177" s="125">
        <f t="shared" si="577"/>
        <v>0</v>
      </c>
      <c r="BZ177" s="146">
        <f t="shared" si="578"/>
        <v>0</v>
      </c>
      <c r="CA177" s="146">
        <f t="shared" si="579"/>
        <v>0</v>
      </c>
      <c r="CB177" s="127">
        <f t="shared" si="580"/>
        <v>0</v>
      </c>
      <c r="CC177" s="146" t="s">
        <v>397</v>
      </c>
      <c r="CD177" s="127">
        <v>0</v>
      </c>
      <c r="CE177" s="127" t="str">
        <f t="shared" si="581"/>
        <v>Jun-26</v>
      </c>
      <c r="CF177" s="127">
        <f t="shared" si="582"/>
        <v>15600</v>
      </c>
      <c r="CG177" s="127">
        <f t="shared" si="583"/>
        <v>21840</v>
      </c>
      <c r="CH177" s="127">
        <f t="shared" si="584"/>
        <v>10</v>
      </c>
      <c r="CI177" s="147" t="str">
        <f t="shared" si="585"/>
        <v>BG AHD</v>
      </c>
      <c r="CJ177" s="127">
        <v>0</v>
      </c>
      <c r="CK177" s="127">
        <v>0</v>
      </c>
      <c r="CL177" s="127">
        <f t="shared" si="586"/>
        <v>6240</v>
      </c>
      <c r="CM177" s="127">
        <f t="shared" si="587"/>
        <v>6240</v>
      </c>
      <c r="CN177" s="127">
        <f t="shared" si="588"/>
        <v>6240</v>
      </c>
      <c r="CO177" s="127">
        <f t="shared" si="589"/>
        <v>25771.199999999997</v>
      </c>
      <c r="CP177" s="127">
        <f t="shared" si="590"/>
        <v>-18408</v>
      </c>
      <c r="CQ177" s="127">
        <f t="shared" si="591"/>
        <v>0</v>
      </c>
      <c r="CR177" s="127">
        <f t="shared" si="592"/>
        <v>0</v>
      </c>
      <c r="CS177" s="127">
        <f t="shared" si="593"/>
        <v>7363.1999999999971</v>
      </c>
      <c r="CT177" s="127" t="s">
        <v>361</v>
      </c>
      <c r="CU177" s="127" t="s">
        <v>361</v>
      </c>
      <c r="CV177" s="142" t="str">
        <f t="shared" si="594"/>
        <v>AAMCB5608A</v>
      </c>
      <c r="CW177" s="142" t="str">
        <f t="shared" si="595"/>
        <v>BJHPB3107J</v>
      </c>
    </row>
    <row r="178" spans="2:101" s="149" customFormat="1" ht="11.85" customHeight="1" x14ac:dyDescent="0.25">
      <c r="B178" s="120" t="str">
        <f t="shared" si="557"/>
        <v>Q1</v>
      </c>
      <c r="C178" s="121" t="str">
        <f t="shared" si="558"/>
        <v>Jun-26</v>
      </c>
      <c r="D178" s="122">
        <v>46178</v>
      </c>
      <c r="E178" s="123" t="s">
        <v>3808</v>
      </c>
      <c r="F178" s="123" t="s">
        <v>196</v>
      </c>
      <c r="G178" s="123" t="s">
        <v>198</v>
      </c>
      <c r="H178" s="124" t="s">
        <v>3809</v>
      </c>
      <c r="I178" s="122">
        <v>46178</v>
      </c>
      <c r="J178" s="123" t="s">
        <v>3810</v>
      </c>
      <c r="K178" s="122">
        <v>46178</v>
      </c>
      <c r="L178" s="123" t="s">
        <v>199</v>
      </c>
      <c r="M178" s="123" t="s">
        <v>3811</v>
      </c>
      <c r="N178" s="124" t="s">
        <v>243</v>
      </c>
      <c r="O178" s="123">
        <v>155</v>
      </c>
      <c r="P178" s="124">
        <v>60</v>
      </c>
      <c r="Q178" s="125">
        <f t="shared" si="559"/>
        <v>9300</v>
      </c>
      <c r="R178" s="126">
        <v>0</v>
      </c>
      <c r="S178" s="125">
        <f t="shared" si="560"/>
        <v>155</v>
      </c>
      <c r="T178" s="126">
        <v>0</v>
      </c>
      <c r="U178" s="127">
        <v>0</v>
      </c>
      <c r="V178" s="128">
        <v>0</v>
      </c>
      <c r="W178" s="127">
        <v>0</v>
      </c>
      <c r="X178" s="129">
        <v>0</v>
      </c>
      <c r="Y178" s="127">
        <v>0</v>
      </c>
      <c r="Z178" s="127">
        <v>0</v>
      </c>
      <c r="AA178" s="126">
        <v>0</v>
      </c>
      <c r="AB178" s="130">
        <f t="shared" si="561"/>
        <v>0</v>
      </c>
      <c r="AC178" s="129">
        <v>0</v>
      </c>
      <c r="AD178" s="125">
        <f t="shared" si="562"/>
        <v>60</v>
      </c>
      <c r="AE178" s="144">
        <v>0</v>
      </c>
      <c r="AF178" s="127">
        <v>0</v>
      </c>
      <c r="AG178" s="131">
        <v>0</v>
      </c>
      <c r="AH178" s="127">
        <v>0</v>
      </c>
      <c r="AI178" s="128">
        <v>0</v>
      </c>
      <c r="AJ178" s="127">
        <v>0</v>
      </c>
      <c r="AK178" s="127">
        <v>0</v>
      </c>
      <c r="AL178" s="127">
        <v>0</v>
      </c>
      <c r="AM178" s="132">
        <f t="shared" si="563"/>
        <v>9300</v>
      </c>
      <c r="AN178" s="133">
        <v>46178</v>
      </c>
      <c r="AO178" s="134" t="s">
        <v>3936</v>
      </c>
      <c r="AP178" s="135" t="s">
        <v>234</v>
      </c>
      <c r="AQ178" s="136" t="s">
        <v>235</v>
      </c>
      <c r="AR178" s="136" t="s">
        <v>236</v>
      </c>
      <c r="AS178" s="123" t="s">
        <v>237</v>
      </c>
      <c r="AT178" s="137" t="s">
        <v>238</v>
      </c>
      <c r="AU178" s="137" t="s">
        <v>197</v>
      </c>
      <c r="AV178" s="138" t="s">
        <v>329</v>
      </c>
      <c r="AW178" s="136">
        <v>155</v>
      </c>
      <c r="AX178" s="138">
        <v>80</v>
      </c>
      <c r="AY178" s="136">
        <f t="shared" si="564"/>
        <v>12400</v>
      </c>
      <c r="AZ178" s="139" t="b">
        <f t="shared" si="565"/>
        <v>1</v>
      </c>
      <c r="BA178" s="125">
        <v>0</v>
      </c>
      <c r="BB178" s="140">
        <f t="shared" si="566"/>
        <v>155</v>
      </c>
      <c r="BC178" s="141">
        <v>0</v>
      </c>
      <c r="BD178" s="140" t="s">
        <v>107</v>
      </c>
      <c r="BE178" s="141">
        <v>0</v>
      </c>
      <c r="BF178" s="140">
        <v>0</v>
      </c>
      <c r="BG178" s="141">
        <v>0</v>
      </c>
      <c r="BH178" s="127">
        <v>0</v>
      </c>
      <c r="BI178" s="130">
        <v>0</v>
      </c>
      <c r="BJ178" s="128">
        <v>0</v>
      </c>
      <c r="BK178" s="125">
        <v>0</v>
      </c>
      <c r="BL178" s="136">
        <v>0</v>
      </c>
      <c r="BM178" s="127">
        <v>0</v>
      </c>
      <c r="BN178" s="142">
        <f t="shared" si="567"/>
        <v>0</v>
      </c>
      <c r="BO178" s="126">
        <f t="shared" si="568"/>
        <v>12400</v>
      </c>
      <c r="BP178" s="132">
        <f t="shared" si="569"/>
        <v>3100</v>
      </c>
      <c r="BQ178" s="141" t="str">
        <f t="shared" si="570"/>
        <v>Positive Margin</v>
      </c>
      <c r="BR178" s="143" t="s">
        <v>119</v>
      </c>
      <c r="BS178" s="125">
        <f t="shared" si="571"/>
        <v>3100</v>
      </c>
      <c r="BT178" s="144" t="str">
        <f t="shared" si="572"/>
        <v>Positive Margin at Inception</v>
      </c>
      <c r="BU178" s="145">
        <f t="shared" si="573"/>
        <v>0.25</v>
      </c>
      <c r="BV178" s="144" t="str">
        <f t="shared" si="574"/>
        <v>More than 2%</v>
      </c>
      <c r="BW178" s="125">
        <f t="shared" si="575"/>
        <v>0</v>
      </c>
      <c r="BX178" s="126">
        <f t="shared" si="576"/>
        <v>0</v>
      </c>
      <c r="BY178" s="125">
        <f t="shared" si="577"/>
        <v>0</v>
      </c>
      <c r="BZ178" s="146">
        <f t="shared" si="578"/>
        <v>0</v>
      </c>
      <c r="CA178" s="146">
        <f t="shared" si="579"/>
        <v>0</v>
      </c>
      <c r="CB178" s="127">
        <f t="shared" si="580"/>
        <v>0</v>
      </c>
      <c r="CC178" s="146" t="s">
        <v>397</v>
      </c>
      <c r="CD178" s="127">
        <v>0</v>
      </c>
      <c r="CE178" s="127" t="str">
        <f t="shared" si="581"/>
        <v>Jun-26</v>
      </c>
      <c r="CF178" s="127">
        <f t="shared" si="582"/>
        <v>9300</v>
      </c>
      <c r="CG178" s="127">
        <f t="shared" si="583"/>
        <v>12400</v>
      </c>
      <c r="CH178" s="127">
        <f t="shared" si="584"/>
        <v>10</v>
      </c>
      <c r="CI178" s="147" t="str">
        <f t="shared" si="585"/>
        <v>BG AHD</v>
      </c>
      <c r="CJ178" s="127">
        <v>0</v>
      </c>
      <c r="CK178" s="127">
        <v>0</v>
      </c>
      <c r="CL178" s="127">
        <f t="shared" si="586"/>
        <v>3100</v>
      </c>
      <c r="CM178" s="127">
        <f t="shared" si="587"/>
        <v>3100</v>
      </c>
      <c r="CN178" s="127">
        <f t="shared" si="588"/>
        <v>3100</v>
      </c>
      <c r="CO178" s="127">
        <f t="shared" si="589"/>
        <v>14632</v>
      </c>
      <c r="CP178" s="127">
        <f t="shared" si="590"/>
        <v>-10974</v>
      </c>
      <c r="CQ178" s="127">
        <f t="shared" si="591"/>
        <v>0</v>
      </c>
      <c r="CR178" s="127">
        <f t="shared" si="592"/>
        <v>0</v>
      </c>
      <c r="CS178" s="127">
        <f t="shared" si="593"/>
        <v>3658</v>
      </c>
      <c r="CT178" s="127" t="s">
        <v>361</v>
      </c>
      <c r="CU178" s="127" t="s">
        <v>361</v>
      </c>
      <c r="CV178" s="142" t="str">
        <f t="shared" si="594"/>
        <v>AAMCB5608A</v>
      </c>
      <c r="CW178" s="142" t="str">
        <f t="shared" si="595"/>
        <v>BJHPB3107J</v>
      </c>
    </row>
    <row r="179" spans="2:101" s="149" customFormat="1" ht="11.85" customHeight="1" x14ac:dyDescent="0.25">
      <c r="B179" s="120" t="str">
        <f t="shared" si="557"/>
        <v>Q1</v>
      </c>
      <c r="C179" s="121" t="str">
        <f t="shared" si="558"/>
        <v>Jun-26</v>
      </c>
      <c r="D179" s="122">
        <v>46179</v>
      </c>
      <c r="E179" s="123" t="s">
        <v>3812</v>
      </c>
      <c r="F179" s="123" t="s">
        <v>196</v>
      </c>
      <c r="G179" s="123" t="s">
        <v>198</v>
      </c>
      <c r="H179" s="124" t="s">
        <v>3813</v>
      </c>
      <c r="I179" s="122">
        <v>46179</v>
      </c>
      <c r="J179" s="123" t="s">
        <v>3814</v>
      </c>
      <c r="K179" s="122">
        <v>46181</v>
      </c>
      <c r="L179" s="123" t="s">
        <v>199</v>
      </c>
      <c r="M179" s="123" t="s">
        <v>3811</v>
      </c>
      <c r="N179" s="124" t="s">
        <v>271</v>
      </c>
      <c r="O179" s="123">
        <v>494</v>
      </c>
      <c r="P179" s="124">
        <v>100</v>
      </c>
      <c r="Q179" s="125">
        <f t="shared" si="559"/>
        <v>49400</v>
      </c>
      <c r="R179" s="126">
        <v>0</v>
      </c>
      <c r="S179" s="125">
        <f t="shared" si="560"/>
        <v>494</v>
      </c>
      <c r="T179" s="126">
        <v>0</v>
      </c>
      <c r="U179" s="127">
        <v>0</v>
      </c>
      <c r="V179" s="128">
        <v>0</v>
      </c>
      <c r="W179" s="127">
        <v>0</v>
      </c>
      <c r="X179" s="129">
        <v>0</v>
      </c>
      <c r="Y179" s="127">
        <v>0</v>
      </c>
      <c r="Z179" s="127">
        <v>0</v>
      </c>
      <c r="AA179" s="126">
        <v>0</v>
      </c>
      <c r="AB179" s="130">
        <f t="shared" si="561"/>
        <v>0</v>
      </c>
      <c r="AC179" s="129">
        <v>0</v>
      </c>
      <c r="AD179" s="125">
        <f t="shared" si="562"/>
        <v>100</v>
      </c>
      <c r="AE179" s="144">
        <v>0</v>
      </c>
      <c r="AF179" s="127">
        <v>0</v>
      </c>
      <c r="AG179" s="131">
        <v>0</v>
      </c>
      <c r="AH179" s="127">
        <v>0</v>
      </c>
      <c r="AI179" s="128">
        <v>0</v>
      </c>
      <c r="AJ179" s="127">
        <v>0</v>
      </c>
      <c r="AK179" s="127">
        <v>0</v>
      </c>
      <c r="AL179" s="127">
        <v>0</v>
      </c>
      <c r="AM179" s="132">
        <f t="shared" si="563"/>
        <v>49400</v>
      </c>
      <c r="AN179" s="133">
        <v>46181</v>
      </c>
      <c r="AO179" s="134" t="s">
        <v>3942</v>
      </c>
      <c r="AP179" s="135" t="s">
        <v>234</v>
      </c>
      <c r="AQ179" s="136" t="s">
        <v>235</v>
      </c>
      <c r="AR179" s="136" t="s">
        <v>236</v>
      </c>
      <c r="AS179" s="123" t="s">
        <v>237</v>
      </c>
      <c r="AT179" s="137" t="s">
        <v>238</v>
      </c>
      <c r="AU179" s="137" t="s">
        <v>197</v>
      </c>
      <c r="AV179" s="138" t="s">
        <v>329</v>
      </c>
      <c r="AW179" s="136">
        <v>494</v>
      </c>
      <c r="AX179" s="138">
        <v>120</v>
      </c>
      <c r="AY179" s="136">
        <f t="shared" si="564"/>
        <v>59280</v>
      </c>
      <c r="AZ179" s="139" t="b">
        <f t="shared" si="565"/>
        <v>1</v>
      </c>
      <c r="BA179" s="125">
        <v>0</v>
      </c>
      <c r="BB179" s="140">
        <f t="shared" si="566"/>
        <v>494</v>
      </c>
      <c r="BC179" s="141">
        <v>0</v>
      </c>
      <c r="BD179" s="140" t="s">
        <v>107</v>
      </c>
      <c r="BE179" s="141">
        <v>0</v>
      </c>
      <c r="BF179" s="140">
        <v>0</v>
      </c>
      <c r="BG179" s="141">
        <v>0</v>
      </c>
      <c r="BH179" s="127">
        <v>0</v>
      </c>
      <c r="BI179" s="130">
        <v>0</v>
      </c>
      <c r="BJ179" s="128">
        <v>0</v>
      </c>
      <c r="BK179" s="125">
        <v>0</v>
      </c>
      <c r="BL179" s="136">
        <v>0</v>
      </c>
      <c r="BM179" s="127">
        <v>0</v>
      </c>
      <c r="BN179" s="142">
        <f t="shared" si="567"/>
        <v>0</v>
      </c>
      <c r="BO179" s="126">
        <f t="shared" si="568"/>
        <v>59280</v>
      </c>
      <c r="BP179" s="132">
        <f t="shared" si="569"/>
        <v>9880</v>
      </c>
      <c r="BQ179" s="141" t="str">
        <f t="shared" si="570"/>
        <v>Positive Margin</v>
      </c>
      <c r="BR179" s="143" t="s">
        <v>119</v>
      </c>
      <c r="BS179" s="125">
        <f t="shared" si="571"/>
        <v>9880</v>
      </c>
      <c r="BT179" s="144" t="str">
        <f t="shared" si="572"/>
        <v>Positive Margin at Inception</v>
      </c>
      <c r="BU179" s="145">
        <f t="shared" si="573"/>
        <v>0.16666666666666666</v>
      </c>
      <c r="BV179" s="144" t="str">
        <f t="shared" si="574"/>
        <v>More than 2%</v>
      </c>
      <c r="BW179" s="125">
        <f t="shared" si="575"/>
        <v>0</v>
      </c>
      <c r="BX179" s="126">
        <f t="shared" si="576"/>
        <v>0</v>
      </c>
      <c r="BY179" s="125">
        <f t="shared" si="577"/>
        <v>0</v>
      </c>
      <c r="BZ179" s="146">
        <f t="shared" si="578"/>
        <v>0</v>
      </c>
      <c r="CA179" s="146">
        <f t="shared" si="579"/>
        <v>0</v>
      </c>
      <c r="CB179" s="127">
        <f t="shared" si="580"/>
        <v>0</v>
      </c>
      <c r="CC179" s="146" t="s">
        <v>397</v>
      </c>
      <c r="CD179" s="127">
        <v>0</v>
      </c>
      <c r="CE179" s="127" t="str">
        <f t="shared" si="581"/>
        <v>Jun-26</v>
      </c>
      <c r="CF179" s="127">
        <f t="shared" si="582"/>
        <v>49400</v>
      </c>
      <c r="CG179" s="127">
        <f t="shared" si="583"/>
        <v>59280</v>
      </c>
      <c r="CH179" s="127">
        <f t="shared" si="584"/>
        <v>10</v>
      </c>
      <c r="CI179" s="147" t="str">
        <f t="shared" si="585"/>
        <v>BG AHD</v>
      </c>
      <c r="CJ179" s="127">
        <v>0</v>
      </c>
      <c r="CK179" s="127">
        <v>0</v>
      </c>
      <c r="CL179" s="127">
        <f t="shared" si="586"/>
        <v>9880</v>
      </c>
      <c r="CM179" s="127">
        <f t="shared" si="587"/>
        <v>9880</v>
      </c>
      <c r="CN179" s="127">
        <f t="shared" si="588"/>
        <v>9880</v>
      </c>
      <c r="CO179" s="127">
        <f t="shared" si="589"/>
        <v>69950.399999999994</v>
      </c>
      <c r="CP179" s="127">
        <f t="shared" si="590"/>
        <v>-58292</v>
      </c>
      <c r="CQ179" s="127">
        <f t="shared" si="591"/>
        <v>0</v>
      </c>
      <c r="CR179" s="127">
        <f t="shared" si="592"/>
        <v>0</v>
      </c>
      <c r="CS179" s="127">
        <f t="shared" si="593"/>
        <v>11658.399999999994</v>
      </c>
      <c r="CT179" s="127" t="s">
        <v>361</v>
      </c>
      <c r="CU179" s="127" t="s">
        <v>361</v>
      </c>
      <c r="CV179" s="142" t="str">
        <f t="shared" si="594"/>
        <v>AAMCB5608A</v>
      </c>
      <c r="CW179" s="142" t="str">
        <f t="shared" si="595"/>
        <v>BJHPB3107J</v>
      </c>
    </row>
    <row r="180" spans="2:101" s="149" customFormat="1" ht="11.85" customHeight="1" x14ac:dyDescent="0.25">
      <c r="B180" s="120" t="str">
        <f t="shared" si="557"/>
        <v>Q1</v>
      </c>
      <c r="C180" s="121" t="str">
        <f t="shared" si="558"/>
        <v>Jun-26</v>
      </c>
      <c r="D180" s="122">
        <v>46179</v>
      </c>
      <c r="E180" s="123" t="s">
        <v>3815</v>
      </c>
      <c r="F180" s="123" t="s">
        <v>196</v>
      </c>
      <c r="G180" s="123" t="s">
        <v>198</v>
      </c>
      <c r="H180" s="124" t="s">
        <v>3816</v>
      </c>
      <c r="I180" s="122">
        <v>46179</v>
      </c>
      <c r="J180" s="123" t="s">
        <v>3817</v>
      </c>
      <c r="K180" s="122">
        <v>46179</v>
      </c>
      <c r="L180" s="123" t="s">
        <v>199</v>
      </c>
      <c r="M180" s="123" t="s">
        <v>3818</v>
      </c>
      <c r="N180" s="124" t="s">
        <v>3102</v>
      </c>
      <c r="O180" s="123">
        <v>2090</v>
      </c>
      <c r="P180" s="124">
        <v>2.5</v>
      </c>
      <c r="Q180" s="125">
        <f t="shared" si="559"/>
        <v>5225</v>
      </c>
      <c r="R180" s="126">
        <v>0</v>
      </c>
      <c r="S180" s="125">
        <f t="shared" si="560"/>
        <v>2090</v>
      </c>
      <c r="T180" s="126">
        <v>0</v>
      </c>
      <c r="U180" s="127">
        <v>0</v>
      </c>
      <c r="V180" s="128">
        <v>0</v>
      </c>
      <c r="W180" s="127">
        <v>0</v>
      </c>
      <c r="X180" s="129">
        <v>0</v>
      </c>
      <c r="Y180" s="127">
        <v>0</v>
      </c>
      <c r="Z180" s="127">
        <v>0</v>
      </c>
      <c r="AA180" s="126">
        <v>0</v>
      </c>
      <c r="AB180" s="130">
        <f t="shared" si="561"/>
        <v>0</v>
      </c>
      <c r="AC180" s="129">
        <v>0</v>
      </c>
      <c r="AD180" s="125">
        <f t="shared" si="562"/>
        <v>2.5</v>
      </c>
      <c r="AE180" s="144">
        <v>0</v>
      </c>
      <c r="AF180" s="127">
        <v>0</v>
      </c>
      <c r="AG180" s="131">
        <v>0</v>
      </c>
      <c r="AH180" s="127">
        <v>0</v>
      </c>
      <c r="AI180" s="128">
        <v>0</v>
      </c>
      <c r="AJ180" s="127">
        <v>0</v>
      </c>
      <c r="AK180" s="127">
        <v>0</v>
      </c>
      <c r="AL180" s="127">
        <v>0</v>
      </c>
      <c r="AM180" s="132">
        <f t="shared" si="563"/>
        <v>5225</v>
      </c>
      <c r="AN180" s="133">
        <v>46179</v>
      </c>
      <c r="AO180" s="134" t="s">
        <v>3929</v>
      </c>
      <c r="AP180" s="135" t="s">
        <v>1937</v>
      </c>
      <c r="AQ180" s="136" t="s">
        <v>1938</v>
      </c>
      <c r="AR180" s="136" t="s">
        <v>1939</v>
      </c>
      <c r="AS180" s="123" t="s">
        <v>2976</v>
      </c>
      <c r="AT180" s="137" t="s">
        <v>1940</v>
      </c>
      <c r="AU180" s="137" t="s">
        <v>197</v>
      </c>
      <c r="AV180" s="138" t="s">
        <v>329</v>
      </c>
      <c r="AW180" s="136">
        <v>2090</v>
      </c>
      <c r="AX180" s="138">
        <v>3</v>
      </c>
      <c r="AY180" s="136">
        <f t="shared" si="564"/>
        <v>6270</v>
      </c>
      <c r="AZ180" s="139" t="b">
        <f t="shared" si="565"/>
        <v>1</v>
      </c>
      <c r="BA180" s="125">
        <v>0</v>
      </c>
      <c r="BB180" s="140">
        <f t="shared" si="566"/>
        <v>2090</v>
      </c>
      <c r="BC180" s="141">
        <v>0</v>
      </c>
      <c r="BD180" s="140" t="s">
        <v>107</v>
      </c>
      <c r="BE180" s="141">
        <v>0</v>
      </c>
      <c r="BF180" s="140">
        <v>0</v>
      </c>
      <c r="BG180" s="141">
        <v>0</v>
      </c>
      <c r="BH180" s="127">
        <v>0</v>
      </c>
      <c r="BI180" s="130">
        <v>0</v>
      </c>
      <c r="BJ180" s="128">
        <v>0</v>
      </c>
      <c r="BK180" s="125">
        <v>0</v>
      </c>
      <c r="BL180" s="136">
        <v>0</v>
      </c>
      <c r="BM180" s="127">
        <v>0</v>
      </c>
      <c r="BN180" s="142">
        <f t="shared" si="567"/>
        <v>0</v>
      </c>
      <c r="BO180" s="126">
        <f t="shared" si="568"/>
        <v>6270</v>
      </c>
      <c r="BP180" s="132">
        <f t="shared" si="569"/>
        <v>1045</v>
      </c>
      <c r="BQ180" s="141" t="str">
        <f t="shared" si="570"/>
        <v>Positive Margin</v>
      </c>
      <c r="BR180" s="143" t="s">
        <v>119</v>
      </c>
      <c r="BS180" s="125">
        <f t="shared" si="571"/>
        <v>1045</v>
      </c>
      <c r="BT180" s="144" t="str">
        <f t="shared" si="572"/>
        <v>Positive Margin at Inception</v>
      </c>
      <c r="BU180" s="145">
        <f t="shared" si="573"/>
        <v>0.16666666666666666</v>
      </c>
      <c r="BV180" s="144" t="str">
        <f t="shared" si="574"/>
        <v>More than 2%</v>
      </c>
      <c r="BW180" s="125">
        <f t="shared" si="575"/>
        <v>0</v>
      </c>
      <c r="BX180" s="126">
        <f t="shared" si="576"/>
        <v>0</v>
      </c>
      <c r="BY180" s="125">
        <f t="shared" si="577"/>
        <v>0</v>
      </c>
      <c r="BZ180" s="146">
        <f t="shared" si="578"/>
        <v>0</v>
      </c>
      <c r="CA180" s="146">
        <f t="shared" si="579"/>
        <v>0</v>
      </c>
      <c r="CB180" s="127">
        <f t="shared" si="580"/>
        <v>0</v>
      </c>
      <c r="CC180" s="146" t="s">
        <v>397</v>
      </c>
      <c r="CD180" s="127">
        <v>0</v>
      </c>
      <c r="CE180" s="127" t="str">
        <f t="shared" si="581"/>
        <v>Jun-26</v>
      </c>
      <c r="CF180" s="127">
        <f t="shared" si="582"/>
        <v>5225</v>
      </c>
      <c r="CG180" s="127">
        <f t="shared" si="583"/>
        <v>6270</v>
      </c>
      <c r="CH180" s="127">
        <f t="shared" si="584"/>
        <v>10</v>
      </c>
      <c r="CI180" s="147" t="str">
        <f t="shared" si="585"/>
        <v>BG AHD</v>
      </c>
      <c r="CJ180" s="127">
        <v>0</v>
      </c>
      <c r="CK180" s="127">
        <v>0</v>
      </c>
      <c r="CL180" s="127">
        <f t="shared" si="586"/>
        <v>1045</v>
      </c>
      <c r="CM180" s="127">
        <f t="shared" si="587"/>
        <v>1045</v>
      </c>
      <c r="CN180" s="127">
        <f t="shared" si="588"/>
        <v>1045</v>
      </c>
      <c r="CO180" s="127">
        <f t="shared" si="589"/>
        <v>7398.5999999999995</v>
      </c>
      <c r="CP180" s="127">
        <f t="shared" si="590"/>
        <v>-6165.5</v>
      </c>
      <c r="CQ180" s="127">
        <f t="shared" si="591"/>
        <v>0</v>
      </c>
      <c r="CR180" s="127">
        <f t="shared" si="592"/>
        <v>0</v>
      </c>
      <c r="CS180" s="127">
        <f t="shared" si="593"/>
        <v>1233.0999999999995</v>
      </c>
      <c r="CT180" s="127" t="s">
        <v>361</v>
      </c>
      <c r="CU180" s="127" t="s">
        <v>361</v>
      </c>
      <c r="CV180" s="142" t="str">
        <f t="shared" si="594"/>
        <v>AAMCB5608A</v>
      </c>
      <c r="CW180" s="142" t="str">
        <f t="shared" si="595"/>
        <v>AFDPY5902R</v>
      </c>
    </row>
    <row r="181" spans="2:101" s="149" customFormat="1" ht="11.85" customHeight="1" x14ac:dyDescent="0.25">
      <c r="B181" s="120" t="str">
        <f t="shared" si="557"/>
        <v>Q1</v>
      </c>
      <c r="C181" s="121" t="str">
        <f t="shared" si="558"/>
        <v>Jun-26</v>
      </c>
      <c r="D181" s="122">
        <v>46179</v>
      </c>
      <c r="E181" s="123" t="s">
        <v>3819</v>
      </c>
      <c r="F181" s="123" t="s">
        <v>196</v>
      </c>
      <c r="G181" s="123" t="s">
        <v>198</v>
      </c>
      <c r="H181" s="124" t="s">
        <v>3820</v>
      </c>
      <c r="I181" s="122">
        <v>46179</v>
      </c>
      <c r="J181" s="123" t="s">
        <v>3821</v>
      </c>
      <c r="K181" s="122">
        <v>46179</v>
      </c>
      <c r="L181" s="123" t="s">
        <v>199</v>
      </c>
      <c r="M181" s="123" t="s">
        <v>3822</v>
      </c>
      <c r="N181" s="124" t="s">
        <v>3384</v>
      </c>
      <c r="O181" s="123">
        <v>17960</v>
      </c>
      <c r="P181" s="124">
        <v>27</v>
      </c>
      <c r="Q181" s="125">
        <f t="shared" si="559"/>
        <v>484920</v>
      </c>
      <c r="R181" s="126">
        <v>0</v>
      </c>
      <c r="S181" s="125">
        <f t="shared" si="560"/>
        <v>17960</v>
      </c>
      <c r="T181" s="126">
        <v>0</v>
      </c>
      <c r="U181" s="127">
        <v>0</v>
      </c>
      <c r="V181" s="128">
        <v>0</v>
      </c>
      <c r="W181" s="127">
        <v>0</v>
      </c>
      <c r="X181" s="129">
        <v>0</v>
      </c>
      <c r="Y181" s="127">
        <v>0</v>
      </c>
      <c r="Z181" s="127">
        <v>0</v>
      </c>
      <c r="AA181" s="126">
        <v>0</v>
      </c>
      <c r="AB181" s="130">
        <f t="shared" si="561"/>
        <v>0</v>
      </c>
      <c r="AC181" s="129">
        <v>0</v>
      </c>
      <c r="AD181" s="125">
        <f t="shared" si="562"/>
        <v>27</v>
      </c>
      <c r="AE181" s="144">
        <v>0</v>
      </c>
      <c r="AF181" s="127">
        <v>0</v>
      </c>
      <c r="AG181" s="131">
        <v>0</v>
      </c>
      <c r="AH181" s="127">
        <v>0</v>
      </c>
      <c r="AI181" s="128">
        <v>0</v>
      </c>
      <c r="AJ181" s="127">
        <v>0</v>
      </c>
      <c r="AK181" s="127">
        <v>0</v>
      </c>
      <c r="AL181" s="127">
        <v>0</v>
      </c>
      <c r="AM181" s="132">
        <f t="shared" si="563"/>
        <v>484920</v>
      </c>
      <c r="AN181" s="133">
        <v>46179</v>
      </c>
      <c r="AO181" s="134" t="s">
        <v>3939</v>
      </c>
      <c r="AP181" s="135" t="s">
        <v>234</v>
      </c>
      <c r="AQ181" s="136" t="s">
        <v>235</v>
      </c>
      <c r="AR181" s="136" t="s">
        <v>236</v>
      </c>
      <c r="AS181" s="123" t="s">
        <v>237</v>
      </c>
      <c r="AT181" s="137" t="s">
        <v>238</v>
      </c>
      <c r="AU181" s="137" t="s">
        <v>197</v>
      </c>
      <c r="AV181" s="138" t="s">
        <v>329</v>
      </c>
      <c r="AW181" s="136">
        <v>17960</v>
      </c>
      <c r="AX181" s="138">
        <v>28</v>
      </c>
      <c r="AY181" s="136">
        <f t="shared" si="564"/>
        <v>502880</v>
      </c>
      <c r="AZ181" s="139" t="b">
        <f t="shared" si="565"/>
        <v>1</v>
      </c>
      <c r="BA181" s="125">
        <v>0</v>
      </c>
      <c r="BB181" s="140">
        <f t="shared" si="566"/>
        <v>17960</v>
      </c>
      <c r="BC181" s="141">
        <v>0</v>
      </c>
      <c r="BD181" s="140" t="s">
        <v>107</v>
      </c>
      <c r="BE181" s="141">
        <v>0</v>
      </c>
      <c r="BF181" s="140">
        <v>0</v>
      </c>
      <c r="BG181" s="141">
        <v>0</v>
      </c>
      <c r="BH181" s="127">
        <v>0</v>
      </c>
      <c r="BI181" s="130">
        <v>0</v>
      </c>
      <c r="BJ181" s="128">
        <v>0</v>
      </c>
      <c r="BK181" s="125">
        <v>0</v>
      </c>
      <c r="BL181" s="136">
        <v>0</v>
      </c>
      <c r="BM181" s="127">
        <v>0</v>
      </c>
      <c r="BN181" s="142">
        <f t="shared" si="567"/>
        <v>0</v>
      </c>
      <c r="BO181" s="126">
        <f t="shared" si="568"/>
        <v>502880</v>
      </c>
      <c r="BP181" s="132">
        <f t="shared" si="569"/>
        <v>17960</v>
      </c>
      <c r="BQ181" s="141" t="str">
        <f t="shared" si="570"/>
        <v>Positive Margin</v>
      </c>
      <c r="BR181" s="143" t="s">
        <v>119</v>
      </c>
      <c r="BS181" s="125">
        <f t="shared" si="571"/>
        <v>17960</v>
      </c>
      <c r="BT181" s="144" t="str">
        <f t="shared" si="572"/>
        <v>Positive Margin at Inception</v>
      </c>
      <c r="BU181" s="145">
        <f t="shared" si="573"/>
        <v>3.5714285714285712E-2</v>
      </c>
      <c r="BV181" s="144" t="str">
        <f t="shared" si="574"/>
        <v>More than 2%</v>
      </c>
      <c r="BW181" s="125">
        <f t="shared" si="575"/>
        <v>0</v>
      </c>
      <c r="BX181" s="126">
        <f t="shared" si="576"/>
        <v>0</v>
      </c>
      <c r="BY181" s="125">
        <f t="shared" si="577"/>
        <v>0</v>
      </c>
      <c r="BZ181" s="146">
        <f t="shared" si="578"/>
        <v>0</v>
      </c>
      <c r="CA181" s="146">
        <f t="shared" si="579"/>
        <v>0</v>
      </c>
      <c r="CB181" s="127">
        <f t="shared" si="580"/>
        <v>0</v>
      </c>
      <c r="CC181" s="146" t="s">
        <v>397</v>
      </c>
      <c r="CD181" s="127">
        <v>0</v>
      </c>
      <c r="CE181" s="127" t="str">
        <f t="shared" si="581"/>
        <v>Jun-26</v>
      </c>
      <c r="CF181" s="127">
        <f t="shared" si="582"/>
        <v>484920</v>
      </c>
      <c r="CG181" s="127">
        <f t="shared" si="583"/>
        <v>502880</v>
      </c>
      <c r="CH181" s="127">
        <f t="shared" si="584"/>
        <v>10</v>
      </c>
      <c r="CI181" s="147" t="str">
        <f t="shared" si="585"/>
        <v>BG AHD</v>
      </c>
      <c r="CJ181" s="127">
        <v>0</v>
      </c>
      <c r="CK181" s="127">
        <v>0</v>
      </c>
      <c r="CL181" s="127">
        <f t="shared" si="586"/>
        <v>17960</v>
      </c>
      <c r="CM181" s="127">
        <f t="shared" si="587"/>
        <v>17960</v>
      </c>
      <c r="CN181" s="127">
        <f t="shared" si="588"/>
        <v>17960</v>
      </c>
      <c r="CO181" s="127">
        <f t="shared" si="589"/>
        <v>593398.4</v>
      </c>
      <c r="CP181" s="127">
        <f t="shared" si="590"/>
        <v>-572205.6</v>
      </c>
      <c r="CQ181" s="127">
        <f t="shared" si="591"/>
        <v>0</v>
      </c>
      <c r="CR181" s="127">
        <f t="shared" si="592"/>
        <v>0</v>
      </c>
      <c r="CS181" s="127">
        <f t="shared" si="593"/>
        <v>21192.800000000047</v>
      </c>
      <c r="CT181" s="127" t="s">
        <v>361</v>
      </c>
      <c r="CU181" s="127" t="s">
        <v>361</v>
      </c>
      <c r="CV181" s="142" t="str">
        <f t="shared" si="594"/>
        <v>AAMCB5608A</v>
      </c>
      <c r="CW181" s="142" t="str">
        <f t="shared" si="595"/>
        <v>BJHPB3107J</v>
      </c>
    </row>
    <row r="182" spans="2:101" s="149" customFormat="1" ht="11.85" customHeight="1" x14ac:dyDescent="0.25">
      <c r="B182" s="120" t="str">
        <f t="shared" si="557"/>
        <v>Q1</v>
      </c>
      <c r="C182" s="121" t="str">
        <f t="shared" si="558"/>
        <v>Jun-26</v>
      </c>
      <c r="D182" s="122">
        <v>46181</v>
      </c>
      <c r="E182" s="123" t="s">
        <v>3823</v>
      </c>
      <c r="F182" s="123" t="s">
        <v>196</v>
      </c>
      <c r="G182" s="123" t="s">
        <v>198</v>
      </c>
      <c r="H182" s="124" t="s">
        <v>3824</v>
      </c>
      <c r="I182" s="122">
        <v>46181</v>
      </c>
      <c r="J182" s="123" t="s">
        <v>3825</v>
      </c>
      <c r="K182" s="122">
        <v>46181</v>
      </c>
      <c r="L182" s="123" t="s">
        <v>199</v>
      </c>
      <c r="M182" s="123" t="s">
        <v>3462</v>
      </c>
      <c r="N182" s="124" t="s">
        <v>1436</v>
      </c>
      <c r="O182" s="123">
        <v>1040</v>
      </c>
      <c r="P182" s="124">
        <v>33</v>
      </c>
      <c r="Q182" s="125">
        <f t="shared" si="559"/>
        <v>34320</v>
      </c>
      <c r="R182" s="126">
        <v>0</v>
      </c>
      <c r="S182" s="125">
        <f t="shared" si="560"/>
        <v>1040</v>
      </c>
      <c r="T182" s="126">
        <v>0</v>
      </c>
      <c r="U182" s="127">
        <v>0</v>
      </c>
      <c r="V182" s="128">
        <v>0</v>
      </c>
      <c r="W182" s="127">
        <v>0</v>
      </c>
      <c r="X182" s="129">
        <v>0</v>
      </c>
      <c r="Y182" s="127">
        <v>0</v>
      </c>
      <c r="Z182" s="127">
        <v>0</v>
      </c>
      <c r="AA182" s="126">
        <v>0</v>
      </c>
      <c r="AB182" s="130">
        <f t="shared" si="561"/>
        <v>0</v>
      </c>
      <c r="AC182" s="129">
        <v>0</v>
      </c>
      <c r="AD182" s="125">
        <f t="shared" si="562"/>
        <v>33</v>
      </c>
      <c r="AE182" s="144">
        <v>0</v>
      </c>
      <c r="AF182" s="127">
        <v>0</v>
      </c>
      <c r="AG182" s="131">
        <v>0</v>
      </c>
      <c r="AH182" s="127">
        <v>0</v>
      </c>
      <c r="AI182" s="128">
        <v>0</v>
      </c>
      <c r="AJ182" s="127">
        <v>0</v>
      </c>
      <c r="AK182" s="127">
        <v>0</v>
      </c>
      <c r="AL182" s="127">
        <v>0</v>
      </c>
      <c r="AM182" s="132">
        <f t="shared" si="563"/>
        <v>34320</v>
      </c>
      <c r="AN182" s="133">
        <v>46181</v>
      </c>
      <c r="AO182" s="134" t="s">
        <v>3930</v>
      </c>
      <c r="AP182" s="135" t="s">
        <v>234</v>
      </c>
      <c r="AQ182" s="136" t="s">
        <v>235</v>
      </c>
      <c r="AR182" s="136" t="s">
        <v>236</v>
      </c>
      <c r="AS182" s="123" t="s">
        <v>2005</v>
      </c>
      <c r="AT182" s="137" t="s">
        <v>238</v>
      </c>
      <c r="AU182" s="137" t="s">
        <v>197</v>
      </c>
      <c r="AV182" s="138" t="s">
        <v>329</v>
      </c>
      <c r="AW182" s="136">
        <v>1040</v>
      </c>
      <c r="AX182" s="138">
        <v>38</v>
      </c>
      <c r="AY182" s="136">
        <f t="shared" si="564"/>
        <v>39520</v>
      </c>
      <c r="AZ182" s="139" t="b">
        <f t="shared" si="565"/>
        <v>1</v>
      </c>
      <c r="BA182" s="125">
        <v>0</v>
      </c>
      <c r="BB182" s="140">
        <f t="shared" si="566"/>
        <v>1040</v>
      </c>
      <c r="BC182" s="141">
        <v>0</v>
      </c>
      <c r="BD182" s="140" t="s">
        <v>107</v>
      </c>
      <c r="BE182" s="141">
        <v>0</v>
      </c>
      <c r="BF182" s="140">
        <v>0</v>
      </c>
      <c r="BG182" s="141">
        <v>0</v>
      </c>
      <c r="BH182" s="127">
        <v>0</v>
      </c>
      <c r="BI182" s="130">
        <v>0</v>
      </c>
      <c r="BJ182" s="128">
        <v>0</v>
      </c>
      <c r="BK182" s="125">
        <v>0</v>
      </c>
      <c r="BL182" s="136">
        <v>0</v>
      </c>
      <c r="BM182" s="127">
        <v>0</v>
      </c>
      <c r="BN182" s="142">
        <f t="shared" si="567"/>
        <v>0</v>
      </c>
      <c r="BO182" s="126">
        <f t="shared" si="568"/>
        <v>39520</v>
      </c>
      <c r="BP182" s="132">
        <f t="shared" si="569"/>
        <v>5200</v>
      </c>
      <c r="BQ182" s="141" t="str">
        <f t="shared" si="570"/>
        <v>Positive Margin</v>
      </c>
      <c r="BR182" s="143" t="s">
        <v>119</v>
      </c>
      <c r="BS182" s="125">
        <f t="shared" si="571"/>
        <v>5200</v>
      </c>
      <c r="BT182" s="144" t="str">
        <f t="shared" si="572"/>
        <v>Positive Margin at Inception</v>
      </c>
      <c r="BU182" s="145">
        <f t="shared" si="573"/>
        <v>0.13157894736842105</v>
      </c>
      <c r="BV182" s="144" t="str">
        <f t="shared" si="574"/>
        <v>More than 2%</v>
      </c>
      <c r="BW182" s="125">
        <f t="shared" si="575"/>
        <v>0</v>
      </c>
      <c r="BX182" s="126">
        <f t="shared" si="576"/>
        <v>0</v>
      </c>
      <c r="BY182" s="125">
        <f t="shared" si="577"/>
        <v>0</v>
      </c>
      <c r="BZ182" s="146">
        <f t="shared" si="578"/>
        <v>0</v>
      </c>
      <c r="CA182" s="146">
        <f t="shared" si="579"/>
        <v>0</v>
      </c>
      <c r="CB182" s="127">
        <f t="shared" si="580"/>
        <v>0</v>
      </c>
      <c r="CC182" s="146" t="s">
        <v>397</v>
      </c>
      <c r="CD182" s="127">
        <v>0</v>
      </c>
      <c r="CE182" s="127" t="str">
        <f t="shared" si="581"/>
        <v>Jun-26</v>
      </c>
      <c r="CF182" s="127">
        <f t="shared" si="582"/>
        <v>34320</v>
      </c>
      <c r="CG182" s="127">
        <f t="shared" si="583"/>
        <v>39520</v>
      </c>
      <c r="CH182" s="127">
        <f t="shared" si="584"/>
        <v>10</v>
      </c>
      <c r="CI182" s="147" t="str">
        <f t="shared" si="585"/>
        <v>BG AHD</v>
      </c>
      <c r="CJ182" s="127">
        <v>0</v>
      </c>
      <c r="CK182" s="127">
        <v>0</v>
      </c>
      <c r="CL182" s="127">
        <f t="shared" si="586"/>
        <v>5200</v>
      </c>
      <c r="CM182" s="127">
        <f t="shared" si="587"/>
        <v>5200</v>
      </c>
      <c r="CN182" s="127">
        <f t="shared" si="588"/>
        <v>5200</v>
      </c>
      <c r="CO182" s="127">
        <f t="shared" si="589"/>
        <v>46633.599999999999</v>
      </c>
      <c r="CP182" s="127">
        <f t="shared" si="590"/>
        <v>-40497.599999999999</v>
      </c>
      <c r="CQ182" s="127">
        <f t="shared" si="591"/>
        <v>0</v>
      </c>
      <c r="CR182" s="127">
        <f t="shared" si="592"/>
        <v>0</v>
      </c>
      <c r="CS182" s="127">
        <f t="shared" si="593"/>
        <v>6136</v>
      </c>
      <c r="CT182" s="127" t="s">
        <v>361</v>
      </c>
      <c r="CU182" s="127" t="s">
        <v>361</v>
      </c>
      <c r="CV182" s="142" t="str">
        <f t="shared" si="594"/>
        <v>AAMCB5608A</v>
      </c>
      <c r="CW182" s="142" t="str">
        <f t="shared" si="595"/>
        <v>BJHPB3107J</v>
      </c>
    </row>
    <row r="183" spans="2:101" s="149" customFormat="1" ht="11.85" customHeight="1" x14ac:dyDescent="0.25">
      <c r="B183" s="120" t="str">
        <f t="shared" si="557"/>
        <v>Q1</v>
      </c>
      <c r="C183" s="121" t="str">
        <f t="shared" si="558"/>
        <v>Jun-26</v>
      </c>
      <c r="D183" s="122">
        <v>46181</v>
      </c>
      <c r="E183" s="123" t="s">
        <v>3823</v>
      </c>
      <c r="F183" s="123" t="s">
        <v>196</v>
      </c>
      <c r="G183" s="123" t="s">
        <v>198</v>
      </c>
      <c r="H183" s="124" t="s">
        <v>3824</v>
      </c>
      <c r="I183" s="122">
        <v>46181</v>
      </c>
      <c r="J183" s="123" t="s">
        <v>3825</v>
      </c>
      <c r="K183" s="122">
        <v>46181</v>
      </c>
      <c r="L183" s="123" t="s">
        <v>199</v>
      </c>
      <c r="M183" s="123" t="s">
        <v>3462</v>
      </c>
      <c r="N183" s="124" t="s">
        <v>294</v>
      </c>
      <c r="O183" s="123">
        <v>199</v>
      </c>
      <c r="P183" s="124">
        <v>20</v>
      </c>
      <c r="Q183" s="125">
        <f t="shared" si="559"/>
        <v>3980</v>
      </c>
      <c r="R183" s="126">
        <v>0</v>
      </c>
      <c r="S183" s="125">
        <f t="shared" si="560"/>
        <v>199</v>
      </c>
      <c r="T183" s="126">
        <v>0</v>
      </c>
      <c r="U183" s="127">
        <v>0</v>
      </c>
      <c r="V183" s="128">
        <v>0</v>
      </c>
      <c r="W183" s="127">
        <v>0</v>
      </c>
      <c r="X183" s="129">
        <v>0</v>
      </c>
      <c r="Y183" s="127">
        <v>0</v>
      </c>
      <c r="Z183" s="127">
        <v>0</v>
      </c>
      <c r="AA183" s="126">
        <v>0</v>
      </c>
      <c r="AB183" s="130">
        <f t="shared" si="561"/>
        <v>0</v>
      </c>
      <c r="AC183" s="129">
        <v>0</v>
      </c>
      <c r="AD183" s="125">
        <f t="shared" si="562"/>
        <v>20</v>
      </c>
      <c r="AE183" s="144">
        <v>0</v>
      </c>
      <c r="AF183" s="127">
        <v>0</v>
      </c>
      <c r="AG183" s="131">
        <v>0</v>
      </c>
      <c r="AH183" s="127">
        <v>0</v>
      </c>
      <c r="AI183" s="128">
        <v>0</v>
      </c>
      <c r="AJ183" s="127">
        <v>0</v>
      </c>
      <c r="AK183" s="127">
        <v>0</v>
      </c>
      <c r="AL183" s="127">
        <v>0</v>
      </c>
      <c r="AM183" s="132">
        <f t="shared" si="563"/>
        <v>3980</v>
      </c>
      <c r="AN183" s="133">
        <v>46181</v>
      </c>
      <c r="AO183" s="134" t="s">
        <v>3930</v>
      </c>
      <c r="AP183" s="135" t="s">
        <v>234</v>
      </c>
      <c r="AQ183" s="136" t="s">
        <v>235</v>
      </c>
      <c r="AR183" s="136" t="s">
        <v>236</v>
      </c>
      <c r="AS183" s="123" t="s">
        <v>2005</v>
      </c>
      <c r="AT183" s="137" t="s">
        <v>238</v>
      </c>
      <c r="AU183" s="137" t="s">
        <v>197</v>
      </c>
      <c r="AV183" s="138" t="s">
        <v>329</v>
      </c>
      <c r="AW183" s="136">
        <v>199</v>
      </c>
      <c r="AX183" s="138">
        <v>35</v>
      </c>
      <c r="AY183" s="136">
        <f t="shared" si="564"/>
        <v>6965</v>
      </c>
      <c r="AZ183" s="139" t="b">
        <f t="shared" si="565"/>
        <v>1</v>
      </c>
      <c r="BA183" s="125">
        <v>0</v>
      </c>
      <c r="BB183" s="140">
        <f t="shared" si="566"/>
        <v>199</v>
      </c>
      <c r="BC183" s="141">
        <v>0</v>
      </c>
      <c r="BD183" s="140" t="s">
        <v>107</v>
      </c>
      <c r="BE183" s="141">
        <v>0</v>
      </c>
      <c r="BF183" s="140">
        <v>0</v>
      </c>
      <c r="BG183" s="141">
        <v>0</v>
      </c>
      <c r="BH183" s="127">
        <v>0</v>
      </c>
      <c r="BI183" s="130">
        <v>0</v>
      </c>
      <c r="BJ183" s="128">
        <v>0</v>
      </c>
      <c r="BK183" s="125">
        <v>0</v>
      </c>
      <c r="BL183" s="136">
        <v>0</v>
      </c>
      <c r="BM183" s="127">
        <v>0</v>
      </c>
      <c r="BN183" s="142">
        <f t="shared" si="567"/>
        <v>0</v>
      </c>
      <c r="BO183" s="126">
        <f t="shared" si="568"/>
        <v>6965</v>
      </c>
      <c r="BP183" s="132">
        <f t="shared" si="569"/>
        <v>2985</v>
      </c>
      <c r="BQ183" s="141" t="str">
        <f t="shared" si="570"/>
        <v>Positive Margin</v>
      </c>
      <c r="BR183" s="143" t="s">
        <v>119</v>
      </c>
      <c r="BS183" s="125">
        <f t="shared" si="571"/>
        <v>2985</v>
      </c>
      <c r="BT183" s="144" t="str">
        <f t="shared" si="572"/>
        <v>Positive Margin at Inception</v>
      </c>
      <c r="BU183" s="145">
        <f t="shared" si="573"/>
        <v>0.42857142857142855</v>
      </c>
      <c r="BV183" s="144" t="str">
        <f t="shared" si="574"/>
        <v>More than 2%</v>
      </c>
      <c r="BW183" s="125">
        <f t="shared" si="575"/>
        <v>0</v>
      </c>
      <c r="BX183" s="126">
        <f t="shared" si="576"/>
        <v>0</v>
      </c>
      <c r="BY183" s="125">
        <f t="shared" si="577"/>
        <v>0</v>
      </c>
      <c r="BZ183" s="146">
        <f t="shared" si="578"/>
        <v>0</v>
      </c>
      <c r="CA183" s="146">
        <f t="shared" si="579"/>
        <v>0</v>
      </c>
      <c r="CB183" s="127">
        <f t="shared" si="580"/>
        <v>0</v>
      </c>
      <c r="CC183" s="146" t="s">
        <v>397</v>
      </c>
      <c r="CD183" s="127">
        <v>0</v>
      </c>
      <c r="CE183" s="127" t="str">
        <f t="shared" si="581"/>
        <v>Jun-26</v>
      </c>
      <c r="CF183" s="127">
        <f t="shared" si="582"/>
        <v>3980</v>
      </c>
      <c r="CG183" s="127">
        <f t="shared" si="583"/>
        <v>6965</v>
      </c>
      <c r="CH183" s="127">
        <f t="shared" si="584"/>
        <v>10</v>
      </c>
      <c r="CI183" s="147" t="str">
        <f t="shared" si="585"/>
        <v>BG AHD</v>
      </c>
      <c r="CJ183" s="127">
        <v>0</v>
      </c>
      <c r="CK183" s="127">
        <v>0</v>
      </c>
      <c r="CL183" s="127">
        <f t="shared" si="586"/>
        <v>2985</v>
      </c>
      <c r="CM183" s="127">
        <f t="shared" si="587"/>
        <v>2985</v>
      </c>
      <c r="CN183" s="127">
        <f t="shared" si="588"/>
        <v>2985</v>
      </c>
      <c r="CO183" s="127">
        <f t="shared" si="589"/>
        <v>8218.6999999999989</v>
      </c>
      <c r="CP183" s="127">
        <f t="shared" si="590"/>
        <v>-4696.3999999999996</v>
      </c>
      <c r="CQ183" s="127">
        <f t="shared" si="591"/>
        <v>0</v>
      </c>
      <c r="CR183" s="127">
        <f t="shared" si="592"/>
        <v>0</v>
      </c>
      <c r="CS183" s="127">
        <f t="shared" si="593"/>
        <v>3522.2999999999993</v>
      </c>
      <c r="CT183" s="127" t="s">
        <v>361</v>
      </c>
      <c r="CU183" s="127" t="s">
        <v>361</v>
      </c>
      <c r="CV183" s="142" t="str">
        <f t="shared" si="594"/>
        <v>AAMCB5608A</v>
      </c>
      <c r="CW183" s="142" t="str">
        <f t="shared" si="595"/>
        <v>BJHPB3107J</v>
      </c>
    </row>
    <row r="184" spans="2:101" s="149" customFormat="1" ht="11.85" customHeight="1" x14ac:dyDescent="0.25">
      <c r="B184" s="120" t="str">
        <f t="shared" si="557"/>
        <v>Q1</v>
      </c>
      <c r="C184" s="121" t="str">
        <f t="shared" si="558"/>
        <v>Jun-26</v>
      </c>
      <c r="D184" s="122">
        <v>46181</v>
      </c>
      <c r="E184" s="123" t="s">
        <v>3826</v>
      </c>
      <c r="F184" s="123" t="s">
        <v>3635</v>
      </c>
      <c r="G184" s="123" t="s">
        <v>3636</v>
      </c>
      <c r="H184" s="124" t="s">
        <v>3827</v>
      </c>
      <c r="I184" s="122">
        <v>46181</v>
      </c>
      <c r="J184" s="123" t="s">
        <v>3828</v>
      </c>
      <c r="K184" s="122">
        <v>46181</v>
      </c>
      <c r="L184" s="123" t="s">
        <v>199</v>
      </c>
      <c r="M184" s="123" t="s">
        <v>3137</v>
      </c>
      <c r="N184" s="124" t="s">
        <v>257</v>
      </c>
      <c r="O184" s="123">
        <v>3780</v>
      </c>
      <c r="P184" s="124">
        <v>27.3</v>
      </c>
      <c r="Q184" s="125">
        <f t="shared" si="559"/>
        <v>103194</v>
      </c>
      <c r="R184" s="126">
        <v>0</v>
      </c>
      <c r="S184" s="125">
        <f t="shared" si="560"/>
        <v>3780</v>
      </c>
      <c r="T184" s="126">
        <v>0</v>
      </c>
      <c r="U184" s="127">
        <v>0</v>
      </c>
      <c r="V184" s="128">
        <v>0</v>
      </c>
      <c r="W184" s="127">
        <v>0</v>
      </c>
      <c r="X184" s="129">
        <v>0</v>
      </c>
      <c r="Y184" s="127">
        <v>0</v>
      </c>
      <c r="Z184" s="127">
        <v>0</v>
      </c>
      <c r="AA184" s="126">
        <v>0</v>
      </c>
      <c r="AB184" s="130">
        <f t="shared" si="561"/>
        <v>0</v>
      </c>
      <c r="AC184" s="129">
        <v>0</v>
      </c>
      <c r="AD184" s="125">
        <f t="shared" si="562"/>
        <v>27.3</v>
      </c>
      <c r="AE184" s="144">
        <v>0</v>
      </c>
      <c r="AF184" s="127">
        <v>0</v>
      </c>
      <c r="AG184" s="131">
        <v>0</v>
      </c>
      <c r="AH184" s="127">
        <v>0</v>
      </c>
      <c r="AI184" s="128">
        <v>0</v>
      </c>
      <c r="AJ184" s="127">
        <v>0</v>
      </c>
      <c r="AK184" s="127">
        <v>0</v>
      </c>
      <c r="AL184" s="127">
        <v>0</v>
      </c>
      <c r="AM184" s="132">
        <f t="shared" si="563"/>
        <v>103194</v>
      </c>
      <c r="AN184" s="133">
        <v>46181</v>
      </c>
      <c r="AO184" s="134" t="s">
        <v>3934</v>
      </c>
      <c r="AP184" s="135" t="s">
        <v>1937</v>
      </c>
      <c r="AQ184" s="136" t="s">
        <v>1938</v>
      </c>
      <c r="AR184" s="136" t="s">
        <v>1939</v>
      </c>
      <c r="AS184" s="123" t="s">
        <v>3678</v>
      </c>
      <c r="AT184" s="137" t="s">
        <v>1940</v>
      </c>
      <c r="AU184" s="137" t="s">
        <v>197</v>
      </c>
      <c r="AV184" s="138" t="s">
        <v>3935</v>
      </c>
      <c r="AW184" s="136">
        <v>3780</v>
      </c>
      <c r="AX184" s="138">
        <v>27.9</v>
      </c>
      <c r="AY184" s="136">
        <f t="shared" si="564"/>
        <v>105462</v>
      </c>
      <c r="AZ184" s="139" t="b">
        <f t="shared" si="565"/>
        <v>1</v>
      </c>
      <c r="BA184" s="125">
        <v>0</v>
      </c>
      <c r="BB184" s="140">
        <f t="shared" si="566"/>
        <v>3780</v>
      </c>
      <c r="BC184" s="141">
        <v>0</v>
      </c>
      <c r="BD184" s="140" t="s">
        <v>107</v>
      </c>
      <c r="BE184" s="141">
        <v>0</v>
      </c>
      <c r="BF184" s="140">
        <v>0</v>
      </c>
      <c r="BG184" s="141">
        <v>0</v>
      </c>
      <c r="BH184" s="127">
        <v>0</v>
      </c>
      <c r="BI184" s="130">
        <v>0</v>
      </c>
      <c r="BJ184" s="128">
        <v>0</v>
      </c>
      <c r="BK184" s="125">
        <v>0</v>
      </c>
      <c r="BL184" s="136">
        <v>0</v>
      </c>
      <c r="BM184" s="127">
        <v>0</v>
      </c>
      <c r="BN184" s="142">
        <f t="shared" si="567"/>
        <v>0</v>
      </c>
      <c r="BO184" s="126">
        <f t="shared" si="568"/>
        <v>105462</v>
      </c>
      <c r="BP184" s="132">
        <f t="shared" si="569"/>
        <v>2268</v>
      </c>
      <c r="BQ184" s="141" t="str">
        <f t="shared" si="570"/>
        <v>Positive Margin</v>
      </c>
      <c r="BR184" s="143" t="s">
        <v>119</v>
      </c>
      <c r="BS184" s="125">
        <f t="shared" si="571"/>
        <v>2268</v>
      </c>
      <c r="BT184" s="144" t="str">
        <f t="shared" si="572"/>
        <v>Positive Margin at Inception</v>
      </c>
      <c r="BU184" s="145">
        <f t="shared" si="573"/>
        <v>2.1505376344086023E-2</v>
      </c>
      <c r="BV184" s="144" t="str">
        <f t="shared" si="574"/>
        <v>More than 2%</v>
      </c>
      <c r="BW184" s="125">
        <f t="shared" si="575"/>
        <v>0</v>
      </c>
      <c r="BX184" s="126">
        <f t="shared" si="576"/>
        <v>0</v>
      </c>
      <c r="BY184" s="125">
        <f t="shared" si="577"/>
        <v>0</v>
      </c>
      <c r="BZ184" s="146">
        <f t="shared" si="578"/>
        <v>0</v>
      </c>
      <c r="CA184" s="146">
        <f t="shared" si="579"/>
        <v>0</v>
      </c>
      <c r="CB184" s="127">
        <f t="shared" si="580"/>
        <v>0</v>
      </c>
      <c r="CC184" s="146" t="s">
        <v>397</v>
      </c>
      <c r="CD184" s="127">
        <v>0</v>
      </c>
      <c r="CE184" s="127" t="str">
        <f t="shared" si="581"/>
        <v>Jun-26</v>
      </c>
      <c r="CF184" s="127">
        <f t="shared" si="582"/>
        <v>103194</v>
      </c>
      <c r="CG184" s="127">
        <f t="shared" si="583"/>
        <v>105462</v>
      </c>
      <c r="CH184" s="127">
        <f t="shared" si="584"/>
        <v>10</v>
      </c>
      <c r="CI184" s="147" t="str">
        <f t="shared" si="585"/>
        <v>B2B</v>
      </c>
      <c r="CJ184" s="127">
        <v>0</v>
      </c>
      <c r="CK184" s="127">
        <v>0</v>
      </c>
      <c r="CL184" s="127">
        <f t="shared" si="586"/>
        <v>2268</v>
      </c>
      <c r="CM184" s="127">
        <f t="shared" si="587"/>
        <v>2268</v>
      </c>
      <c r="CN184" s="127">
        <f t="shared" si="588"/>
        <v>2268</v>
      </c>
      <c r="CO184" s="127">
        <f t="shared" si="589"/>
        <v>124445.15999999999</v>
      </c>
      <c r="CP184" s="127">
        <f t="shared" si="590"/>
        <v>-121768.92</v>
      </c>
      <c r="CQ184" s="127">
        <f t="shared" si="591"/>
        <v>0</v>
      </c>
      <c r="CR184" s="127">
        <f t="shared" si="592"/>
        <v>0</v>
      </c>
      <c r="CS184" s="127">
        <f t="shared" si="593"/>
        <v>2676.2399999999907</v>
      </c>
      <c r="CT184" s="127" t="s">
        <v>361</v>
      </c>
      <c r="CU184" s="127" t="s">
        <v>361</v>
      </c>
      <c r="CV184" s="142" t="str">
        <f t="shared" si="594"/>
        <v>AAHCR8445C</v>
      </c>
      <c r="CW184" s="142" t="str">
        <f t="shared" si="595"/>
        <v>AFDPY5902R</v>
      </c>
    </row>
    <row r="185" spans="2:101" s="149" customFormat="1" ht="11.85" customHeight="1" x14ac:dyDescent="0.25">
      <c r="B185" s="120" t="str">
        <f t="shared" si="557"/>
        <v>Q1</v>
      </c>
      <c r="C185" s="121" t="str">
        <f t="shared" si="558"/>
        <v>Jun-26</v>
      </c>
      <c r="D185" s="122">
        <v>46182</v>
      </c>
      <c r="E185" s="123" t="s">
        <v>3829</v>
      </c>
      <c r="F185" s="123" t="s">
        <v>196</v>
      </c>
      <c r="G185" s="123" t="s">
        <v>198</v>
      </c>
      <c r="H185" s="124" t="s">
        <v>3830</v>
      </c>
      <c r="I185" s="122">
        <v>46182</v>
      </c>
      <c r="J185" s="123" t="s">
        <v>3831</v>
      </c>
      <c r="K185" s="122">
        <v>46182</v>
      </c>
      <c r="L185" s="123" t="s">
        <v>199</v>
      </c>
      <c r="M185" s="123" t="s">
        <v>2331</v>
      </c>
      <c r="N185" s="124" t="s">
        <v>3585</v>
      </c>
      <c r="O185" s="123">
        <v>1810</v>
      </c>
      <c r="P185" s="124">
        <v>14</v>
      </c>
      <c r="Q185" s="125">
        <f t="shared" si="559"/>
        <v>25340</v>
      </c>
      <c r="R185" s="126">
        <v>0</v>
      </c>
      <c r="S185" s="125">
        <f t="shared" si="560"/>
        <v>1810</v>
      </c>
      <c r="T185" s="126">
        <v>0</v>
      </c>
      <c r="U185" s="127">
        <v>0</v>
      </c>
      <c r="V185" s="128">
        <v>0</v>
      </c>
      <c r="W185" s="127">
        <v>0</v>
      </c>
      <c r="X185" s="129">
        <v>0</v>
      </c>
      <c r="Y185" s="127">
        <v>0</v>
      </c>
      <c r="Z185" s="127">
        <v>0</v>
      </c>
      <c r="AA185" s="126">
        <v>0</v>
      </c>
      <c r="AB185" s="130">
        <f t="shared" si="561"/>
        <v>0</v>
      </c>
      <c r="AC185" s="129">
        <v>0</v>
      </c>
      <c r="AD185" s="125">
        <f t="shared" si="562"/>
        <v>14</v>
      </c>
      <c r="AE185" s="144">
        <v>0</v>
      </c>
      <c r="AF185" s="127">
        <v>0</v>
      </c>
      <c r="AG185" s="131">
        <v>0</v>
      </c>
      <c r="AH185" s="127">
        <v>0</v>
      </c>
      <c r="AI185" s="128">
        <v>0</v>
      </c>
      <c r="AJ185" s="127">
        <v>0</v>
      </c>
      <c r="AK185" s="127">
        <v>0</v>
      </c>
      <c r="AL185" s="127">
        <v>0</v>
      </c>
      <c r="AM185" s="132">
        <f t="shared" si="563"/>
        <v>25340</v>
      </c>
      <c r="AN185" s="133">
        <v>46182</v>
      </c>
      <c r="AO185" s="134" t="s">
        <v>3932</v>
      </c>
      <c r="AP185" s="135" t="s">
        <v>234</v>
      </c>
      <c r="AQ185" s="136" t="s">
        <v>235</v>
      </c>
      <c r="AR185" s="136" t="s">
        <v>236</v>
      </c>
      <c r="AS185" s="123" t="s">
        <v>237</v>
      </c>
      <c r="AT185" s="137" t="s">
        <v>238</v>
      </c>
      <c r="AU185" s="137" t="s">
        <v>197</v>
      </c>
      <c r="AV185" s="138" t="s">
        <v>329</v>
      </c>
      <c r="AW185" s="136">
        <v>1810</v>
      </c>
      <c r="AX185" s="138">
        <v>16</v>
      </c>
      <c r="AY185" s="136">
        <f t="shared" si="564"/>
        <v>28960</v>
      </c>
      <c r="AZ185" s="139" t="b">
        <f t="shared" si="565"/>
        <v>1</v>
      </c>
      <c r="BA185" s="125">
        <v>0</v>
      </c>
      <c r="BB185" s="140">
        <f t="shared" si="566"/>
        <v>1810</v>
      </c>
      <c r="BC185" s="141">
        <v>0</v>
      </c>
      <c r="BD185" s="140" t="s">
        <v>107</v>
      </c>
      <c r="BE185" s="141">
        <v>0</v>
      </c>
      <c r="BF185" s="140">
        <v>0</v>
      </c>
      <c r="BG185" s="141">
        <v>0</v>
      </c>
      <c r="BH185" s="127">
        <v>0</v>
      </c>
      <c r="BI185" s="130">
        <v>0</v>
      </c>
      <c r="BJ185" s="128">
        <v>0</v>
      </c>
      <c r="BK185" s="125">
        <v>0</v>
      </c>
      <c r="BL185" s="136">
        <v>0</v>
      </c>
      <c r="BM185" s="127">
        <v>0</v>
      </c>
      <c r="BN185" s="142">
        <f t="shared" si="567"/>
        <v>0</v>
      </c>
      <c r="BO185" s="126">
        <f t="shared" si="568"/>
        <v>28960</v>
      </c>
      <c r="BP185" s="132">
        <f t="shared" si="569"/>
        <v>3620</v>
      </c>
      <c r="BQ185" s="141" t="str">
        <f t="shared" si="570"/>
        <v>Positive Margin</v>
      </c>
      <c r="BR185" s="143" t="s">
        <v>119</v>
      </c>
      <c r="BS185" s="125">
        <f t="shared" si="571"/>
        <v>3620</v>
      </c>
      <c r="BT185" s="144" t="str">
        <f t="shared" si="572"/>
        <v>Positive Margin at Inception</v>
      </c>
      <c r="BU185" s="145">
        <f t="shared" si="573"/>
        <v>0.125</v>
      </c>
      <c r="BV185" s="144" t="str">
        <f t="shared" si="574"/>
        <v>More than 2%</v>
      </c>
      <c r="BW185" s="125">
        <f t="shared" si="575"/>
        <v>0</v>
      </c>
      <c r="BX185" s="126">
        <f t="shared" si="576"/>
        <v>0</v>
      </c>
      <c r="BY185" s="125">
        <f t="shared" si="577"/>
        <v>0</v>
      </c>
      <c r="BZ185" s="146">
        <f t="shared" si="578"/>
        <v>0</v>
      </c>
      <c r="CA185" s="146">
        <f t="shared" si="579"/>
        <v>0</v>
      </c>
      <c r="CB185" s="127">
        <f t="shared" si="580"/>
        <v>0</v>
      </c>
      <c r="CC185" s="146" t="s">
        <v>397</v>
      </c>
      <c r="CD185" s="127">
        <v>0</v>
      </c>
      <c r="CE185" s="127" t="str">
        <f t="shared" si="581"/>
        <v>Jun-26</v>
      </c>
      <c r="CF185" s="127">
        <f t="shared" si="582"/>
        <v>25340</v>
      </c>
      <c r="CG185" s="127">
        <f t="shared" si="583"/>
        <v>28960</v>
      </c>
      <c r="CH185" s="127">
        <f t="shared" si="584"/>
        <v>10</v>
      </c>
      <c r="CI185" s="147" t="str">
        <f t="shared" si="585"/>
        <v>BG AHD</v>
      </c>
      <c r="CJ185" s="127">
        <v>0</v>
      </c>
      <c r="CK185" s="127">
        <v>0</v>
      </c>
      <c r="CL185" s="127">
        <f t="shared" si="586"/>
        <v>3620</v>
      </c>
      <c r="CM185" s="127">
        <f t="shared" si="587"/>
        <v>3620</v>
      </c>
      <c r="CN185" s="127">
        <f t="shared" si="588"/>
        <v>3620</v>
      </c>
      <c r="CO185" s="127">
        <f t="shared" si="589"/>
        <v>34172.799999999996</v>
      </c>
      <c r="CP185" s="127">
        <f t="shared" si="590"/>
        <v>-29901.199999999997</v>
      </c>
      <c r="CQ185" s="127">
        <f t="shared" si="591"/>
        <v>0</v>
      </c>
      <c r="CR185" s="127">
        <f t="shared" si="592"/>
        <v>0</v>
      </c>
      <c r="CS185" s="127">
        <f t="shared" si="593"/>
        <v>4271.5999999999985</v>
      </c>
      <c r="CT185" s="127" t="s">
        <v>361</v>
      </c>
      <c r="CU185" s="127" t="s">
        <v>361</v>
      </c>
      <c r="CV185" s="142" t="str">
        <f t="shared" si="594"/>
        <v>AAMCB5608A</v>
      </c>
      <c r="CW185" s="142" t="str">
        <f t="shared" si="595"/>
        <v>BJHPB3107J</v>
      </c>
    </row>
    <row r="186" spans="2:101" s="149" customFormat="1" ht="11.85" customHeight="1" x14ac:dyDescent="0.25">
      <c r="B186" s="120" t="str">
        <f t="shared" si="557"/>
        <v>Q1</v>
      </c>
      <c r="C186" s="121" t="str">
        <f t="shared" si="558"/>
        <v>Jun-26</v>
      </c>
      <c r="D186" s="122">
        <v>46182</v>
      </c>
      <c r="E186" s="123" t="s">
        <v>3829</v>
      </c>
      <c r="F186" s="123" t="s">
        <v>196</v>
      </c>
      <c r="G186" s="123" t="s">
        <v>198</v>
      </c>
      <c r="H186" s="124" t="s">
        <v>3830</v>
      </c>
      <c r="I186" s="122">
        <v>46182</v>
      </c>
      <c r="J186" s="123" t="s">
        <v>3831</v>
      </c>
      <c r="K186" s="122">
        <v>46182</v>
      </c>
      <c r="L186" s="123" t="s">
        <v>199</v>
      </c>
      <c r="M186" s="123" t="s">
        <v>2331</v>
      </c>
      <c r="N186" s="124" t="s">
        <v>207</v>
      </c>
      <c r="O186" s="123">
        <v>90</v>
      </c>
      <c r="P186" s="124">
        <v>6.5</v>
      </c>
      <c r="Q186" s="125">
        <f t="shared" si="559"/>
        <v>585</v>
      </c>
      <c r="R186" s="126">
        <v>0</v>
      </c>
      <c r="S186" s="125">
        <f t="shared" si="560"/>
        <v>90</v>
      </c>
      <c r="T186" s="126">
        <v>0</v>
      </c>
      <c r="U186" s="127">
        <v>0</v>
      </c>
      <c r="V186" s="128">
        <v>0</v>
      </c>
      <c r="W186" s="127">
        <v>0</v>
      </c>
      <c r="X186" s="129">
        <v>0</v>
      </c>
      <c r="Y186" s="127">
        <v>0</v>
      </c>
      <c r="Z186" s="127">
        <v>0</v>
      </c>
      <c r="AA186" s="126">
        <v>0</v>
      </c>
      <c r="AB186" s="130">
        <f t="shared" si="561"/>
        <v>0</v>
      </c>
      <c r="AC186" s="129">
        <v>0</v>
      </c>
      <c r="AD186" s="125">
        <f t="shared" si="562"/>
        <v>6.5</v>
      </c>
      <c r="AE186" s="144">
        <v>0</v>
      </c>
      <c r="AF186" s="127">
        <v>0</v>
      </c>
      <c r="AG186" s="131">
        <v>0</v>
      </c>
      <c r="AH186" s="127">
        <v>0</v>
      </c>
      <c r="AI186" s="128">
        <v>0</v>
      </c>
      <c r="AJ186" s="127">
        <v>0</v>
      </c>
      <c r="AK186" s="127">
        <v>0</v>
      </c>
      <c r="AL186" s="127">
        <v>0</v>
      </c>
      <c r="AM186" s="132">
        <f t="shared" si="563"/>
        <v>585</v>
      </c>
      <c r="AN186" s="133">
        <v>46182</v>
      </c>
      <c r="AO186" s="134" t="s">
        <v>3932</v>
      </c>
      <c r="AP186" s="135" t="s">
        <v>234</v>
      </c>
      <c r="AQ186" s="136" t="s">
        <v>235</v>
      </c>
      <c r="AR186" s="136" t="s">
        <v>236</v>
      </c>
      <c r="AS186" s="123" t="s">
        <v>237</v>
      </c>
      <c r="AT186" s="137" t="s">
        <v>238</v>
      </c>
      <c r="AU186" s="137" t="s">
        <v>197</v>
      </c>
      <c r="AV186" s="138" t="s">
        <v>329</v>
      </c>
      <c r="AW186" s="136">
        <v>90</v>
      </c>
      <c r="AX186" s="138">
        <v>8</v>
      </c>
      <c r="AY186" s="136">
        <f t="shared" si="564"/>
        <v>720</v>
      </c>
      <c r="AZ186" s="139" t="b">
        <f t="shared" si="565"/>
        <v>1</v>
      </c>
      <c r="BA186" s="125">
        <v>0</v>
      </c>
      <c r="BB186" s="140">
        <f t="shared" si="566"/>
        <v>90</v>
      </c>
      <c r="BC186" s="141">
        <v>0</v>
      </c>
      <c r="BD186" s="140" t="s">
        <v>107</v>
      </c>
      <c r="BE186" s="141">
        <v>0</v>
      </c>
      <c r="BF186" s="140">
        <v>0</v>
      </c>
      <c r="BG186" s="141">
        <v>0</v>
      </c>
      <c r="BH186" s="127">
        <v>0</v>
      </c>
      <c r="BI186" s="130">
        <v>0</v>
      </c>
      <c r="BJ186" s="128">
        <v>0</v>
      </c>
      <c r="BK186" s="125">
        <v>0</v>
      </c>
      <c r="BL186" s="136">
        <v>0</v>
      </c>
      <c r="BM186" s="127">
        <v>0</v>
      </c>
      <c r="BN186" s="142">
        <f t="shared" si="567"/>
        <v>0</v>
      </c>
      <c r="BO186" s="126">
        <f t="shared" si="568"/>
        <v>720</v>
      </c>
      <c r="BP186" s="132">
        <f t="shared" si="569"/>
        <v>135</v>
      </c>
      <c r="BQ186" s="141" t="str">
        <f t="shared" si="570"/>
        <v>Positive Margin</v>
      </c>
      <c r="BR186" s="143" t="s">
        <v>119</v>
      </c>
      <c r="BS186" s="125">
        <f t="shared" si="571"/>
        <v>135</v>
      </c>
      <c r="BT186" s="144" t="str">
        <f t="shared" si="572"/>
        <v>Positive Margin at Inception</v>
      </c>
      <c r="BU186" s="145">
        <f t="shared" si="573"/>
        <v>0.1875</v>
      </c>
      <c r="BV186" s="144" t="str">
        <f t="shared" si="574"/>
        <v>More than 2%</v>
      </c>
      <c r="BW186" s="125">
        <f t="shared" si="575"/>
        <v>0</v>
      </c>
      <c r="BX186" s="126">
        <f t="shared" si="576"/>
        <v>0</v>
      </c>
      <c r="BY186" s="125">
        <f t="shared" si="577"/>
        <v>0</v>
      </c>
      <c r="BZ186" s="146">
        <f t="shared" si="578"/>
        <v>0</v>
      </c>
      <c r="CA186" s="146">
        <f t="shared" si="579"/>
        <v>0</v>
      </c>
      <c r="CB186" s="127">
        <f t="shared" si="580"/>
        <v>0</v>
      </c>
      <c r="CC186" s="146" t="s">
        <v>397</v>
      </c>
      <c r="CD186" s="127">
        <v>0</v>
      </c>
      <c r="CE186" s="127" t="str">
        <f t="shared" si="581"/>
        <v>Jun-26</v>
      </c>
      <c r="CF186" s="127">
        <f t="shared" si="582"/>
        <v>585</v>
      </c>
      <c r="CG186" s="127">
        <f t="shared" si="583"/>
        <v>720</v>
      </c>
      <c r="CH186" s="127">
        <f t="shared" si="584"/>
        <v>10</v>
      </c>
      <c r="CI186" s="147" t="str">
        <f t="shared" si="585"/>
        <v>BG AHD</v>
      </c>
      <c r="CJ186" s="127">
        <v>0</v>
      </c>
      <c r="CK186" s="127">
        <v>0</v>
      </c>
      <c r="CL186" s="127">
        <f t="shared" si="586"/>
        <v>135</v>
      </c>
      <c r="CM186" s="127">
        <f t="shared" si="587"/>
        <v>135</v>
      </c>
      <c r="CN186" s="127">
        <f t="shared" si="588"/>
        <v>135</v>
      </c>
      <c r="CO186" s="127">
        <f t="shared" si="589"/>
        <v>849.59999999999991</v>
      </c>
      <c r="CP186" s="127">
        <f t="shared" si="590"/>
        <v>-690.3</v>
      </c>
      <c r="CQ186" s="127">
        <f t="shared" si="591"/>
        <v>0</v>
      </c>
      <c r="CR186" s="127">
        <f t="shared" si="592"/>
        <v>0</v>
      </c>
      <c r="CS186" s="127">
        <f t="shared" si="593"/>
        <v>159.29999999999995</v>
      </c>
      <c r="CT186" s="127" t="s">
        <v>361</v>
      </c>
      <c r="CU186" s="127" t="s">
        <v>361</v>
      </c>
      <c r="CV186" s="142" t="str">
        <f t="shared" si="594"/>
        <v>AAMCB5608A</v>
      </c>
      <c r="CW186" s="142" t="str">
        <f t="shared" si="595"/>
        <v>BJHPB3107J</v>
      </c>
    </row>
    <row r="187" spans="2:101" s="149" customFormat="1" ht="11.85" customHeight="1" x14ac:dyDescent="0.25">
      <c r="B187" s="120" t="str">
        <f t="shared" si="557"/>
        <v>Q1</v>
      </c>
      <c r="C187" s="121" t="str">
        <f t="shared" si="558"/>
        <v>Jun-26</v>
      </c>
      <c r="D187" s="122">
        <v>46182</v>
      </c>
      <c r="E187" s="123" t="s">
        <v>3832</v>
      </c>
      <c r="F187" s="123" t="s">
        <v>196</v>
      </c>
      <c r="G187" s="123" t="s">
        <v>198</v>
      </c>
      <c r="H187" s="124" t="s">
        <v>3833</v>
      </c>
      <c r="I187" s="122">
        <v>46182</v>
      </c>
      <c r="J187" s="123" t="s">
        <v>3834</v>
      </c>
      <c r="K187" s="122">
        <v>46182</v>
      </c>
      <c r="L187" s="123" t="s">
        <v>199</v>
      </c>
      <c r="M187" s="123" t="s">
        <v>3822</v>
      </c>
      <c r="N187" s="124" t="s">
        <v>3384</v>
      </c>
      <c r="O187" s="123">
        <v>5370</v>
      </c>
      <c r="P187" s="124">
        <v>27</v>
      </c>
      <c r="Q187" s="125">
        <f t="shared" si="559"/>
        <v>144990</v>
      </c>
      <c r="R187" s="126">
        <v>0</v>
      </c>
      <c r="S187" s="125">
        <f t="shared" si="560"/>
        <v>5370</v>
      </c>
      <c r="T187" s="126">
        <v>0</v>
      </c>
      <c r="U187" s="127">
        <v>0</v>
      </c>
      <c r="V187" s="128">
        <v>0</v>
      </c>
      <c r="W187" s="127">
        <v>0</v>
      </c>
      <c r="X187" s="129">
        <v>0</v>
      </c>
      <c r="Y187" s="127">
        <v>0</v>
      </c>
      <c r="Z187" s="127">
        <v>0</v>
      </c>
      <c r="AA187" s="126">
        <v>0</v>
      </c>
      <c r="AB187" s="130">
        <f t="shared" si="561"/>
        <v>0</v>
      </c>
      <c r="AC187" s="129">
        <v>0</v>
      </c>
      <c r="AD187" s="125">
        <f t="shared" si="562"/>
        <v>27</v>
      </c>
      <c r="AE187" s="144">
        <v>0</v>
      </c>
      <c r="AF187" s="127">
        <v>0</v>
      </c>
      <c r="AG187" s="131">
        <v>0</v>
      </c>
      <c r="AH187" s="127">
        <v>0</v>
      </c>
      <c r="AI187" s="128">
        <v>0</v>
      </c>
      <c r="AJ187" s="127">
        <v>0</v>
      </c>
      <c r="AK187" s="127">
        <v>0</v>
      </c>
      <c r="AL187" s="127">
        <v>0</v>
      </c>
      <c r="AM187" s="132">
        <f t="shared" si="563"/>
        <v>144990</v>
      </c>
      <c r="AN187" s="133">
        <v>46182</v>
      </c>
      <c r="AO187" s="134" t="s">
        <v>3931</v>
      </c>
      <c r="AP187" s="135" t="s">
        <v>234</v>
      </c>
      <c r="AQ187" s="136" t="s">
        <v>235</v>
      </c>
      <c r="AR187" s="136" t="s">
        <v>236</v>
      </c>
      <c r="AS187" s="123" t="s">
        <v>239</v>
      </c>
      <c r="AT187" s="137" t="s">
        <v>238</v>
      </c>
      <c r="AU187" s="137" t="s">
        <v>197</v>
      </c>
      <c r="AV187" s="138" t="s">
        <v>329</v>
      </c>
      <c r="AW187" s="136">
        <v>5370</v>
      </c>
      <c r="AX187" s="138">
        <v>28</v>
      </c>
      <c r="AY187" s="136">
        <f t="shared" si="564"/>
        <v>150360</v>
      </c>
      <c r="AZ187" s="139" t="b">
        <f t="shared" si="565"/>
        <v>1</v>
      </c>
      <c r="BA187" s="125">
        <v>0</v>
      </c>
      <c r="BB187" s="140">
        <f t="shared" si="566"/>
        <v>5370</v>
      </c>
      <c r="BC187" s="141">
        <v>0</v>
      </c>
      <c r="BD187" s="140" t="s">
        <v>107</v>
      </c>
      <c r="BE187" s="141">
        <v>0</v>
      </c>
      <c r="BF187" s="140">
        <v>0</v>
      </c>
      <c r="BG187" s="141">
        <v>0</v>
      </c>
      <c r="BH187" s="127">
        <v>0</v>
      </c>
      <c r="BI187" s="130">
        <v>0</v>
      </c>
      <c r="BJ187" s="128">
        <v>0</v>
      </c>
      <c r="BK187" s="125">
        <v>0</v>
      </c>
      <c r="BL187" s="136">
        <v>0</v>
      </c>
      <c r="BM187" s="127">
        <v>0</v>
      </c>
      <c r="BN187" s="142">
        <f t="shared" si="567"/>
        <v>0</v>
      </c>
      <c r="BO187" s="126">
        <f t="shared" si="568"/>
        <v>150360</v>
      </c>
      <c r="BP187" s="132">
        <f t="shared" si="569"/>
        <v>5370</v>
      </c>
      <c r="BQ187" s="141" t="str">
        <f t="shared" si="570"/>
        <v>Positive Margin</v>
      </c>
      <c r="BR187" s="143" t="s">
        <v>119</v>
      </c>
      <c r="BS187" s="125">
        <f t="shared" si="571"/>
        <v>5370</v>
      </c>
      <c r="BT187" s="144" t="str">
        <f t="shared" si="572"/>
        <v>Positive Margin at Inception</v>
      </c>
      <c r="BU187" s="145">
        <f t="shared" si="573"/>
        <v>3.5714285714285712E-2</v>
      </c>
      <c r="BV187" s="144" t="str">
        <f t="shared" si="574"/>
        <v>More than 2%</v>
      </c>
      <c r="BW187" s="125">
        <f t="shared" si="575"/>
        <v>0</v>
      </c>
      <c r="BX187" s="126">
        <f t="shared" si="576"/>
        <v>0</v>
      </c>
      <c r="BY187" s="125">
        <f t="shared" si="577"/>
        <v>0</v>
      </c>
      <c r="BZ187" s="146">
        <f t="shared" si="578"/>
        <v>0</v>
      </c>
      <c r="CA187" s="146">
        <f t="shared" si="579"/>
        <v>0</v>
      </c>
      <c r="CB187" s="127">
        <f t="shared" si="580"/>
        <v>0</v>
      </c>
      <c r="CC187" s="146" t="s">
        <v>397</v>
      </c>
      <c r="CD187" s="127">
        <v>0</v>
      </c>
      <c r="CE187" s="127" t="str">
        <f t="shared" si="581"/>
        <v>Jun-26</v>
      </c>
      <c r="CF187" s="127">
        <f t="shared" si="582"/>
        <v>144990</v>
      </c>
      <c r="CG187" s="127">
        <f t="shared" si="583"/>
        <v>150360</v>
      </c>
      <c r="CH187" s="127">
        <f t="shared" si="584"/>
        <v>10</v>
      </c>
      <c r="CI187" s="147" t="str">
        <f t="shared" si="585"/>
        <v>BG AHD</v>
      </c>
      <c r="CJ187" s="127">
        <v>0</v>
      </c>
      <c r="CK187" s="127">
        <v>0</v>
      </c>
      <c r="CL187" s="127">
        <f t="shared" si="586"/>
        <v>5370</v>
      </c>
      <c r="CM187" s="127">
        <f t="shared" si="587"/>
        <v>5370</v>
      </c>
      <c r="CN187" s="127">
        <f t="shared" si="588"/>
        <v>5370</v>
      </c>
      <c r="CO187" s="127">
        <f t="shared" si="589"/>
        <v>177424.8</v>
      </c>
      <c r="CP187" s="127">
        <f t="shared" si="590"/>
        <v>-171088.19999999998</v>
      </c>
      <c r="CQ187" s="127">
        <f t="shared" si="591"/>
        <v>0</v>
      </c>
      <c r="CR187" s="127">
        <f t="shared" si="592"/>
        <v>0</v>
      </c>
      <c r="CS187" s="127">
        <f t="shared" si="593"/>
        <v>6336.6000000000058</v>
      </c>
      <c r="CT187" s="127" t="s">
        <v>361</v>
      </c>
      <c r="CU187" s="127" t="s">
        <v>361</v>
      </c>
      <c r="CV187" s="142" t="str">
        <f t="shared" si="594"/>
        <v>AAMCB5608A</v>
      </c>
      <c r="CW187" s="142" t="str">
        <f t="shared" si="595"/>
        <v>BJHPB3107J</v>
      </c>
    </row>
    <row r="188" spans="2:101" s="149" customFormat="1" ht="11.85" customHeight="1" x14ac:dyDescent="0.25">
      <c r="B188" s="120" t="str">
        <f t="shared" si="557"/>
        <v>Q1</v>
      </c>
      <c r="C188" s="121" t="str">
        <f t="shared" si="558"/>
        <v>Jun-26</v>
      </c>
      <c r="D188" s="122">
        <v>46182</v>
      </c>
      <c r="E188" s="123" t="s">
        <v>3835</v>
      </c>
      <c r="F188" s="123" t="s">
        <v>196</v>
      </c>
      <c r="G188" s="123" t="s">
        <v>198</v>
      </c>
      <c r="H188" s="124" t="s">
        <v>3836</v>
      </c>
      <c r="I188" s="122">
        <v>46182</v>
      </c>
      <c r="J188" s="123" t="s">
        <v>3837</v>
      </c>
      <c r="K188" s="122">
        <v>46182</v>
      </c>
      <c r="L188" s="123" t="s">
        <v>199</v>
      </c>
      <c r="M188" s="123" t="s">
        <v>244</v>
      </c>
      <c r="N188" s="124" t="s">
        <v>268</v>
      </c>
      <c r="O188" s="123">
        <v>815</v>
      </c>
      <c r="P188" s="124">
        <v>125</v>
      </c>
      <c r="Q188" s="125">
        <f t="shared" si="559"/>
        <v>101875</v>
      </c>
      <c r="R188" s="126">
        <v>0</v>
      </c>
      <c r="S188" s="125">
        <f t="shared" si="560"/>
        <v>815</v>
      </c>
      <c r="T188" s="126">
        <v>0</v>
      </c>
      <c r="U188" s="127">
        <v>0</v>
      </c>
      <c r="V188" s="128">
        <v>0</v>
      </c>
      <c r="W188" s="127">
        <v>0</v>
      </c>
      <c r="X188" s="129">
        <v>0</v>
      </c>
      <c r="Y188" s="127">
        <v>0</v>
      </c>
      <c r="Z188" s="127">
        <v>0</v>
      </c>
      <c r="AA188" s="126">
        <v>0</v>
      </c>
      <c r="AB188" s="130">
        <f t="shared" si="561"/>
        <v>0</v>
      </c>
      <c r="AC188" s="129">
        <v>0</v>
      </c>
      <c r="AD188" s="125">
        <f t="shared" si="562"/>
        <v>125</v>
      </c>
      <c r="AE188" s="144">
        <v>0</v>
      </c>
      <c r="AF188" s="127">
        <v>0</v>
      </c>
      <c r="AG188" s="131">
        <v>0</v>
      </c>
      <c r="AH188" s="127">
        <v>0</v>
      </c>
      <c r="AI188" s="128">
        <v>0</v>
      </c>
      <c r="AJ188" s="127">
        <v>0</v>
      </c>
      <c r="AK188" s="127">
        <v>0</v>
      </c>
      <c r="AL188" s="127">
        <v>0</v>
      </c>
      <c r="AM188" s="132">
        <f t="shared" si="563"/>
        <v>101875</v>
      </c>
      <c r="AN188" s="133">
        <v>46182</v>
      </c>
      <c r="AO188" s="134" t="s">
        <v>3938</v>
      </c>
      <c r="AP188" s="135" t="s">
        <v>234</v>
      </c>
      <c r="AQ188" s="136" t="s">
        <v>235</v>
      </c>
      <c r="AR188" s="136" t="s">
        <v>236</v>
      </c>
      <c r="AS188" s="123" t="s">
        <v>239</v>
      </c>
      <c r="AT188" s="137" t="s">
        <v>238</v>
      </c>
      <c r="AU188" s="137" t="s">
        <v>197</v>
      </c>
      <c r="AV188" s="138" t="s">
        <v>329</v>
      </c>
      <c r="AW188" s="136">
        <v>815</v>
      </c>
      <c r="AX188" s="138">
        <v>130</v>
      </c>
      <c r="AY188" s="136">
        <f t="shared" si="564"/>
        <v>105950</v>
      </c>
      <c r="AZ188" s="139" t="b">
        <f t="shared" si="565"/>
        <v>1</v>
      </c>
      <c r="BA188" s="125">
        <v>0</v>
      </c>
      <c r="BB188" s="140">
        <f t="shared" si="566"/>
        <v>815</v>
      </c>
      <c r="BC188" s="141">
        <v>0</v>
      </c>
      <c r="BD188" s="140" t="s">
        <v>107</v>
      </c>
      <c r="BE188" s="141">
        <v>0</v>
      </c>
      <c r="BF188" s="140">
        <v>0</v>
      </c>
      <c r="BG188" s="141">
        <v>0</v>
      </c>
      <c r="BH188" s="127">
        <v>0</v>
      </c>
      <c r="BI188" s="130">
        <v>0</v>
      </c>
      <c r="BJ188" s="128">
        <v>0</v>
      </c>
      <c r="BK188" s="125">
        <v>0</v>
      </c>
      <c r="BL188" s="136">
        <v>0</v>
      </c>
      <c r="BM188" s="127">
        <v>0</v>
      </c>
      <c r="BN188" s="142">
        <f t="shared" si="567"/>
        <v>0</v>
      </c>
      <c r="BO188" s="126">
        <f t="shared" si="568"/>
        <v>105950</v>
      </c>
      <c r="BP188" s="132">
        <f t="shared" si="569"/>
        <v>4075</v>
      </c>
      <c r="BQ188" s="141" t="str">
        <f t="shared" si="570"/>
        <v>Positive Margin</v>
      </c>
      <c r="BR188" s="143" t="s">
        <v>119</v>
      </c>
      <c r="BS188" s="125">
        <f t="shared" si="571"/>
        <v>4075</v>
      </c>
      <c r="BT188" s="144" t="str">
        <f t="shared" si="572"/>
        <v>Positive Margin at Inception</v>
      </c>
      <c r="BU188" s="145">
        <f t="shared" si="573"/>
        <v>3.8461538461538464E-2</v>
      </c>
      <c r="BV188" s="144" t="str">
        <f t="shared" si="574"/>
        <v>More than 2%</v>
      </c>
      <c r="BW188" s="125">
        <f t="shared" si="575"/>
        <v>0</v>
      </c>
      <c r="BX188" s="126">
        <f t="shared" si="576"/>
        <v>0</v>
      </c>
      <c r="BY188" s="125">
        <f t="shared" si="577"/>
        <v>0</v>
      </c>
      <c r="BZ188" s="146">
        <f t="shared" si="578"/>
        <v>0</v>
      </c>
      <c r="CA188" s="146">
        <f t="shared" si="579"/>
        <v>0</v>
      </c>
      <c r="CB188" s="127">
        <f t="shared" si="580"/>
        <v>0</v>
      </c>
      <c r="CC188" s="146" t="s">
        <v>397</v>
      </c>
      <c r="CD188" s="127">
        <v>0</v>
      </c>
      <c r="CE188" s="127" t="str">
        <f t="shared" si="581"/>
        <v>Jun-26</v>
      </c>
      <c r="CF188" s="127">
        <f t="shared" si="582"/>
        <v>101875</v>
      </c>
      <c r="CG188" s="127">
        <f t="shared" si="583"/>
        <v>105950</v>
      </c>
      <c r="CH188" s="127">
        <f t="shared" si="584"/>
        <v>10</v>
      </c>
      <c r="CI188" s="147" t="str">
        <f t="shared" si="585"/>
        <v>BG AHD</v>
      </c>
      <c r="CJ188" s="127">
        <v>0</v>
      </c>
      <c r="CK188" s="127">
        <v>0</v>
      </c>
      <c r="CL188" s="127">
        <f t="shared" si="586"/>
        <v>4075</v>
      </c>
      <c r="CM188" s="127">
        <f t="shared" si="587"/>
        <v>4075</v>
      </c>
      <c r="CN188" s="127">
        <f t="shared" si="588"/>
        <v>4075</v>
      </c>
      <c r="CO188" s="127">
        <f t="shared" si="589"/>
        <v>125021</v>
      </c>
      <c r="CP188" s="127">
        <f t="shared" si="590"/>
        <v>-120212.5</v>
      </c>
      <c r="CQ188" s="127">
        <f t="shared" si="591"/>
        <v>0</v>
      </c>
      <c r="CR188" s="127">
        <f t="shared" si="592"/>
        <v>0</v>
      </c>
      <c r="CS188" s="127">
        <f t="shared" si="593"/>
        <v>4808.5</v>
      </c>
      <c r="CT188" s="127" t="s">
        <v>361</v>
      </c>
      <c r="CU188" s="127" t="s">
        <v>361</v>
      </c>
      <c r="CV188" s="142" t="str">
        <f t="shared" si="594"/>
        <v>AAMCB5608A</v>
      </c>
      <c r="CW188" s="142" t="str">
        <f t="shared" si="595"/>
        <v>BJHPB3107J</v>
      </c>
    </row>
    <row r="189" spans="2:101" s="149" customFormat="1" ht="11.85" customHeight="1" x14ac:dyDescent="0.25">
      <c r="B189" s="120" t="str">
        <f t="shared" si="557"/>
        <v>Q1</v>
      </c>
      <c r="C189" s="121" t="str">
        <f t="shared" si="558"/>
        <v>Jun-26</v>
      </c>
      <c r="D189" s="122">
        <v>46182</v>
      </c>
      <c r="E189" s="123" t="s">
        <v>3838</v>
      </c>
      <c r="F189" s="123" t="s">
        <v>196</v>
      </c>
      <c r="G189" s="123" t="s">
        <v>198</v>
      </c>
      <c r="H189" s="124" t="s">
        <v>3839</v>
      </c>
      <c r="I189" s="122">
        <v>46182</v>
      </c>
      <c r="J189" s="123" t="s">
        <v>3840</v>
      </c>
      <c r="K189" s="122">
        <v>46182</v>
      </c>
      <c r="L189" s="123" t="s">
        <v>199</v>
      </c>
      <c r="M189" s="123" t="s">
        <v>3841</v>
      </c>
      <c r="N189" s="124" t="s">
        <v>3089</v>
      </c>
      <c r="O189" s="123">
        <v>4600</v>
      </c>
      <c r="P189" s="124">
        <v>16.100000000000001</v>
      </c>
      <c r="Q189" s="125">
        <f t="shared" si="559"/>
        <v>74060</v>
      </c>
      <c r="R189" s="126">
        <v>0</v>
      </c>
      <c r="S189" s="125">
        <f t="shared" si="560"/>
        <v>4600</v>
      </c>
      <c r="T189" s="126">
        <v>0</v>
      </c>
      <c r="U189" s="127">
        <v>0</v>
      </c>
      <c r="V189" s="128">
        <v>0</v>
      </c>
      <c r="W189" s="127">
        <v>0</v>
      </c>
      <c r="X189" s="129">
        <v>0</v>
      </c>
      <c r="Y189" s="127">
        <v>0</v>
      </c>
      <c r="Z189" s="127">
        <v>0</v>
      </c>
      <c r="AA189" s="126">
        <v>0</v>
      </c>
      <c r="AB189" s="130">
        <f t="shared" si="561"/>
        <v>0</v>
      </c>
      <c r="AC189" s="129">
        <v>0</v>
      </c>
      <c r="AD189" s="125">
        <f t="shared" si="562"/>
        <v>16.100000000000001</v>
      </c>
      <c r="AE189" s="144">
        <v>0</v>
      </c>
      <c r="AF189" s="127">
        <v>0</v>
      </c>
      <c r="AG189" s="131">
        <v>0</v>
      </c>
      <c r="AH189" s="127">
        <v>0</v>
      </c>
      <c r="AI189" s="128">
        <v>0</v>
      </c>
      <c r="AJ189" s="127">
        <v>0</v>
      </c>
      <c r="AK189" s="127">
        <v>0</v>
      </c>
      <c r="AL189" s="127">
        <v>0</v>
      </c>
      <c r="AM189" s="132">
        <f t="shared" si="563"/>
        <v>74060</v>
      </c>
      <c r="AN189" s="133">
        <v>46182</v>
      </c>
      <c r="AO189" s="134" t="s">
        <v>3940</v>
      </c>
      <c r="AP189" s="135" t="s">
        <v>234</v>
      </c>
      <c r="AQ189" s="136" t="s">
        <v>235</v>
      </c>
      <c r="AR189" s="136" t="s">
        <v>236</v>
      </c>
      <c r="AS189" s="123" t="s">
        <v>2005</v>
      </c>
      <c r="AT189" s="137" t="s">
        <v>238</v>
      </c>
      <c r="AU189" s="137" t="s">
        <v>197</v>
      </c>
      <c r="AV189" s="138" t="s">
        <v>329</v>
      </c>
      <c r="AW189" s="136">
        <v>4600</v>
      </c>
      <c r="AX189" s="138">
        <v>20</v>
      </c>
      <c r="AY189" s="136">
        <f t="shared" si="564"/>
        <v>92000</v>
      </c>
      <c r="AZ189" s="139" t="b">
        <f t="shared" si="565"/>
        <v>1</v>
      </c>
      <c r="BA189" s="125">
        <v>0</v>
      </c>
      <c r="BB189" s="140">
        <f t="shared" si="566"/>
        <v>4600</v>
      </c>
      <c r="BC189" s="141">
        <v>0</v>
      </c>
      <c r="BD189" s="140" t="s">
        <v>107</v>
      </c>
      <c r="BE189" s="141">
        <v>0</v>
      </c>
      <c r="BF189" s="140">
        <v>0</v>
      </c>
      <c r="BG189" s="141">
        <v>0</v>
      </c>
      <c r="BH189" s="127">
        <v>0</v>
      </c>
      <c r="BI189" s="130">
        <v>0</v>
      </c>
      <c r="BJ189" s="128">
        <v>0</v>
      </c>
      <c r="BK189" s="125">
        <v>0</v>
      </c>
      <c r="BL189" s="136">
        <v>0</v>
      </c>
      <c r="BM189" s="127">
        <v>0</v>
      </c>
      <c r="BN189" s="142">
        <f t="shared" si="567"/>
        <v>0</v>
      </c>
      <c r="BO189" s="126">
        <f t="shared" si="568"/>
        <v>92000</v>
      </c>
      <c r="BP189" s="132">
        <f t="shared" si="569"/>
        <v>17940</v>
      </c>
      <c r="BQ189" s="141" t="str">
        <f t="shared" si="570"/>
        <v>Positive Margin</v>
      </c>
      <c r="BR189" s="143" t="s">
        <v>119</v>
      </c>
      <c r="BS189" s="125">
        <f t="shared" si="571"/>
        <v>17940</v>
      </c>
      <c r="BT189" s="144" t="str">
        <f t="shared" si="572"/>
        <v>Positive Margin at Inception</v>
      </c>
      <c r="BU189" s="145">
        <f t="shared" si="573"/>
        <v>0.19500000000000001</v>
      </c>
      <c r="BV189" s="144" t="str">
        <f t="shared" si="574"/>
        <v>More than 2%</v>
      </c>
      <c r="BW189" s="125">
        <f t="shared" si="575"/>
        <v>0</v>
      </c>
      <c r="BX189" s="126">
        <f t="shared" si="576"/>
        <v>0</v>
      </c>
      <c r="BY189" s="125">
        <f t="shared" si="577"/>
        <v>0</v>
      </c>
      <c r="BZ189" s="146">
        <f t="shared" si="578"/>
        <v>0</v>
      </c>
      <c r="CA189" s="146">
        <f t="shared" si="579"/>
        <v>0</v>
      </c>
      <c r="CB189" s="127">
        <f t="shared" si="580"/>
        <v>0</v>
      </c>
      <c r="CC189" s="146" t="s">
        <v>397</v>
      </c>
      <c r="CD189" s="127">
        <v>0</v>
      </c>
      <c r="CE189" s="127" t="str">
        <f t="shared" si="581"/>
        <v>Jun-26</v>
      </c>
      <c r="CF189" s="127">
        <f t="shared" si="582"/>
        <v>74060</v>
      </c>
      <c r="CG189" s="127">
        <f t="shared" si="583"/>
        <v>92000</v>
      </c>
      <c r="CH189" s="127">
        <f t="shared" si="584"/>
        <v>10</v>
      </c>
      <c r="CI189" s="147" t="str">
        <f t="shared" si="585"/>
        <v>BG AHD</v>
      </c>
      <c r="CJ189" s="127">
        <v>0</v>
      </c>
      <c r="CK189" s="127">
        <v>0</v>
      </c>
      <c r="CL189" s="127">
        <f t="shared" si="586"/>
        <v>17940</v>
      </c>
      <c r="CM189" s="127">
        <f t="shared" si="587"/>
        <v>17940</v>
      </c>
      <c r="CN189" s="127">
        <f t="shared" si="588"/>
        <v>17940</v>
      </c>
      <c r="CO189" s="127">
        <f t="shared" si="589"/>
        <v>108560</v>
      </c>
      <c r="CP189" s="127">
        <f t="shared" si="590"/>
        <v>-87390.799999999988</v>
      </c>
      <c r="CQ189" s="127">
        <f t="shared" si="591"/>
        <v>0</v>
      </c>
      <c r="CR189" s="127">
        <f t="shared" si="592"/>
        <v>0</v>
      </c>
      <c r="CS189" s="127">
        <f t="shared" si="593"/>
        <v>21169.200000000012</v>
      </c>
      <c r="CT189" s="127" t="s">
        <v>361</v>
      </c>
      <c r="CU189" s="127" t="s">
        <v>361</v>
      </c>
      <c r="CV189" s="142" t="str">
        <f t="shared" si="594"/>
        <v>AAMCB5608A</v>
      </c>
      <c r="CW189" s="142" t="str">
        <f t="shared" si="595"/>
        <v>BJHPB3107J</v>
      </c>
    </row>
    <row r="190" spans="2:101" s="149" customFormat="1" ht="11.85" customHeight="1" x14ac:dyDescent="0.25">
      <c r="B190" s="120" t="str">
        <f t="shared" si="557"/>
        <v>Q1</v>
      </c>
      <c r="C190" s="121" t="str">
        <f t="shared" si="558"/>
        <v>Jun-26</v>
      </c>
      <c r="D190" s="122">
        <v>46183</v>
      </c>
      <c r="E190" s="123" t="s">
        <v>3842</v>
      </c>
      <c r="F190" s="123" t="s">
        <v>196</v>
      </c>
      <c r="G190" s="123" t="s">
        <v>198</v>
      </c>
      <c r="H190" s="124" t="s">
        <v>3843</v>
      </c>
      <c r="I190" s="122">
        <v>46183</v>
      </c>
      <c r="J190" s="123" t="s">
        <v>3844</v>
      </c>
      <c r="K190" s="122">
        <v>46184</v>
      </c>
      <c r="L190" s="123" t="s">
        <v>199</v>
      </c>
      <c r="M190" s="123" t="s">
        <v>3822</v>
      </c>
      <c r="N190" s="124" t="s">
        <v>3382</v>
      </c>
      <c r="O190" s="123">
        <v>3080</v>
      </c>
      <c r="P190" s="124">
        <v>82</v>
      </c>
      <c r="Q190" s="125">
        <f t="shared" si="559"/>
        <v>252560</v>
      </c>
      <c r="R190" s="126">
        <v>0</v>
      </c>
      <c r="S190" s="125">
        <f t="shared" si="560"/>
        <v>3080</v>
      </c>
      <c r="T190" s="126">
        <v>0</v>
      </c>
      <c r="U190" s="127">
        <v>0</v>
      </c>
      <c r="V190" s="128">
        <v>0</v>
      </c>
      <c r="W190" s="127">
        <v>0</v>
      </c>
      <c r="X190" s="129">
        <v>0</v>
      </c>
      <c r="Y190" s="127">
        <v>0</v>
      </c>
      <c r="Z190" s="127">
        <v>0</v>
      </c>
      <c r="AA190" s="126">
        <v>0</v>
      </c>
      <c r="AB190" s="130">
        <f t="shared" si="561"/>
        <v>0</v>
      </c>
      <c r="AC190" s="129">
        <v>0</v>
      </c>
      <c r="AD190" s="125">
        <f t="shared" si="562"/>
        <v>82</v>
      </c>
      <c r="AE190" s="144">
        <v>0</v>
      </c>
      <c r="AF190" s="127">
        <v>0</v>
      </c>
      <c r="AG190" s="131">
        <v>0</v>
      </c>
      <c r="AH190" s="127">
        <v>0</v>
      </c>
      <c r="AI190" s="128">
        <v>0</v>
      </c>
      <c r="AJ190" s="127">
        <v>0</v>
      </c>
      <c r="AK190" s="127">
        <v>0</v>
      </c>
      <c r="AL190" s="127">
        <v>0</v>
      </c>
      <c r="AM190" s="132">
        <f t="shared" si="563"/>
        <v>252560</v>
      </c>
      <c r="AN190" s="133">
        <v>46184</v>
      </c>
      <c r="AO190" s="134" t="s">
        <v>3951</v>
      </c>
      <c r="AP190" s="135" t="s">
        <v>234</v>
      </c>
      <c r="AQ190" s="136" t="s">
        <v>235</v>
      </c>
      <c r="AR190" s="136" t="s">
        <v>236</v>
      </c>
      <c r="AS190" s="123" t="s">
        <v>239</v>
      </c>
      <c r="AT190" s="137" t="s">
        <v>238</v>
      </c>
      <c r="AU190" s="137" t="s">
        <v>197</v>
      </c>
      <c r="AV190" s="138" t="s">
        <v>329</v>
      </c>
      <c r="AW190" s="136">
        <v>3080</v>
      </c>
      <c r="AX190" s="138">
        <v>87</v>
      </c>
      <c r="AY190" s="136">
        <f t="shared" si="564"/>
        <v>267960</v>
      </c>
      <c r="AZ190" s="139" t="b">
        <f t="shared" si="565"/>
        <v>1</v>
      </c>
      <c r="BA190" s="125">
        <v>0</v>
      </c>
      <c r="BB190" s="140">
        <f t="shared" si="566"/>
        <v>3080</v>
      </c>
      <c r="BC190" s="141">
        <v>0</v>
      </c>
      <c r="BD190" s="140" t="s">
        <v>107</v>
      </c>
      <c r="BE190" s="141">
        <v>0</v>
      </c>
      <c r="BF190" s="140">
        <v>0</v>
      </c>
      <c r="BG190" s="141">
        <v>0</v>
      </c>
      <c r="BH190" s="127">
        <v>0</v>
      </c>
      <c r="BI190" s="130">
        <v>0</v>
      </c>
      <c r="BJ190" s="128">
        <v>0</v>
      </c>
      <c r="BK190" s="125">
        <v>0</v>
      </c>
      <c r="BL190" s="136">
        <v>0</v>
      </c>
      <c r="BM190" s="127">
        <v>0</v>
      </c>
      <c r="BN190" s="142">
        <f t="shared" si="567"/>
        <v>0</v>
      </c>
      <c r="BO190" s="126">
        <f t="shared" si="568"/>
        <v>267960</v>
      </c>
      <c r="BP190" s="132">
        <f t="shared" si="569"/>
        <v>15400</v>
      </c>
      <c r="BQ190" s="141" t="str">
        <f t="shared" si="570"/>
        <v>Positive Margin</v>
      </c>
      <c r="BR190" s="143" t="s">
        <v>119</v>
      </c>
      <c r="BS190" s="125">
        <f t="shared" si="571"/>
        <v>15400</v>
      </c>
      <c r="BT190" s="144" t="str">
        <f t="shared" si="572"/>
        <v>Positive Margin at Inception</v>
      </c>
      <c r="BU190" s="145">
        <f t="shared" si="573"/>
        <v>5.7471264367816091E-2</v>
      </c>
      <c r="BV190" s="144" t="str">
        <f t="shared" si="574"/>
        <v>More than 2%</v>
      </c>
      <c r="BW190" s="125">
        <f t="shared" si="575"/>
        <v>0</v>
      </c>
      <c r="BX190" s="126">
        <f t="shared" si="576"/>
        <v>0</v>
      </c>
      <c r="BY190" s="125">
        <f t="shared" si="577"/>
        <v>0</v>
      </c>
      <c r="BZ190" s="146">
        <f t="shared" si="578"/>
        <v>0</v>
      </c>
      <c r="CA190" s="146">
        <f t="shared" si="579"/>
        <v>0</v>
      </c>
      <c r="CB190" s="127">
        <f t="shared" si="580"/>
        <v>0</v>
      </c>
      <c r="CC190" s="146" t="s">
        <v>397</v>
      </c>
      <c r="CD190" s="127">
        <v>0</v>
      </c>
      <c r="CE190" s="127" t="str">
        <f t="shared" si="581"/>
        <v>Jun-26</v>
      </c>
      <c r="CF190" s="127">
        <f t="shared" si="582"/>
        <v>252560</v>
      </c>
      <c r="CG190" s="127">
        <f t="shared" si="583"/>
        <v>267960</v>
      </c>
      <c r="CH190" s="127">
        <f t="shared" si="584"/>
        <v>11</v>
      </c>
      <c r="CI190" s="147" t="str">
        <f t="shared" si="585"/>
        <v>BG AHD</v>
      </c>
      <c r="CJ190" s="127">
        <v>0</v>
      </c>
      <c r="CK190" s="127">
        <v>0</v>
      </c>
      <c r="CL190" s="127">
        <f t="shared" si="586"/>
        <v>15400</v>
      </c>
      <c r="CM190" s="127">
        <f t="shared" si="587"/>
        <v>15400</v>
      </c>
      <c r="CN190" s="127">
        <f t="shared" si="588"/>
        <v>15400</v>
      </c>
      <c r="CO190" s="127">
        <f t="shared" si="589"/>
        <v>316192.8</v>
      </c>
      <c r="CP190" s="127">
        <f t="shared" si="590"/>
        <v>-298020.8</v>
      </c>
      <c r="CQ190" s="127">
        <f t="shared" si="591"/>
        <v>0</v>
      </c>
      <c r="CR190" s="127">
        <f t="shared" si="592"/>
        <v>0</v>
      </c>
      <c r="CS190" s="127">
        <f t="shared" si="593"/>
        <v>18172</v>
      </c>
      <c r="CT190" s="127" t="s">
        <v>361</v>
      </c>
      <c r="CU190" s="127" t="s">
        <v>361</v>
      </c>
      <c r="CV190" s="142" t="str">
        <f t="shared" si="594"/>
        <v>AAMCB5608A</v>
      </c>
      <c r="CW190" s="142" t="str">
        <f t="shared" si="595"/>
        <v>BJHPB3107J</v>
      </c>
    </row>
    <row r="191" spans="2:101" s="149" customFormat="1" ht="11.85" customHeight="1" x14ac:dyDescent="0.25">
      <c r="B191" s="120" t="str">
        <f t="shared" si="557"/>
        <v>Q1</v>
      </c>
      <c r="C191" s="121" t="str">
        <f t="shared" si="558"/>
        <v>Jun-26</v>
      </c>
      <c r="D191" s="122">
        <v>46183</v>
      </c>
      <c r="E191" s="123" t="s">
        <v>3845</v>
      </c>
      <c r="F191" s="123" t="s">
        <v>196</v>
      </c>
      <c r="G191" s="123" t="s">
        <v>198</v>
      </c>
      <c r="H191" s="124" t="s">
        <v>3846</v>
      </c>
      <c r="I191" s="122">
        <v>46183</v>
      </c>
      <c r="J191" s="123" t="s">
        <v>3847</v>
      </c>
      <c r="K191" s="122">
        <v>46183</v>
      </c>
      <c r="L191" s="123" t="s">
        <v>199</v>
      </c>
      <c r="M191" s="123" t="s">
        <v>3167</v>
      </c>
      <c r="N191" s="124" t="s">
        <v>204</v>
      </c>
      <c r="O191" s="123">
        <v>7320</v>
      </c>
      <c r="P191" s="124">
        <v>10</v>
      </c>
      <c r="Q191" s="125">
        <f t="shared" si="559"/>
        <v>73200</v>
      </c>
      <c r="R191" s="126">
        <v>0</v>
      </c>
      <c r="S191" s="125">
        <f t="shared" si="560"/>
        <v>7320</v>
      </c>
      <c r="T191" s="126">
        <v>0</v>
      </c>
      <c r="U191" s="127">
        <v>0</v>
      </c>
      <c r="V191" s="128">
        <v>0</v>
      </c>
      <c r="W191" s="127">
        <v>0</v>
      </c>
      <c r="X191" s="129">
        <v>0</v>
      </c>
      <c r="Y191" s="127">
        <v>0</v>
      </c>
      <c r="Z191" s="127">
        <v>0</v>
      </c>
      <c r="AA191" s="126">
        <v>0</v>
      </c>
      <c r="AB191" s="130">
        <f t="shared" si="561"/>
        <v>0</v>
      </c>
      <c r="AC191" s="129">
        <v>0</v>
      </c>
      <c r="AD191" s="125">
        <f t="shared" si="562"/>
        <v>10</v>
      </c>
      <c r="AE191" s="144">
        <v>0</v>
      </c>
      <c r="AF191" s="127">
        <v>0</v>
      </c>
      <c r="AG191" s="131">
        <v>0</v>
      </c>
      <c r="AH191" s="127">
        <v>0</v>
      </c>
      <c r="AI191" s="128">
        <v>0</v>
      </c>
      <c r="AJ191" s="127">
        <v>0</v>
      </c>
      <c r="AK191" s="127">
        <v>0</v>
      </c>
      <c r="AL191" s="127">
        <v>0</v>
      </c>
      <c r="AM191" s="132">
        <f t="shared" si="563"/>
        <v>73200</v>
      </c>
      <c r="AN191" s="133">
        <v>46183</v>
      </c>
      <c r="AO191" s="134" t="s">
        <v>3952</v>
      </c>
      <c r="AP191" s="135" t="s">
        <v>234</v>
      </c>
      <c r="AQ191" s="136" t="s">
        <v>235</v>
      </c>
      <c r="AR191" s="136" t="s">
        <v>236</v>
      </c>
      <c r="AS191" s="123" t="s">
        <v>237</v>
      </c>
      <c r="AT191" s="137" t="s">
        <v>238</v>
      </c>
      <c r="AU191" s="137" t="s">
        <v>197</v>
      </c>
      <c r="AV191" s="138" t="s">
        <v>329</v>
      </c>
      <c r="AW191" s="136">
        <v>7320</v>
      </c>
      <c r="AX191" s="138">
        <v>12</v>
      </c>
      <c r="AY191" s="136">
        <f t="shared" si="564"/>
        <v>87840</v>
      </c>
      <c r="AZ191" s="139" t="b">
        <f t="shared" si="565"/>
        <v>1</v>
      </c>
      <c r="BA191" s="125">
        <v>0</v>
      </c>
      <c r="BB191" s="140">
        <f t="shared" si="566"/>
        <v>7320</v>
      </c>
      <c r="BC191" s="141">
        <v>0</v>
      </c>
      <c r="BD191" s="140" t="s">
        <v>107</v>
      </c>
      <c r="BE191" s="141">
        <v>0</v>
      </c>
      <c r="BF191" s="140">
        <v>0</v>
      </c>
      <c r="BG191" s="141">
        <v>0</v>
      </c>
      <c r="BH191" s="127">
        <v>0</v>
      </c>
      <c r="BI191" s="130">
        <v>0</v>
      </c>
      <c r="BJ191" s="128">
        <v>0</v>
      </c>
      <c r="BK191" s="125">
        <v>0</v>
      </c>
      <c r="BL191" s="136">
        <v>0</v>
      </c>
      <c r="BM191" s="127">
        <v>0</v>
      </c>
      <c r="BN191" s="142">
        <f t="shared" si="567"/>
        <v>0</v>
      </c>
      <c r="BO191" s="126">
        <f t="shared" si="568"/>
        <v>87840</v>
      </c>
      <c r="BP191" s="132">
        <f t="shared" si="569"/>
        <v>14640</v>
      </c>
      <c r="BQ191" s="141" t="str">
        <f t="shared" si="570"/>
        <v>Positive Margin</v>
      </c>
      <c r="BR191" s="143" t="s">
        <v>119</v>
      </c>
      <c r="BS191" s="125">
        <f t="shared" si="571"/>
        <v>14640</v>
      </c>
      <c r="BT191" s="144" t="str">
        <f t="shared" si="572"/>
        <v>Positive Margin at Inception</v>
      </c>
      <c r="BU191" s="145">
        <f t="shared" si="573"/>
        <v>0.16666666666666666</v>
      </c>
      <c r="BV191" s="144" t="str">
        <f t="shared" si="574"/>
        <v>More than 2%</v>
      </c>
      <c r="BW191" s="125">
        <f t="shared" si="575"/>
        <v>0</v>
      </c>
      <c r="BX191" s="126">
        <f t="shared" si="576"/>
        <v>0</v>
      </c>
      <c r="BY191" s="125">
        <f t="shared" si="577"/>
        <v>0</v>
      </c>
      <c r="BZ191" s="146">
        <f t="shared" si="578"/>
        <v>0</v>
      </c>
      <c r="CA191" s="146">
        <f t="shared" si="579"/>
        <v>0</v>
      </c>
      <c r="CB191" s="127">
        <f t="shared" si="580"/>
        <v>0</v>
      </c>
      <c r="CC191" s="146" t="s">
        <v>397</v>
      </c>
      <c r="CD191" s="127">
        <v>0</v>
      </c>
      <c r="CE191" s="127" t="str">
        <f t="shared" si="581"/>
        <v>Jun-26</v>
      </c>
      <c r="CF191" s="127">
        <f t="shared" si="582"/>
        <v>73200</v>
      </c>
      <c r="CG191" s="127">
        <f t="shared" si="583"/>
        <v>87840</v>
      </c>
      <c r="CH191" s="127">
        <f t="shared" si="584"/>
        <v>11</v>
      </c>
      <c r="CI191" s="147" t="str">
        <f t="shared" si="585"/>
        <v>BG AHD</v>
      </c>
      <c r="CJ191" s="127">
        <v>0</v>
      </c>
      <c r="CK191" s="127">
        <v>0</v>
      </c>
      <c r="CL191" s="127">
        <f t="shared" si="586"/>
        <v>14640</v>
      </c>
      <c r="CM191" s="127">
        <f t="shared" si="587"/>
        <v>14640</v>
      </c>
      <c r="CN191" s="127">
        <f t="shared" si="588"/>
        <v>14640</v>
      </c>
      <c r="CO191" s="127">
        <f t="shared" si="589"/>
        <v>103651.2</v>
      </c>
      <c r="CP191" s="127">
        <f t="shared" si="590"/>
        <v>-86376</v>
      </c>
      <c r="CQ191" s="127">
        <f t="shared" si="591"/>
        <v>0</v>
      </c>
      <c r="CR191" s="127">
        <f t="shared" si="592"/>
        <v>0</v>
      </c>
      <c r="CS191" s="127">
        <f t="shared" si="593"/>
        <v>17275.199999999997</v>
      </c>
      <c r="CT191" s="127" t="s">
        <v>361</v>
      </c>
      <c r="CU191" s="127" t="s">
        <v>361</v>
      </c>
      <c r="CV191" s="142" t="str">
        <f t="shared" si="594"/>
        <v>AAMCB5608A</v>
      </c>
      <c r="CW191" s="142" t="str">
        <f t="shared" si="595"/>
        <v>BJHPB3107J</v>
      </c>
    </row>
    <row r="192" spans="2:101" s="149" customFormat="1" ht="11.85" customHeight="1" x14ac:dyDescent="0.25">
      <c r="B192" s="120" t="str">
        <f t="shared" si="557"/>
        <v>Q1</v>
      </c>
      <c r="C192" s="121" t="str">
        <f t="shared" si="558"/>
        <v>Jun-26</v>
      </c>
      <c r="D192" s="122">
        <v>46183</v>
      </c>
      <c r="E192" s="123" t="s">
        <v>3848</v>
      </c>
      <c r="F192" s="123" t="s">
        <v>196</v>
      </c>
      <c r="G192" s="123" t="s">
        <v>198</v>
      </c>
      <c r="H192" s="124" t="s">
        <v>3849</v>
      </c>
      <c r="I192" s="122">
        <v>46183</v>
      </c>
      <c r="J192" s="123" t="s">
        <v>3850</v>
      </c>
      <c r="K192" s="122">
        <v>46183</v>
      </c>
      <c r="L192" s="123" t="s">
        <v>199</v>
      </c>
      <c r="M192" s="123" t="s">
        <v>244</v>
      </c>
      <c r="N192" s="124" t="s">
        <v>206</v>
      </c>
      <c r="O192" s="123">
        <v>236</v>
      </c>
      <c r="P192" s="124">
        <v>50</v>
      </c>
      <c r="Q192" s="125">
        <f t="shared" si="559"/>
        <v>11800</v>
      </c>
      <c r="R192" s="126">
        <v>0</v>
      </c>
      <c r="S192" s="125">
        <f t="shared" si="560"/>
        <v>236</v>
      </c>
      <c r="T192" s="126">
        <v>0</v>
      </c>
      <c r="U192" s="127">
        <v>0</v>
      </c>
      <c r="V192" s="128">
        <v>0</v>
      </c>
      <c r="W192" s="127">
        <v>0</v>
      </c>
      <c r="X192" s="129">
        <v>0</v>
      </c>
      <c r="Y192" s="127">
        <v>0</v>
      </c>
      <c r="Z192" s="127">
        <v>0</v>
      </c>
      <c r="AA192" s="126">
        <v>0</v>
      </c>
      <c r="AB192" s="130">
        <f t="shared" si="561"/>
        <v>0</v>
      </c>
      <c r="AC192" s="129">
        <v>0</v>
      </c>
      <c r="AD192" s="125">
        <f t="shared" si="562"/>
        <v>50</v>
      </c>
      <c r="AE192" s="144">
        <v>0</v>
      </c>
      <c r="AF192" s="127">
        <v>0</v>
      </c>
      <c r="AG192" s="131">
        <v>0</v>
      </c>
      <c r="AH192" s="127">
        <v>0</v>
      </c>
      <c r="AI192" s="128">
        <v>0</v>
      </c>
      <c r="AJ192" s="127">
        <v>0</v>
      </c>
      <c r="AK192" s="127">
        <v>0</v>
      </c>
      <c r="AL192" s="127">
        <v>0</v>
      </c>
      <c r="AM192" s="132">
        <f t="shared" si="563"/>
        <v>11800</v>
      </c>
      <c r="AN192" s="133">
        <v>46183</v>
      </c>
      <c r="AO192" s="134" t="s">
        <v>3944</v>
      </c>
      <c r="AP192" s="135" t="s">
        <v>234</v>
      </c>
      <c r="AQ192" s="136" t="s">
        <v>235</v>
      </c>
      <c r="AR192" s="136" t="s">
        <v>236</v>
      </c>
      <c r="AS192" s="123" t="s">
        <v>237</v>
      </c>
      <c r="AT192" s="137" t="s">
        <v>238</v>
      </c>
      <c r="AU192" s="137" t="s">
        <v>197</v>
      </c>
      <c r="AV192" s="138" t="s">
        <v>329</v>
      </c>
      <c r="AW192" s="136">
        <v>236</v>
      </c>
      <c r="AX192" s="138">
        <v>70</v>
      </c>
      <c r="AY192" s="136">
        <f t="shared" si="564"/>
        <v>16520</v>
      </c>
      <c r="AZ192" s="139" t="b">
        <f t="shared" si="565"/>
        <v>1</v>
      </c>
      <c r="BA192" s="125">
        <v>0</v>
      </c>
      <c r="BB192" s="140">
        <f t="shared" si="566"/>
        <v>236</v>
      </c>
      <c r="BC192" s="141">
        <v>0</v>
      </c>
      <c r="BD192" s="140" t="s">
        <v>107</v>
      </c>
      <c r="BE192" s="141">
        <v>0</v>
      </c>
      <c r="BF192" s="140">
        <v>0</v>
      </c>
      <c r="BG192" s="141">
        <v>0</v>
      </c>
      <c r="BH192" s="127">
        <v>0</v>
      </c>
      <c r="BI192" s="130">
        <v>0</v>
      </c>
      <c r="BJ192" s="128">
        <v>0</v>
      </c>
      <c r="BK192" s="125">
        <v>0</v>
      </c>
      <c r="BL192" s="136">
        <v>0</v>
      </c>
      <c r="BM192" s="127">
        <v>0</v>
      </c>
      <c r="BN192" s="142">
        <f t="shared" si="567"/>
        <v>0</v>
      </c>
      <c r="BO192" s="126">
        <f t="shared" si="568"/>
        <v>16520</v>
      </c>
      <c r="BP192" s="132">
        <f t="shared" si="569"/>
        <v>4720</v>
      </c>
      <c r="BQ192" s="141" t="str">
        <f t="shared" si="570"/>
        <v>Positive Margin</v>
      </c>
      <c r="BR192" s="143" t="s">
        <v>119</v>
      </c>
      <c r="BS192" s="125">
        <f t="shared" si="571"/>
        <v>4720</v>
      </c>
      <c r="BT192" s="144" t="str">
        <f t="shared" si="572"/>
        <v>Positive Margin at Inception</v>
      </c>
      <c r="BU192" s="145">
        <f t="shared" si="573"/>
        <v>0.2857142857142857</v>
      </c>
      <c r="BV192" s="144" t="str">
        <f t="shared" si="574"/>
        <v>More than 2%</v>
      </c>
      <c r="BW192" s="125">
        <f t="shared" si="575"/>
        <v>0</v>
      </c>
      <c r="BX192" s="126">
        <f t="shared" si="576"/>
        <v>0</v>
      </c>
      <c r="BY192" s="125">
        <f t="shared" si="577"/>
        <v>0</v>
      </c>
      <c r="BZ192" s="146">
        <f t="shared" si="578"/>
        <v>0</v>
      </c>
      <c r="CA192" s="146">
        <f t="shared" si="579"/>
        <v>0</v>
      </c>
      <c r="CB192" s="127">
        <f t="shared" si="580"/>
        <v>0</v>
      </c>
      <c r="CC192" s="146" t="s">
        <v>397</v>
      </c>
      <c r="CD192" s="127">
        <v>0</v>
      </c>
      <c r="CE192" s="127" t="str">
        <f t="shared" si="581"/>
        <v>Jun-26</v>
      </c>
      <c r="CF192" s="127">
        <f t="shared" si="582"/>
        <v>11800</v>
      </c>
      <c r="CG192" s="127">
        <f t="shared" si="583"/>
        <v>16520</v>
      </c>
      <c r="CH192" s="127">
        <f t="shared" si="584"/>
        <v>11</v>
      </c>
      <c r="CI192" s="147" t="str">
        <f t="shared" si="585"/>
        <v>BG AHD</v>
      </c>
      <c r="CJ192" s="127">
        <v>0</v>
      </c>
      <c r="CK192" s="127">
        <v>0</v>
      </c>
      <c r="CL192" s="127">
        <f t="shared" si="586"/>
        <v>4720</v>
      </c>
      <c r="CM192" s="127">
        <f t="shared" si="587"/>
        <v>4720</v>
      </c>
      <c r="CN192" s="127">
        <f t="shared" si="588"/>
        <v>4720</v>
      </c>
      <c r="CO192" s="127">
        <f t="shared" si="589"/>
        <v>19493.599999999999</v>
      </c>
      <c r="CP192" s="127">
        <f t="shared" si="590"/>
        <v>-13924</v>
      </c>
      <c r="CQ192" s="127">
        <f t="shared" si="591"/>
        <v>0</v>
      </c>
      <c r="CR192" s="127">
        <f t="shared" si="592"/>
        <v>0</v>
      </c>
      <c r="CS192" s="127">
        <f t="shared" si="593"/>
        <v>5569.5999999999985</v>
      </c>
      <c r="CT192" s="127" t="s">
        <v>361</v>
      </c>
      <c r="CU192" s="127" t="s">
        <v>361</v>
      </c>
      <c r="CV192" s="142" t="str">
        <f t="shared" si="594"/>
        <v>AAMCB5608A</v>
      </c>
      <c r="CW192" s="142" t="str">
        <f t="shared" si="595"/>
        <v>BJHPB3107J</v>
      </c>
    </row>
    <row r="193" spans="2:101" s="149" customFormat="1" ht="11.85" customHeight="1" x14ac:dyDescent="0.25">
      <c r="B193" s="120" t="str">
        <f t="shared" si="557"/>
        <v>Q1</v>
      </c>
      <c r="C193" s="121" t="str">
        <f t="shared" si="558"/>
        <v>Jun-26</v>
      </c>
      <c r="D193" s="122">
        <v>46183</v>
      </c>
      <c r="E193" s="123" t="s">
        <v>3848</v>
      </c>
      <c r="F193" s="123" t="s">
        <v>196</v>
      </c>
      <c r="G193" s="123" t="s">
        <v>198</v>
      </c>
      <c r="H193" s="124" t="s">
        <v>3849</v>
      </c>
      <c r="I193" s="122">
        <v>46183</v>
      </c>
      <c r="J193" s="123" t="s">
        <v>3850</v>
      </c>
      <c r="K193" s="122">
        <v>46183</v>
      </c>
      <c r="L193" s="123" t="s">
        <v>199</v>
      </c>
      <c r="M193" s="123" t="s">
        <v>244</v>
      </c>
      <c r="N193" s="124" t="s">
        <v>205</v>
      </c>
      <c r="O193" s="123">
        <v>130</v>
      </c>
      <c r="P193" s="124">
        <v>12</v>
      </c>
      <c r="Q193" s="125">
        <f t="shared" si="559"/>
        <v>1560</v>
      </c>
      <c r="R193" s="126">
        <v>0</v>
      </c>
      <c r="S193" s="125">
        <f t="shared" si="560"/>
        <v>130</v>
      </c>
      <c r="T193" s="126">
        <v>0</v>
      </c>
      <c r="U193" s="127">
        <v>0</v>
      </c>
      <c r="V193" s="128">
        <v>0</v>
      </c>
      <c r="W193" s="127">
        <v>0</v>
      </c>
      <c r="X193" s="129">
        <v>0</v>
      </c>
      <c r="Y193" s="127">
        <v>0</v>
      </c>
      <c r="Z193" s="127">
        <v>0</v>
      </c>
      <c r="AA193" s="126">
        <v>0</v>
      </c>
      <c r="AB193" s="130">
        <f t="shared" si="561"/>
        <v>0</v>
      </c>
      <c r="AC193" s="129">
        <v>0</v>
      </c>
      <c r="AD193" s="125">
        <f t="shared" si="562"/>
        <v>12</v>
      </c>
      <c r="AE193" s="144">
        <v>0</v>
      </c>
      <c r="AF193" s="127">
        <v>0</v>
      </c>
      <c r="AG193" s="131">
        <v>0</v>
      </c>
      <c r="AH193" s="127">
        <v>0</v>
      </c>
      <c r="AI193" s="128">
        <v>0</v>
      </c>
      <c r="AJ193" s="127">
        <v>0</v>
      </c>
      <c r="AK193" s="127">
        <v>0</v>
      </c>
      <c r="AL193" s="127">
        <v>0</v>
      </c>
      <c r="AM193" s="132">
        <f t="shared" si="563"/>
        <v>1560</v>
      </c>
      <c r="AN193" s="133">
        <v>46183</v>
      </c>
      <c r="AO193" s="134" t="s">
        <v>3944</v>
      </c>
      <c r="AP193" s="135" t="s">
        <v>234</v>
      </c>
      <c r="AQ193" s="136" t="s">
        <v>235</v>
      </c>
      <c r="AR193" s="136" t="s">
        <v>236</v>
      </c>
      <c r="AS193" s="123" t="s">
        <v>237</v>
      </c>
      <c r="AT193" s="137" t="s">
        <v>238</v>
      </c>
      <c r="AU193" s="137" t="s">
        <v>197</v>
      </c>
      <c r="AV193" s="138" t="s">
        <v>329</v>
      </c>
      <c r="AW193" s="136">
        <v>130</v>
      </c>
      <c r="AX193" s="138">
        <v>14</v>
      </c>
      <c r="AY193" s="136">
        <f t="shared" si="564"/>
        <v>1820</v>
      </c>
      <c r="AZ193" s="139" t="b">
        <f t="shared" si="565"/>
        <v>1</v>
      </c>
      <c r="BA193" s="125">
        <v>0</v>
      </c>
      <c r="BB193" s="140">
        <f t="shared" si="566"/>
        <v>130</v>
      </c>
      <c r="BC193" s="141">
        <v>0</v>
      </c>
      <c r="BD193" s="140" t="s">
        <v>107</v>
      </c>
      <c r="BE193" s="141">
        <v>0</v>
      </c>
      <c r="BF193" s="140">
        <v>0</v>
      </c>
      <c r="BG193" s="141">
        <v>0</v>
      </c>
      <c r="BH193" s="127">
        <v>0</v>
      </c>
      <c r="BI193" s="130">
        <v>0</v>
      </c>
      <c r="BJ193" s="128">
        <v>0</v>
      </c>
      <c r="BK193" s="125">
        <v>0</v>
      </c>
      <c r="BL193" s="136">
        <v>0</v>
      </c>
      <c r="BM193" s="127">
        <v>0</v>
      </c>
      <c r="BN193" s="142">
        <f t="shared" si="567"/>
        <v>0</v>
      </c>
      <c r="BO193" s="126">
        <f t="shared" si="568"/>
        <v>1820</v>
      </c>
      <c r="BP193" s="132">
        <f t="shared" si="569"/>
        <v>260</v>
      </c>
      <c r="BQ193" s="141" t="str">
        <f t="shared" si="570"/>
        <v>Positive Margin</v>
      </c>
      <c r="BR193" s="143" t="s">
        <v>119</v>
      </c>
      <c r="BS193" s="125">
        <f t="shared" si="571"/>
        <v>260</v>
      </c>
      <c r="BT193" s="144" t="str">
        <f t="shared" si="572"/>
        <v>Positive Margin at Inception</v>
      </c>
      <c r="BU193" s="145">
        <f t="shared" si="573"/>
        <v>0.14285714285714285</v>
      </c>
      <c r="BV193" s="144" t="str">
        <f t="shared" si="574"/>
        <v>More than 2%</v>
      </c>
      <c r="BW193" s="125">
        <f t="shared" si="575"/>
        <v>0</v>
      </c>
      <c r="BX193" s="126">
        <f t="shared" si="576"/>
        <v>0</v>
      </c>
      <c r="BY193" s="125">
        <f t="shared" si="577"/>
        <v>0</v>
      </c>
      <c r="BZ193" s="146">
        <f t="shared" si="578"/>
        <v>0</v>
      </c>
      <c r="CA193" s="146">
        <f t="shared" si="579"/>
        <v>0</v>
      </c>
      <c r="CB193" s="127">
        <f t="shared" si="580"/>
        <v>0</v>
      </c>
      <c r="CC193" s="146" t="s">
        <v>397</v>
      </c>
      <c r="CD193" s="127">
        <v>0</v>
      </c>
      <c r="CE193" s="127" t="str">
        <f t="shared" si="581"/>
        <v>Jun-26</v>
      </c>
      <c r="CF193" s="127">
        <f t="shared" si="582"/>
        <v>1560</v>
      </c>
      <c r="CG193" s="127">
        <f t="shared" si="583"/>
        <v>1820</v>
      </c>
      <c r="CH193" s="127">
        <f t="shared" si="584"/>
        <v>11</v>
      </c>
      <c r="CI193" s="147" t="str">
        <f t="shared" si="585"/>
        <v>BG AHD</v>
      </c>
      <c r="CJ193" s="127">
        <v>0</v>
      </c>
      <c r="CK193" s="127">
        <v>0</v>
      </c>
      <c r="CL193" s="127">
        <f t="shared" si="586"/>
        <v>260</v>
      </c>
      <c r="CM193" s="127">
        <f t="shared" si="587"/>
        <v>260</v>
      </c>
      <c r="CN193" s="127">
        <f t="shared" si="588"/>
        <v>260</v>
      </c>
      <c r="CO193" s="127">
        <f t="shared" si="589"/>
        <v>2147.6</v>
      </c>
      <c r="CP193" s="127">
        <f t="shared" si="590"/>
        <v>-1840.8</v>
      </c>
      <c r="CQ193" s="127">
        <f t="shared" si="591"/>
        <v>0</v>
      </c>
      <c r="CR193" s="127">
        <f t="shared" si="592"/>
        <v>0</v>
      </c>
      <c r="CS193" s="127">
        <f t="shared" si="593"/>
        <v>306.79999999999995</v>
      </c>
      <c r="CT193" s="127" t="s">
        <v>361</v>
      </c>
      <c r="CU193" s="127" t="s">
        <v>361</v>
      </c>
      <c r="CV193" s="142" t="str">
        <f t="shared" si="594"/>
        <v>AAMCB5608A</v>
      </c>
      <c r="CW193" s="142" t="str">
        <f t="shared" si="595"/>
        <v>BJHPB3107J</v>
      </c>
    </row>
    <row r="194" spans="2:101" s="149" customFormat="1" ht="11.85" customHeight="1" x14ac:dyDescent="0.25">
      <c r="B194" s="120" t="str">
        <f t="shared" si="557"/>
        <v>Q1</v>
      </c>
      <c r="C194" s="121" t="str">
        <f t="shared" si="558"/>
        <v>Jun-26</v>
      </c>
      <c r="D194" s="122">
        <v>46183</v>
      </c>
      <c r="E194" s="123" t="s">
        <v>3848</v>
      </c>
      <c r="F194" s="123" t="s">
        <v>196</v>
      </c>
      <c r="G194" s="123" t="s">
        <v>198</v>
      </c>
      <c r="H194" s="124" t="s">
        <v>3849</v>
      </c>
      <c r="I194" s="122">
        <v>46183</v>
      </c>
      <c r="J194" s="123" t="s">
        <v>3850</v>
      </c>
      <c r="K194" s="122">
        <v>46183</v>
      </c>
      <c r="L194" s="123" t="s">
        <v>199</v>
      </c>
      <c r="M194" s="123" t="s">
        <v>244</v>
      </c>
      <c r="N194" s="124" t="s">
        <v>243</v>
      </c>
      <c r="O194" s="123">
        <v>280</v>
      </c>
      <c r="P194" s="124">
        <v>60</v>
      </c>
      <c r="Q194" s="125">
        <f t="shared" si="559"/>
        <v>16800</v>
      </c>
      <c r="R194" s="126">
        <v>0</v>
      </c>
      <c r="S194" s="125">
        <f t="shared" si="560"/>
        <v>280</v>
      </c>
      <c r="T194" s="126">
        <v>0</v>
      </c>
      <c r="U194" s="127">
        <v>0</v>
      </c>
      <c r="V194" s="128">
        <v>0</v>
      </c>
      <c r="W194" s="127">
        <v>0</v>
      </c>
      <c r="X194" s="129">
        <v>0</v>
      </c>
      <c r="Y194" s="127">
        <v>0</v>
      </c>
      <c r="Z194" s="127">
        <v>0</v>
      </c>
      <c r="AA194" s="126">
        <v>0</v>
      </c>
      <c r="AB194" s="130">
        <f t="shared" si="561"/>
        <v>0</v>
      </c>
      <c r="AC194" s="129">
        <v>0</v>
      </c>
      <c r="AD194" s="125">
        <f t="shared" si="562"/>
        <v>60</v>
      </c>
      <c r="AE194" s="144">
        <v>0</v>
      </c>
      <c r="AF194" s="127">
        <v>0</v>
      </c>
      <c r="AG194" s="131">
        <v>0</v>
      </c>
      <c r="AH194" s="127">
        <v>0</v>
      </c>
      <c r="AI194" s="128">
        <v>0</v>
      </c>
      <c r="AJ194" s="127">
        <v>0</v>
      </c>
      <c r="AK194" s="127">
        <v>0</v>
      </c>
      <c r="AL194" s="127">
        <v>0</v>
      </c>
      <c r="AM194" s="132">
        <f t="shared" si="563"/>
        <v>16800</v>
      </c>
      <c r="AN194" s="133">
        <v>46183</v>
      </c>
      <c r="AO194" s="134" t="s">
        <v>3944</v>
      </c>
      <c r="AP194" s="135" t="s">
        <v>234</v>
      </c>
      <c r="AQ194" s="136" t="s">
        <v>235</v>
      </c>
      <c r="AR194" s="136" t="s">
        <v>236</v>
      </c>
      <c r="AS194" s="123" t="s">
        <v>237</v>
      </c>
      <c r="AT194" s="137" t="s">
        <v>238</v>
      </c>
      <c r="AU194" s="137" t="s">
        <v>197</v>
      </c>
      <c r="AV194" s="138" t="s">
        <v>329</v>
      </c>
      <c r="AW194" s="136">
        <v>280</v>
      </c>
      <c r="AX194" s="138">
        <v>80</v>
      </c>
      <c r="AY194" s="136">
        <f t="shared" si="564"/>
        <v>22400</v>
      </c>
      <c r="AZ194" s="139" t="b">
        <f t="shared" si="565"/>
        <v>1</v>
      </c>
      <c r="BA194" s="125">
        <v>0</v>
      </c>
      <c r="BB194" s="140">
        <f t="shared" si="566"/>
        <v>280</v>
      </c>
      <c r="BC194" s="141">
        <v>0</v>
      </c>
      <c r="BD194" s="140" t="s">
        <v>107</v>
      </c>
      <c r="BE194" s="141">
        <v>0</v>
      </c>
      <c r="BF194" s="140">
        <v>0</v>
      </c>
      <c r="BG194" s="141">
        <v>0</v>
      </c>
      <c r="BH194" s="127">
        <v>0</v>
      </c>
      <c r="BI194" s="130">
        <v>0</v>
      </c>
      <c r="BJ194" s="128">
        <v>0</v>
      </c>
      <c r="BK194" s="125">
        <v>0</v>
      </c>
      <c r="BL194" s="136">
        <v>0</v>
      </c>
      <c r="BM194" s="127">
        <v>0</v>
      </c>
      <c r="BN194" s="142">
        <f t="shared" si="567"/>
        <v>0</v>
      </c>
      <c r="BO194" s="126">
        <f t="shared" si="568"/>
        <v>22400</v>
      </c>
      <c r="BP194" s="132">
        <f t="shared" si="569"/>
        <v>5600</v>
      </c>
      <c r="BQ194" s="141" t="str">
        <f t="shared" si="570"/>
        <v>Positive Margin</v>
      </c>
      <c r="BR194" s="143" t="s">
        <v>119</v>
      </c>
      <c r="BS194" s="125">
        <f t="shared" si="571"/>
        <v>5600</v>
      </c>
      <c r="BT194" s="144" t="str">
        <f t="shared" si="572"/>
        <v>Positive Margin at Inception</v>
      </c>
      <c r="BU194" s="145">
        <f t="shared" si="573"/>
        <v>0.25</v>
      </c>
      <c r="BV194" s="144" t="str">
        <f t="shared" si="574"/>
        <v>More than 2%</v>
      </c>
      <c r="BW194" s="125">
        <f t="shared" si="575"/>
        <v>0</v>
      </c>
      <c r="BX194" s="126">
        <f t="shared" si="576"/>
        <v>0</v>
      </c>
      <c r="BY194" s="125">
        <f t="shared" si="577"/>
        <v>0</v>
      </c>
      <c r="BZ194" s="146">
        <f t="shared" si="578"/>
        <v>0</v>
      </c>
      <c r="CA194" s="146">
        <f t="shared" si="579"/>
        <v>0</v>
      </c>
      <c r="CB194" s="127">
        <f t="shared" si="580"/>
        <v>0</v>
      </c>
      <c r="CC194" s="146" t="s">
        <v>397</v>
      </c>
      <c r="CD194" s="127">
        <v>0</v>
      </c>
      <c r="CE194" s="127" t="str">
        <f t="shared" si="581"/>
        <v>Jun-26</v>
      </c>
      <c r="CF194" s="127">
        <f t="shared" si="582"/>
        <v>16800</v>
      </c>
      <c r="CG194" s="127">
        <f t="shared" si="583"/>
        <v>22400</v>
      </c>
      <c r="CH194" s="127">
        <f t="shared" si="584"/>
        <v>11</v>
      </c>
      <c r="CI194" s="147" t="str">
        <f t="shared" si="585"/>
        <v>BG AHD</v>
      </c>
      <c r="CJ194" s="127">
        <v>0</v>
      </c>
      <c r="CK194" s="127">
        <v>0</v>
      </c>
      <c r="CL194" s="127">
        <f t="shared" si="586"/>
        <v>5600</v>
      </c>
      <c r="CM194" s="127">
        <f t="shared" si="587"/>
        <v>5600</v>
      </c>
      <c r="CN194" s="127">
        <f t="shared" si="588"/>
        <v>5600</v>
      </c>
      <c r="CO194" s="127">
        <f t="shared" si="589"/>
        <v>26432</v>
      </c>
      <c r="CP194" s="127">
        <f t="shared" si="590"/>
        <v>-19824</v>
      </c>
      <c r="CQ194" s="127">
        <f t="shared" si="591"/>
        <v>0</v>
      </c>
      <c r="CR194" s="127">
        <f t="shared" si="592"/>
        <v>0</v>
      </c>
      <c r="CS194" s="127">
        <f t="shared" si="593"/>
        <v>6608</v>
      </c>
      <c r="CT194" s="127" t="s">
        <v>361</v>
      </c>
      <c r="CU194" s="127" t="s">
        <v>361</v>
      </c>
      <c r="CV194" s="142" t="str">
        <f t="shared" si="594"/>
        <v>AAMCB5608A</v>
      </c>
      <c r="CW194" s="142" t="str">
        <f t="shared" si="595"/>
        <v>BJHPB3107J</v>
      </c>
    </row>
    <row r="195" spans="2:101" s="149" customFormat="1" ht="11.85" customHeight="1" x14ac:dyDescent="0.25">
      <c r="B195" s="120" t="str">
        <f t="shared" si="557"/>
        <v>Q1</v>
      </c>
      <c r="C195" s="121" t="str">
        <f t="shared" si="558"/>
        <v>Jun-26</v>
      </c>
      <c r="D195" s="122">
        <v>46183</v>
      </c>
      <c r="E195" s="123" t="s">
        <v>3851</v>
      </c>
      <c r="F195" s="123" t="s">
        <v>196</v>
      </c>
      <c r="G195" s="123" t="s">
        <v>198</v>
      </c>
      <c r="H195" s="124" t="s">
        <v>3852</v>
      </c>
      <c r="I195" s="122">
        <v>46183</v>
      </c>
      <c r="J195" s="123" t="s">
        <v>3853</v>
      </c>
      <c r="K195" s="122">
        <v>46184</v>
      </c>
      <c r="L195" s="123" t="s">
        <v>199</v>
      </c>
      <c r="M195" s="123" t="s">
        <v>3137</v>
      </c>
      <c r="N195" s="124" t="s">
        <v>3854</v>
      </c>
      <c r="O195" s="123">
        <v>700</v>
      </c>
      <c r="P195" s="124">
        <v>11</v>
      </c>
      <c r="Q195" s="125">
        <f t="shared" si="559"/>
        <v>7700</v>
      </c>
      <c r="R195" s="126">
        <v>0</v>
      </c>
      <c r="S195" s="125">
        <f t="shared" si="560"/>
        <v>700</v>
      </c>
      <c r="T195" s="126">
        <v>0</v>
      </c>
      <c r="U195" s="127">
        <v>0</v>
      </c>
      <c r="V195" s="128">
        <v>0</v>
      </c>
      <c r="W195" s="127">
        <v>0</v>
      </c>
      <c r="X195" s="129">
        <v>0</v>
      </c>
      <c r="Y195" s="127">
        <v>0</v>
      </c>
      <c r="Z195" s="127">
        <v>0</v>
      </c>
      <c r="AA195" s="126">
        <v>0</v>
      </c>
      <c r="AB195" s="130">
        <f t="shared" si="561"/>
        <v>0</v>
      </c>
      <c r="AC195" s="129">
        <v>0</v>
      </c>
      <c r="AD195" s="125">
        <f t="shared" si="562"/>
        <v>11</v>
      </c>
      <c r="AE195" s="144">
        <v>0</v>
      </c>
      <c r="AF195" s="127">
        <v>0</v>
      </c>
      <c r="AG195" s="131">
        <v>0</v>
      </c>
      <c r="AH195" s="127">
        <v>0</v>
      </c>
      <c r="AI195" s="128">
        <v>0</v>
      </c>
      <c r="AJ195" s="127">
        <v>0</v>
      </c>
      <c r="AK195" s="127">
        <v>0</v>
      </c>
      <c r="AL195" s="127">
        <v>0</v>
      </c>
      <c r="AM195" s="132">
        <f t="shared" si="563"/>
        <v>7700</v>
      </c>
      <c r="AN195" s="133">
        <v>46184</v>
      </c>
      <c r="AO195" s="134" t="s">
        <v>3953</v>
      </c>
      <c r="AP195" s="135" t="s">
        <v>1937</v>
      </c>
      <c r="AQ195" s="136" t="s">
        <v>1938</v>
      </c>
      <c r="AR195" s="136" t="s">
        <v>1939</v>
      </c>
      <c r="AS195" s="123" t="s">
        <v>2976</v>
      </c>
      <c r="AT195" s="137" t="s">
        <v>1940</v>
      </c>
      <c r="AU195" s="137" t="s">
        <v>197</v>
      </c>
      <c r="AV195" s="138" t="s">
        <v>329</v>
      </c>
      <c r="AW195" s="136">
        <v>700</v>
      </c>
      <c r="AX195" s="138">
        <v>12</v>
      </c>
      <c r="AY195" s="136">
        <f t="shared" si="564"/>
        <v>8400</v>
      </c>
      <c r="AZ195" s="139" t="b">
        <f t="shared" si="565"/>
        <v>1</v>
      </c>
      <c r="BA195" s="125">
        <v>0</v>
      </c>
      <c r="BB195" s="140">
        <f t="shared" si="566"/>
        <v>700</v>
      </c>
      <c r="BC195" s="141">
        <v>0</v>
      </c>
      <c r="BD195" s="140" t="s">
        <v>107</v>
      </c>
      <c r="BE195" s="141">
        <v>0</v>
      </c>
      <c r="BF195" s="140">
        <v>0</v>
      </c>
      <c r="BG195" s="141">
        <v>0</v>
      </c>
      <c r="BH195" s="127">
        <v>0</v>
      </c>
      <c r="BI195" s="130">
        <v>0</v>
      </c>
      <c r="BJ195" s="128">
        <v>0</v>
      </c>
      <c r="BK195" s="125">
        <v>0</v>
      </c>
      <c r="BL195" s="136">
        <v>0</v>
      </c>
      <c r="BM195" s="127">
        <v>0</v>
      </c>
      <c r="BN195" s="142">
        <f t="shared" si="567"/>
        <v>0</v>
      </c>
      <c r="BO195" s="126">
        <f t="shared" si="568"/>
        <v>8400</v>
      </c>
      <c r="BP195" s="132">
        <f t="shared" si="569"/>
        <v>700</v>
      </c>
      <c r="BQ195" s="141" t="str">
        <f t="shared" si="570"/>
        <v>Positive Margin</v>
      </c>
      <c r="BR195" s="143" t="s">
        <v>119</v>
      </c>
      <c r="BS195" s="125">
        <f t="shared" si="571"/>
        <v>700</v>
      </c>
      <c r="BT195" s="144" t="str">
        <f t="shared" si="572"/>
        <v>Positive Margin at Inception</v>
      </c>
      <c r="BU195" s="145">
        <f t="shared" si="573"/>
        <v>8.3333333333333329E-2</v>
      </c>
      <c r="BV195" s="144" t="str">
        <f t="shared" si="574"/>
        <v>More than 2%</v>
      </c>
      <c r="BW195" s="125">
        <f t="shared" si="575"/>
        <v>0</v>
      </c>
      <c r="BX195" s="126">
        <f t="shared" si="576"/>
        <v>0</v>
      </c>
      <c r="BY195" s="125">
        <f t="shared" si="577"/>
        <v>0</v>
      </c>
      <c r="BZ195" s="146">
        <f t="shared" si="578"/>
        <v>0</v>
      </c>
      <c r="CA195" s="146">
        <f t="shared" si="579"/>
        <v>0</v>
      </c>
      <c r="CB195" s="127">
        <f t="shared" si="580"/>
        <v>0</v>
      </c>
      <c r="CC195" s="146" t="s">
        <v>397</v>
      </c>
      <c r="CD195" s="127">
        <v>0</v>
      </c>
      <c r="CE195" s="127" t="str">
        <f t="shared" si="581"/>
        <v>Jun-26</v>
      </c>
      <c r="CF195" s="127">
        <f t="shared" si="582"/>
        <v>7700</v>
      </c>
      <c r="CG195" s="127">
        <f t="shared" si="583"/>
        <v>8400</v>
      </c>
      <c r="CH195" s="127">
        <f t="shared" si="584"/>
        <v>11</v>
      </c>
      <c r="CI195" s="147" t="str">
        <f t="shared" si="585"/>
        <v>BG AHD</v>
      </c>
      <c r="CJ195" s="127">
        <v>0</v>
      </c>
      <c r="CK195" s="127">
        <v>0</v>
      </c>
      <c r="CL195" s="127">
        <f t="shared" si="586"/>
        <v>700</v>
      </c>
      <c r="CM195" s="127">
        <f t="shared" si="587"/>
        <v>700</v>
      </c>
      <c r="CN195" s="127">
        <f t="shared" si="588"/>
        <v>700</v>
      </c>
      <c r="CO195" s="127">
        <f t="shared" si="589"/>
        <v>9912</v>
      </c>
      <c r="CP195" s="127">
        <f t="shared" si="590"/>
        <v>-9086</v>
      </c>
      <c r="CQ195" s="127">
        <f t="shared" si="591"/>
        <v>0</v>
      </c>
      <c r="CR195" s="127">
        <f t="shared" si="592"/>
        <v>0</v>
      </c>
      <c r="CS195" s="127">
        <f t="shared" si="593"/>
        <v>826</v>
      </c>
      <c r="CT195" s="127" t="s">
        <v>361</v>
      </c>
      <c r="CU195" s="127" t="s">
        <v>361</v>
      </c>
      <c r="CV195" s="142" t="str">
        <f t="shared" si="594"/>
        <v>AAMCB5608A</v>
      </c>
      <c r="CW195" s="142" t="str">
        <f t="shared" si="595"/>
        <v>AFDPY5902R</v>
      </c>
    </row>
    <row r="196" spans="2:101" s="149" customFormat="1" ht="11.85" customHeight="1" x14ac:dyDescent="0.25">
      <c r="B196" s="120" t="str">
        <f t="shared" si="557"/>
        <v>Q1</v>
      </c>
      <c r="C196" s="121" t="str">
        <f t="shared" si="558"/>
        <v>Jun-26</v>
      </c>
      <c r="D196" s="122">
        <v>46184</v>
      </c>
      <c r="E196" s="123" t="s">
        <v>3855</v>
      </c>
      <c r="F196" s="123" t="s">
        <v>196</v>
      </c>
      <c r="G196" s="123" t="s">
        <v>198</v>
      </c>
      <c r="H196" s="124" t="s">
        <v>3856</v>
      </c>
      <c r="I196" s="122">
        <v>46184</v>
      </c>
      <c r="J196" s="123" t="s">
        <v>3857</v>
      </c>
      <c r="K196" s="122">
        <v>46184</v>
      </c>
      <c r="L196" s="123" t="s">
        <v>199</v>
      </c>
      <c r="M196" s="123" t="s">
        <v>3462</v>
      </c>
      <c r="N196" s="124" t="s">
        <v>241</v>
      </c>
      <c r="O196" s="123">
        <v>740</v>
      </c>
      <c r="P196" s="124">
        <v>30</v>
      </c>
      <c r="Q196" s="125">
        <f t="shared" si="559"/>
        <v>22200</v>
      </c>
      <c r="R196" s="126">
        <v>0</v>
      </c>
      <c r="S196" s="125">
        <f t="shared" si="560"/>
        <v>740</v>
      </c>
      <c r="T196" s="126">
        <v>0</v>
      </c>
      <c r="U196" s="127">
        <v>0</v>
      </c>
      <c r="V196" s="128">
        <v>0</v>
      </c>
      <c r="W196" s="127">
        <v>0</v>
      </c>
      <c r="X196" s="129">
        <v>0</v>
      </c>
      <c r="Y196" s="127">
        <v>0</v>
      </c>
      <c r="Z196" s="127">
        <v>0</v>
      </c>
      <c r="AA196" s="126">
        <v>0</v>
      </c>
      <c r="AB196" s="130">
        <f t="shared" si="561"/>
        <v>0</v>
      </c>
      <c r="AC196" s="129">
        <v>0</v>
      </c>
      <c r="AD196" s="125">
        <f t="shared" si="562"/>
        <v>30</v>
      </c>
      <c r="AE196" s="144">
        <v>0</v>
      </c>
      <c r="AF196" s="127">
        <v>0</v>
      </c>
      <c r="AG196" s="131">
        <v>0</v>
      </c>
      <c r="AH196" s="127">
        <v>0</v>
      </c>
      <c r="AI196" s="128">
        <v>0</v>
      </c>
      <c r="AJ196" s="127">
        <v>0</v>
      </c>
      <c r="AK196" s="127">
        <v>0</v>
      </c>
      <c r="AL196" s="127">
        <v>0</v>
      </c>
      <c r="AM196" s="132">
        <f t="shared" si="563"/>
        <v>22200</v>
      </c>
      <c r="AN196" s="133">
        <v>46184</v>
      </c>
      <c r="AO196" s="134" t="s">
        <v>3945</v>
      </c>
      <c r="AP196" s="135" t="s">
        <v>234</v>
      </c>
      <c r="AQ196" s="136" t="s">
        <v>235</v>
      </c>
      <c r="AR196" s="136" t="s">
        <v>236</v>
      </c>
      <c r="AS196" s="123" t="s">
        <v>2005</v>
      </c>
      <c r="AT196" s="137" t="s">
        <v>238</v>
      </c>
      <c r="AU196" s="137" t="s">
        <v>197</v>
      </c>
      <c r="AV196" s="138" t="s">
        <v>329</v>
      </c>
      <c r="AW196" s="136">
        <v>740</v>
      </c>
      <c r="AX196" s="138">
        <v>35</v>
      </c>
      <c r="AY196" s="136">
        <f t="shared" si="564"/>
        <v>25900</v>
      </c>
      <c r="AZ196" s="139" t="b">
        <f t="shared" si="565"/>
        <v>1</v>
      </c>
      <c r="BA196" s="125">
        <v>0</v>
      </c>
      <c r="BB196" s="140">
        <f t="shared" si="566"/>
        <v>740</v>
      </c>
      <c r="BC196" s="141">
        <v>0</v>
      </c>
      <c r="BD196" s="140" t="s">
        <v>107</v>
      </c>
      <c r="BE196" s="141">
        <v>0</v>
      </c>
      <c r="BF196" s="140">
        <v>0</v>
      </c>
      <c r="BG196" s="141">
        <v>0</v>
      </c>
      <c r="BH196" s="127">
        <v>0</v>
      </c>
      <c r="BI196" s="130">
        <v>0</v>
      </c>
      <c r="BJ196" s="128">
        <v>0</v>
      </c>
      <c r="BK196" s="125">
        <v>0</v>
      </c>
      <c r="BL196" s="136">
        <v>0</v>
      </c>
      <c r="BM196" s="127">
        <v>0</v>
      </c>
      <c r="BN196" s="142">
        <f t="shared" si="567"/>
        <v>0</v>
      </c>
      <c r="BO196" s="126">
        <f t="shared" si="568"/>
        <v>25900</v>
      </c>
      <c r="BP196" s="132">
        <f t="shared" si="569"/>
        <v>3700</v>
      </c>
      <c r="BQ196" s="141" t="str">
        <f t="shared" si="570"/>
        <v>Positive Margin</v>
      </c>
      <c r="BR196" s="143" t="s">
        <v>119</v>
      </c>
      <c r="BS196" s="125">
        <f t="shared" si="571"/>
        <v>3700</v>
      </c>
      <c r="BT196" s="144" t="str">
        <f t="shared" si="572"/>
        <v>Positive Margin at Inception</v>
      </c>
      <c r="BU196" s="145">
        <f t="shared" si="573"/>
        <v>0.14285714285714285</v>
      </c>
      <c r="BV196" s="144" t="str">
        <f t="shared" si="574"/>
        <v>More than 2%</v>
      </c>
      <c r="BW196" s="125">
        <f t="shared" si="575"/>
        <v>0</v>
      </c>
      <c r="BX196" s="126">
        <f t="shared" si="576"/>
        <v>0</v>
      </c>
      <c r="BY196" s="125">
        <f t="shared" si="577"/>
        <v>0</v>
      </c>
      <c r="BZ196" s="146">
        <f t="shared" si="578"/>
        <v>0</v>
      </c>
      <c r="CA196" s="146">
        <f t="shared" si="579"/>
        <v>0</v>
      </c>
      <c r="CB196" s="127">
        <f t="shared" si="580"/>
        <v>0</v>
      </c>
      <c r="CC196" s="146" t="s">
        <v>397</v>
      </c>
      <c r="CD196" s="127">
        <v>0</v>
      </c>
      <c r="CE196" s="127" t="str">
        <f t="shared" si="581"/>
        <v>Jun-26</v>
      </c>
      <c r="CF196" s="127">
        <f t="shared" si="582"/>
        <v>22200</v>
      </c>
      <c r="CG196" s="127">
        <f t="shared" si="583"/>
        <v>25900</v>
      </c>
      <c r="CH196" s="127">
        <f t="shared" si="584"/>
        <v>11</v>
      </c>
      <c r="CI196" s="147" t="str">
        <f t="shared" si="585"/>
        <v>BG AHD</v>
      </c>
      <c r="CJ196" s="127">
        <v>0</v>
      </c>
      <c r="CK196" s="127">
        <v>0</v>
      </c>
      <c r="CL196" s="127">
        <f t="shared" si="586"/>
        <v>3700</v>
      </c>
      <c r="CM196" s="127">
        <f t="shared" si="587"/>
        <v>3700</v>
      </c>
      <c r="CN196" s="127">
        <f t="shared" si="588"/>
        <v>3700</v>
      </c>
      <c r="CO196" s="127">
        <f t="shared" si="589"/>
        <v>30562</v>
      </c>
      <c r="CP196" s="127">
        <f t="shared" si="590"/>
        <v>-26196</v>
      </c>
      <c r="CQ196" s="127">
        <f t="shared" si="591"/>
        <v>0</v>
      </c>
      <c r="CR196" s="127">
        <f t="shared" si="592"/>
        <v>0</v>
      </c>
      <c r="CS196" s="127">
        <f t="shared" si="593"/>
        <v>4366</v>
      </c>
      <c r="CT196" s="127" t="s">
        <v>361</v>
      </c>
      <c r="CU196" s="127" t="s">
        <v>361</v>
      </c>
      <c r="CV196" s="142" t="str">
        <f t="shared" si="594"/>
        <v>AAMCB5608A</v>
      </c>
      <c r="CW196" s="142" t="str">
        <f t="shared" si="595"/>
        <v>BJHPB3107J</v>
      </c>
    </row>
    <row r="197" spans="2:101" s="149" customFormat="1" ht="11.85" customHeight="1" x14ac:dyDescent="0.25">
      <c r="B197" s="120" t="str">
        <f t="shared" si="557"/>
        <v>Q1</v>
      </c>
      <c r="C197" s="121" t="str">
        <f t="shared" si="558"/>
        <v>Jun-26</v>
      </c>
      <c r="D197" s="122">
        <v>46184</v>
      </c>
      <c r="E197" s="123" t="s">
        <v>3855</v>
      </c>
      <c r="F197" s="123" t="s">
        <v>196</v>
      </c>
      <c r="G197" s="123" t="s">
        <v>198</v>
      </c>
      <c r="H197" s="124" t="s">
        <v>3856</v>
      </c>
      <c r="I197" s="122">
        <v>46184</v>
      </c>
      <c r="J197" s="123" t="s">
        <v>3857</v>
      </c>
      <c r="K197" s="122">
        <v>46184</v>
      </c>
      <c r="L197" s="123" t="s">
        <v>199</v>
      </c>
      <c r="M197" s="123" t="s">
        <v>3462</v>
      </c>
      <c r="N197" s="124" t="s">
        <v>353</v>
      </c>
      <c r="O197" s="123">
        <v>1360</v>
      </c>
      <c r="P197" s="124">
        <v>7</v>
      </c>
      <c r="Q197" s="125">
        <f t="shared" si="559"/>
        <v>9520</v>
      </c>
      <c r="R197" s="126">
        <v>0</v>
      </c>
      <c r="S197" s="125">
        <f t="shared" si="560"/>
        <v>1360</v>
      </c>
      <c r="T197" s="126">
        <v>0</v>
      </c>
      <c r="U197" s="127">
        <v>0</v>
      </c>
      <c r="V197" s="128">
        <v>0</v>
      </c>
      <c r="W197" s="127">
        <v>0</v>
      </c>
      <c r="X197" s="129">
        <v>0</v>
      </c>
      <c r="Y197" s="127">
        <v>0</v>
      </c>
      <c r="Z197" s="127">
        <v>0</v>
      </c>
      <c r="AA197" s="126">
        <v>0</v>
      </c>
      <c r="AB197" s="130">
        <f t="shared" si="561"/>
        <v>0</v>
      </c>
      <c r="AC197" s="129">
        <v>0</v>
      </c>
      <c r="AD197" s="125">
        <f t="shared" si="562"/>
        <v>7</v>
      </c>
      <c r="AE197" s="144">
        <v>0</v>
      </c>
      <c r="AF197" s="127">
        <v>0</v>
      </c>
      <c r="AG197" s="131">
        <v>0</v>
      </c>
      <c r="AH197" s="127">
        <v>0</v>
      </c>
      <c r="AI197" s="128">
        <v>0</v>
      </c>
      <c r="AJ197" s="127">
        <v>0</v>
      </c>
      <c r="AK197" s="127">
        <v>0</v>
      </c>
      <c r="AL197" s="127">
        <v>0</v>
      </c>
      <c r="AM197" s="132">
        <f t="shared" si="563"/>
        <v>9520</v>
      </c>
      <c r="AN197" s="133">
        <v>46184</v>
      </c>
      <c r="AO197" s="134" t="s">
        <v>3945</v>
      </c>
      <c r="AP197" s="135" t="s">
        <v>234</v>
      </c>
      <c r="AQ197" s="136" t="s">
        <v>235</v>
      </c>
      <c r="AR197" s="136" t="s">
        <v>236</v>
      </c>
      <c r="AS197" s="123" t="s">
        <v>2005</v>
      </c>
      <c r="AT197" s="137" t="s">
        <v>238</v>
      </c>
      <c r="AU197" s="137" t="s">
        <v>197</v>
      </c>
      <c r="AV197" s="138" t="s">
        <v>329</v>
      </c>
      <c r="AW197" s="136">
        <v>1360</v>
      </c>
      <c r="AX197" s="138">
        <v>13</v>
      </c>
      <c r="AY197" s="136">
        <f t="shared" si="564"/>
        <v>17680</v>
      </c>
      <c r="AZ197" s="139" t="b">
        <f t="shared" si="565"/>
        <v>1</v>
      </c>
      <c r="BA197" s="125">
        <v>0</v>
      </c>
      <c r="BB197" s="140">
        <f t="shared" si="566"/>
        <v>1360</v>
      </c>
      <c r="BC197" s="141">
        <v>0</v>
      </c>
      <c r="BD197" s="140" t="s">
        <v>107</v>
      </c>
      <c r="BE197" s="141">
        <v>0</v>
      </c>
      <c r="BF197" s="140">
        <v>0</v>
      </c>
      <c r="BG197" s="141">
        <v>0</v>
      </c>
      <c r="BH197" s="127">
        <v>0</v>
      </c>
      <c r="BI197" s="130">
        <v>0</v>
      </c>
      <c r="BJ197" s="128">
        <v>0</v>
      </c>
      <c r="BK197" s="125">
        <v>0</v>
      </c>
      <c r="BL197" s="136">
        <v>0</v>
      </c>
      <c r="BM197" s="127">
        <v>0</v>
      </c>
      <c r="BN197" s="142">
        <f t="shared" si="567"/>
        <v>0</v>
      </c>
      <c r="BO197" s="126">
        <f t="shared" si="568"/>
        <v>17680</v>
      </c>
      <c r="BP197" s="132">
        <f t="shared" si="569"/>
        <v>8160</v>
      </c>
      <c r="BQ197" s="141" t="str">
        <f t="shared" si="570"/>
        <v>Positive Margin</v>
      </c>
      <c r="BR197" s="143" t="s">
        <v>119</v>
      </c>
      <c r="BS197" s="125">
        <f t="shared" si="571"/>
        <v>8160</v>
      </c>
      <c r="BT197" s="144" t="str">
        <f t="shared" si="572"/>
        <v>Positive Margin at Inception</v>
      </c>
      <c r="BU197" s="145">
        <f t="shared" si="573"/>
        <v>0.46153846153846156</v>
      </c>
      <c r="BV197" s="144" t="str">
        <f t="shared" si="574"/>
        <v>More than 2%</v>
      </c>
      <c r="BW197" s="125">
        <f t="shared" si="575"/>
        <v>0</v>
      </c>
      <c r="BX197" s="126">
        <f t="shared" si="576"/>
        <v>0</v>
      </c>
      <c r="BY197" s="125">
        <f t="shared" si="577"/>
        <v>0</v>
      </c>
      <c r="BZ197" s="146">
        <f t="shared" si="578"/>
        <v>0</v>
      </c>
      <c r="CA197" s="146">
        <f t="shared" si="579"/>
        <v>0</v>
      </c>
      <c r="CB197" s="127">
        <f t="shared" si="580"/>
        <v>0</v>
      </c>
      <c r="CC197" s="146" t="s">
        <v>397</v>
      </c>
      <c r="CD197" s="127">
        <v>0</v>
      </c>
      <c r="CE197" s="127" t="str">
        <f t="shared" si="581"/>
        <v>Jun-26</v>
      </c>
      <c r="CF197" s="127">
        <f t="shared" si="582"/>
        <v>9520</v>
      </c>
      <c r="CG197" s="127">
        <f t="shared" si="583"/>
        <v>17680</v>
      </c>
      <c r="CH197" s="127">
        <f t="shared" si="584"/>
        <v>11</v>
      </c>
      <c r="CI197" s="147" t="str">
        <f t="shared" si="585"/>
        <v>BG AHD</v>
      </c>
      <c r="CJ197" s="127">
        <v>0</v>
      </c>
      <c r="CK197" s="127">
        <v>0</v>
      </c>
      <c r="CL197" s="127">
        <f t="shared" si="586"/>
        <v>8160</v>
      </c>
      <c r="CM197" s="127">
        <f t="shared" si="587"/>
        <v>8160</v>
      </c>
      <c r="CN197" s="127">
        <f t="shared" si="588"/>
        <v>8160</v>
      </c>
      <c r="CO197" s="127">
        <f t="shared" si="589"/>
        <v>20862.399999999998</v>
      </c>
      <c r="CP197" s="127">
        <f t="shared" si="590"/>
        <v>-11233.599999999999</v>
      </c>
      <c r="CQ197" s="127">
        <f t="shared" si="591"/>
        <v>0</v>
      </c>
      <c r="CR197" s="127">
        <f t="shared" si="592"/>
        <v>0</v>
      </c>
      <c r="CS197" s="127">
        <f t="shared" si="593"/>
        <v>9628.7999999999993</v>
      </c>
      <c r="CT197" s="127" t="s">
        <v>361</v>
      </c>
      <c r="CU197" s="127" t="s">
        <v>361</v>
      </c>
      <c r="CV197" s="142" t="str">
        <f t="shared" si="594"/>
        <v>AAMCB5608A</v>
      </c>
      <c r="CW197" s="142" t="str">
        <f t="shared" si="595"/>
        <v>BJHPB3107J</v>
      </c>
    </row>
    <row r="198" spans="2:101" s="149" customFormat="1" ht="11.85" customHeight="1" x14ac:dyDescent="0.25">
      <c r="B198" s="120" t="str">
        <f t="shared" si="557"/>
        <v>Q1</v>
      </c>
      <c r="C198" s="121" t="str">
        <f t="shared" si="558"/>
        <v>Jun-26</v>
      </c>
      <c r="D198" s="122">
        <v>46184</v>
      </c>
      <c r="E198" s="123" t="s">
        <v>3858</v>
      </c>
      <c r="F198" s="123" t="s">
        <v>196</v>
      </c>
      <c r="G198" s="123" t="s">
        <v>198</v>
      </c>
      <c r="H198" s="124" t="s">
        <v>3859</v>
      </c>
      <c r="I198" s="122">
        <v>46184</v>
      </c>
      <c r="J198" s="123" t="s">
        <v>3860</v>
      </c>
      <c r="K198" s="122">
        <v>46184</v>
      </c>
      <c r="L198" s="123" t="s">
        <v>199</v>
      </c>
      <c r="M198" s="123" t="s">
        <v>3137</v>
      </c>
      <c r="N198" s="124" t="s">
        <v>3370</v>
      </c>
      <c r="O198" s="123">
        <v>720</v>
      </c>
      <c r="P198" s="124">
        <v>11</v>
      </c>
      <c r="Q198" s="125">
        <f t="shared" si="559"/>
        <v>7920</v>
      </c>
      <c r="R198" s="126">
        <v>0</v>
      </c>
      <c r="S198" s="125">
        <f t="shared" si="560"/>
        <v>720</v>
      </c>
      <c r="T198" s="126">
        <v>0</v>
      </c>
      <c r="U198" s="127">
        <v>0</v>
      </c>
      <c r="V198" s="128">
        <v>0</v>
      </c>
      <c r="W198" s="127">
        <v>0</v>
      </c>
      <c r="X198" s="129">
        <v>0</v>
      </c>
      <c r="Y198" s="127">
        <v>0</v>
      </c>
      <c r="Z198" s="127">
        <v>0</v>
      </c>
      <c r="AA198" s="126">
        <v>0</v>
      </c>
      <c r="AB198" s="130">
        <f t="shared" si="561"/>
        <v>0</v>
      </c>
      <c r="AC198" s="129">
        <v>0</v>
      </c>
      <c r="AD198" s="125">
        <f t="shared" si="562"/>
        <v>11</v>
      </c>
      <c r="AE198" s="144">
        <v>0</v>
      </c>
      <c r="AF198" s="127">
        <v>0</v>
      </c>
      <c r="AG198" s="131">
        <v>0</v>
      </c>
      <c r="AH198" s="127">
        <v>0</v>
      </c>
      <c r="AI198" s="128">
        <v>0</v>
      </c>
      <c r="AJ198" s="127">
        <v>0</v>
      </c>
      <c r="AK198" s="127">
        <v>0</v>
      </c>
      <c r="AL198" s="127">
        <v>0</v>
      </c>
      <c r="AM198" s="132">
        <f t="shared" si="563"/>
        <v>7920</v>
      </c>
      <c r="AN198" s="133">
        <v>46184</v>
      </c>
      <c r="AO198" s="134" t="s">
        <v>3956</v>
      </c>
      <c r="AP198" s="135" t="s">
        <v>1937</v>
      </c>
      <c r="AQ198" s="136" t="s">
        <v>1938</v>
      </c>
      <c r="AR198" s="136" t="s">
        <v>1939</v>
      </c>
      <c r="AS198" s="123" t="s">
        <v>2976</v>
      </c>
      <c r="AT198" s="137" t="s">
        <v>1940</v>
      </c>
      <c r="AU198" s="137" t="s">
        <v>197</v>
      </c>
      <c r="AV198" s="138" t="s">
        <v>329</v>
      </c>
      <c r="AW198" s="136">
        <v>720</v>
      </c>
      <c r="AX198" s="138">
        <v>12</v>
      </c>
      <c r="AY198" s="136">
        <f t="shared" si="564"/>
        <v>8640</v>
      </c>
      <c r="AZ198" s="139" t="b">
        <f t="shared" si="565"/>
        <v>1</v>
      </c>
      <c r="BA198" s="125">
        <v>0</v>
      </c>
      <c r="BB198" s="140">
        <f t="shared" si="566"/>
        <v>720</v>
      </c>
      <c r="BC198" s="141">
        <v>0</v>
      </c>
      <c r="BD198" s="140" t="s">
        <v>107</v>
      </c>
      <c r="BE198" s="141">
        <v>0</v>
      </c>
      <c r="BF198" s="140">
        <v>0</v>
      </c>
      <c r="BG198" s="141">
        <v>0</v>
      </c>
      <c r="BH198" s="127">
        <v>0</v>
      </c>
      <c r="BI198" s="130">
        <v>0</v>
      </c>
      <c r="BJ198" s="128">
        <v>0</v>
      </c>
      <c r="BK198" s="125">
        <v>0</v>
      </c>
      <c r="BL198" s="136">
        <v>0</v>
      </c>
      <c r="BM198" s="127">
        <v>0</v>
      </c>
      <c r="BN198" s="142">
        <f t="shared" si="567"/>
        <v>0</v>
      </c>
      <c r="BO198" s="126">
        <f t="shared" si="568"/>
        <v>8640</v>
      </c>
      <c r="BP198" s="132">
        <f t="shared" si="569"/>
        <v>720</v>
      </c>
      <c r="BQ198" s="141" t="str">
        <f t="shared" si="570"/>
        <v>Positive Margin</v>
      </c>
      <c r="BR198" s="143" t="s">
        <v>119</v>
      </c>
      <c r="BS198" s="125">
        <f t="shared" si="571"/>
        <v>720</v>
      </c>
      <c r="BT198" s="144" t="str">
        <f t="shared" si="572"/>
        <v>Positive Margin at Inception</v>
      </c>
      <c r="BU198" s="145">
        <f t="shared" si="573"/>
        <v>8.3333333333333329E-2</v>
      </c>
      <c r="BV198" s="144" t="str">
        <f t="shared" si="574"/>
        <v>More than 2%</v>
      </c>
      <c r="BW198" s="125">
        <f t="shared" si="575"/>
        <v>0</v>
      </c>
      <c r="BX198" s="126">
        <f t="shared" si="576"/>
        <v>0</v>
      </c>
      <c r="BY198" s="125">
        <f t="shared" si="577"/>
        <v>0</v>
      </c>
      <c r="BZ198" s="146">
        <f t="shared" si="578"/>
        <v>0</v>
      </c>
      <c r="CA198" s="146">
        <f t="shared" si="579"/>
        <v>0</v>
      </c>
      <c r="CB198" s="127">
        <f t="shared" si="580"/>
        <v>0</v>
      </c>
      <c r="CC198" s="146" t="s">
        <v>397</v>
      </c>
      <c r="CD198" s="127">
        <v>0</v>
      </c>
      <c r="CE198" s="127" t="str">
        <f t="shared" si="581"/>
        <v>Jun-26</v>
      </c>
      <c r="CF198" s="127">
        <f t="shared" si="582"/>
        <v>7920</v>
      </c>
      <c r="CG198" s="127">
        <f t="shared" si="583"/>
        <v>8640</v>
      </c>
      <c r="CH198" s="127">
        <f t="shared" si="584"/>
        <v>11</v>
      </c>
      <c r="CI198" s="147" t="str">
        <f t="shared" si="585"/>
        <v>BG AHD</v>
      </c>
      <c r="CJ198" s="127">
        <v>0</v>
      </c>
      <c r="CK198" s="127">
        <v>0</v>
      </c>
      <c r="CL198" s="127">
        <f t="shared" si="586"/>
        <v>720</v>
      </c>
      <c r="CM198" s="127">
        <f t="shared" si="587"/>
        <v>720</v>
      </c>
      <c r="CN198" s="127">
        <f t="shared" si="588"/>
        <v>720</v>
      </c>
      <c r="CO198" s="127">
        <f t="shared" si="589"/>
        <v>10195.199999999999</v>
      </c>
      <c r="CP198" s="127">
        <f t="shared" si="590"/>
        <v>-9345.6</v>
      </c>
      <c r="CQ198" s="127">
        <f t="shared" si="591"/>
        <v>0</v>
      </c>
      <c r="CR198" s="127">
        <f t="shared" si="592"/>
        <v>0</v>
      </c>
      <c r="CS198" s="127">
        <f t="shared" si="593"/>
        <v>849.59999999999854</v>
      </c>
      <c r="CT198" s="127" t="s">
        <v>361</v>
      </c>
      <c r="CU198" s="127" t="s">
        <v>361</v>
      </c>
      <c r="CV198" s="142" t="str">
        <f t="shared" si="594"/>
        <v>AAMCB5608A</v>
      </c>
      <c r="CW198" s="142" t="str">
        <f t="shared" si="595"/>
        <v>AFDPY5902R</v>
      </c>
    </row>
    <row r="199" spans="2:101" s="149" customFormat="1" ht="11.85" customHeight="1" x14ac:dyDescent="0.25">
      <c r="B199" s="120" t="str">
        <f t="shared" si="557"/>
        <v>Q1</v>
      </c>
      <c r="C199" s="121" t="str">
        <f t="shared" si="558"/>
        <v>Jun-26</v>
      </c>
      <c r="D199" s="122">
        <v>46184</v>
      </c>
      <c r="E199" s="123" t="s">
        <v>3861</v>
      </c>
      <c r="F199" s="123" t="s">
        <v>196</v>
      </c>
      <c r="G199" s="123" t="s">
        <v>198</v>
      </c>
      <c r="H199" s="124" t="s">
        <v>3862</v>
      </c>
      <c r="I199" s="122">
        <v>46184</v>
      </c>
      <c r="J199" s="123" t="s">
        <v>3863</v>
      </c>
      <c r="K199" s="122">
        <v>46184</v>
      </c>
      <c r="L199" s="123" t="s">
        <v>199</v>
      </c>
      <c r="M199" s="123" t="s">
        <v>3864</v>
      </c>
      <c r="N199" s="124" t="s">
        <v>204</v>
      </c>
      <c r="O199" s="123">
        <v>7810</v>
      </c>
      <c r="P199" s="124">
        <v>10</v>
      </c>
      <c r="Q199" s="125">
        <f t="shared" si="559"/>
        <v>78100</v>
      </c>
      <c r="R199" s="126">
        <v>0</v>
      </c>
      <c r="S199" s="125">
        <f t="shared" si="560"/>
        <v>7810</v>
      </c>
      <c r="T199" s="126">
        <v>0</v>
      </c>
      <c r="U199" s="127">
        <v>0</v>
      </c>
      <c r="V199" s="128">
        <v>0</v>
      </c>
      <c r="W199" s="127">
        <v>0</v>
      </c>
      <c r="X199" s="129">
        <v>0</v>
      </c>
      <c r="Y199" s="127">
        <v>0</v>
      </c>
      <c r="Z199" s="127">
        <v>0</v>
      </c>
      <c r="AA199" s="126">
        <v>0</v>
      </c>
      <c r="AB199" s="130">
        <f t="shared" si="561"/>
        <v>0</v>
      </c>
      <c r="AC199" s="129">
        <v>0</v>
      </c>
      <c r="AD199" s="125">
        <f t="shared" si="562"/>
        <v>10</v>
      </c>
      <c r="AE199" s="144">
        <v>0</v>
      </c>
      <c r="AF199" s="127">
        <v>0</v>
      </c>
      <c r="AG199" s="131">
        <v>0</v>
      </c>
      <c r="AH199" s="127">
        <v>0</v>
      </c>
      <c r="AI199" s="128">
        <v>0</v>
      </c>
      <c r="AJ199" s="127">
        <v>0</v>
      </c>
      <c r="AK199" s="127">
        <v>0</v>
      </c>
      <c r="AL199" s="127">
        <v>0</v>
      </c>
      <c r="AM199" s="132">
        <f t="shared" si="563"/>
        <v>78100</v>
      </c>
      <c r="AN199" s="133">
        <v>46184</v>
      </c>
      <c r="AO199" s="134" t="s">
        <v>3954</v>
      </c>
      <c r="AP199" s="135" t="s">
        <v>234</v>
      </c>
      <c r="AQ199" s="136" t="s">
        <v>235</v>
      </c>
      <c r="AR199" s="136" t="s">
        <v>236</v>
      </c>
      <c r="AS199" s="123" t="s">
        <v>239</v>
      </c>
      <c r="AT199" s="137" t="s">
        <v>238</v>
      </c>
      <c r="AU199" s="137" t="s">
        <v>197</v>
      </c>
      <c r="AV199" s="138" t="s">
        <v>329</v>
      </c>
      <c r="AW199" s="136">
        <v>7810</v>
      </c>
      <c r="AX199" s="138">
        <v>12</v>
      </c>
      <c r="AY199" s="136">
        <f t="shared" si="564"/>
        <v>93720</v>
      </c>
      <c r="AZ199" s="139" t="b">
        <f t="shared" si="565"/>
        <v>1</v>
      </c>
      <c r="BA199" s="125">
        <v>0</v>
      </c>
      <c r="BB199" s="140">
        <f t="shared" si="566"/>
        <v>7810</v>
      </c>
      <c r="BC199" s="141">
        <v>0</v>
      </c>
      <c r="BD199" s="140" t="s">
        <v>107</v>
      </c>
      <c r="BE199" s="141">
        <v>0</v>
      </c>
      <c r="BF199" s="140">
        <v>0</v>
      </c>
      <c r="BG199" s="141">
        <v>0</v>
      </c>
      <c r="BH199" s="127">
        <v>0</v>
      </c>
      <c r="BI199" s="130">
        <v>0</v>
      </c>
      <c r="BJ199" s="128">
        <v>0</v>
      </c>
      <c r="BK199" s="125">
        <v>0</v>
      </c>
      <c r="BL199" s="136">
        <v>0</v>
      </c>
      <c r="BM199" s="127">
        <v>0</v>
      </c>
      <c r="BN199" s="142">
        <f t="shared" si="567"/>
        <v>0</v>
      </c>
      <c r="BO199" s="126">
        <f t="shared" si="568"/>
        <v>93720</v>
      </c>
      <c r="BP199" s="132">
        <f t="shared" si="569"/>
        <v>15620</v>
      </c>
      <c r="BQ199" s="141" t="str">
        <f t="shared" si="570"/>
        <v>Positive Margin</v>
      </c>
      <c r="BR199" s="143" t="s">
        <v>119</v>
      </c>
      <c r="BS199" s="125">
        <f t="shared" si="571"/>
        <v>15620</v>
      </c>
      <c r="BT199" s="144" t="str">
        <f t="shared" si="572"/>
        <v>Positive Margin at Inception</v>
      </c>
      <c r="BU199" s="145">
        <f t="shared" si="573"/>
        <v>0.16666666666666666</v>
      </c>
      <c r="BV199" s="144" t="str">
        <f t="shared" si="574"/>
        <v>More than 2%</v>
      </c>
      <c r="BW199" s="125">
        <f t="shared" si="575"/>
        <v>0</v>
      </c>
      <c r="BX199" s="126">
        <f t="shared" si="576"/>
        <v>0</v>
      </c>
      <c r="BY199" s="125">
        <f t="shared" si="577"/>
        <v>0</v>
      </c>
      <c r="BZ199" s="146">
        <f t="shared" si="578"/>
        <v>0</v>
      </c>
      <c r="CA199" s="146">
        <f t="shared" si="579"/>
        <v>0</v>
      </c>
      <c r="CB199" s="127">
        <f t="shared" si="580"/>
        <v>0</v>
      </c>
      <c r="CC199" s="146" t="s">
        <v>397</v>
      </c>
      <c r="CD199" s="127">
        <v>0</v>
      </c>
      <c r="CE199" s="127" t="str">
        <f t="shared" si="581"/>
        <v>Jun-26</v>
      </c>
      <c r="CF199" s="127">
        <f t="shared" si="582"/>
        <v>78100</v>
      </c>
      <c r="CG199" s="127">
        <f t="shared" si="583"/>
        <v>93720</v>
      </c>
      <c r="CH199" s="127">
        <f t="shared" si="584"/>
        <v>11</v>
      </c>
      <c r="CI199" s="147" t="str">
        <f t="shared" si="585"/>
        <v>BG AHD</v>
      </c>
      <c r="CJ199" s="127">
        <v>0</v>
      </c>
      <c r="CK199" s="127">
        <v>0</v>
      </c>
      <c r="CL199" s="127">
        <f t="shared" si="586"/>
        <v>15620</v>
      </c>
      <c r="CM199" s="127">
        <f t="shared" si="587"/>
        <v>15620</v>
      </c>
      <c r="CN199" s="127">
        <f t="shared" si="588"/>
        <v>15620</v>
      </c>
      <c r="CO199" s="127">
        <f t="shared" si="589"/>
        <v>110589.59999999999</v>
      </c>
      <c r="CP199" s="127">
        <f t="shared" si="590"/>
        <v>-92158</v>
      </c>
      <c r="CQ199" s="127">
        <f t="shared" si="591"/>
        <v>0</v>
      </c>
      <c r="CR199" s="127">
        <f t="shared" si="592"/>
        <v>0</v>
      </c>
      <c r="CS199" s="127">
        <f t="shared" si="593"/>
        <v>18431.599999999991</v>
      </c>
      <c r="CT199" s="127" t="s">
        <v>361</v>
      </c>
      <c r="CU199" s="127" t="s">
        <v>361</v>
      </c>
      <c r="CV199" s="142" t="str">
        <f t="shared" si="594"/>
        <v>AAMCB5608A</v>
      </c>
      <c r="CW199" s="142" t="str">
        <f t="shared" si="595"/>
        <v>BJHPB3107J</v>
      </c>
    </row>
    <row r="200" spans="2:101" s="149" customFormat="1" ht="11.85" customHeight="1" x14ac:dyDescent="0.25">
      <c r="B200" s="120" t="str">
        <f t="shared" si="557"/>
        <v>Q1</v>
      </c>
      <c r="C200" s="121" t="str">
        <f t="shared" si="558"/>
        <v>Jun-26</v>
      </c>
      <c r="D200" s="122">
        <v>46184</v>
      </c>
      <c r="E200" s="123" t="s">
        <v>3865</v>
      </c>
      <c r="F200" s="123" t="s">
        <v>196</v>
      </c>
      <c r="G200" s="123" t="s">
        <v>198</v>
      </c>
      <c r="H200" s="124" t="s">
        <v>3866</v>
      </c>
      <c r="I200" s="122">
        <v>46184</v>
      </c>
      <c r="J200" s="123" t="s">
        <v>3867</v>
      </c>
      <c r="K200" s="122">
        <v>46184</v>
      </c>
      <c r="L200" s="123" t="s">
        <v>199</v>
      </c>
      <c r="M200" s="123" t="s">
        <v>3137</v>
      </c>
      <c r="N200" s="124" t="s">
        <v>3868</v>
      </c>
      <c r="O200" s="123">
        <v>560</v>
      </c>
      <c r="P200" s="124">
        <v>0.75</v>
      </c>
      <c r="Q200" s="125">
        <f t="shared" si="559"/>
        <v>420</v>
      </c>
      <c r="R200" s="126">
        <v>0</v>
      </c>
      <c r="S200" s="125">
        <f t="shared" si="560"/>
        <v>560</v>
      </c>
      <c r="T200" s="126">
        <v>0</v>
      </c>
      <c r="U200" s="127">
        <v>0</v>
      </c>
      <c r="V200" s="128">
        <v>0</v>
      </c>
      <c r="W200" s="127">
        <v>0</v>
      </c>
      <c r="X200" s="129">
        <v>0</v>
      </c>
      <c r="Y200" s="127">
        <v>0</v>
      </c>
      <c r="Z200" s="127">
        <v>0</v>
      </c>
      <c r="AA200" s="126">
        <v>0</v>
      </c>
      <c r="AB200" s="130">
        <f t="shared" si="561"/>
        <v>0</v>
      </c>
      <c r="AC200" s="129">
        <v>0</v>
      </c>
      <c r="AD200" s="125">
        <f t="shared" si="562"/>
        <v>0.75</v>
      </c>
      <c r="AE200" s="144">
        <v>0</v>
      </c>
      <c r="AF200" s="127">
        <v>0</v>
      </c>
      <c r="AG200" s="131">
        <v>0</v>
      </c>
      <c r="AH200" s="127">
        <v>0</v>
      </c>
      <c r="AI200" s="128">
        <v>0</v>
      </c>
      <c r="AJ200" s="127">
        <v>0</v>
      </c>
      <c r="AK200" s="127">
        <v>0</v>
      </c>
      <c r="AL200" s="127">
        <v>0</v>
      </c>
      <c r="AM200" s="132">
        <f t="shared" si="563"/>
        <v>420</v>
      </c>
      <c r="AN200" s="133">
        <v>46184</v>
      </c>
      <c r="AO200" s="134" t="s">
        <v>3946</v>
      </c>
      <c r="AP200" s="135" t="s">
        <v>1937</v>
      </c>
      <c r="AQ200" s="136" t="s">
        <v>1938</v>
      </c>
      <c r="AR200" s="136" t="s">
        <v>1939</v>
      </c>
      <c r="AS200" s="123" t="s">
        <v>404</v>
      </c>
      <c r="AT200" s="137" t="s">
        <v>1940</v>
      </c>
      <c r="AU200" s="137" t="s">
        <v>197</v>
      </c>
      <c r="AV200" s="138" t="s">
        <v>329</v>
      </c>
      <c r="AW200" s="136">
        <v>560</v>
      </c>
      <c r="AX200" s="138">
        <v>1.25</v>
      </c>
      <c r="AY200" s="136">
        <f t="shared" si="564"/>
        <v>700</v>
      </c>
      <c r="AZ200" s="139" t="b">
        <f t="shared" si="565"/>
        <v>1</v>
      </c>
      <c r="BA200" s="125">
        <v>0</v>
      </c>
      <c r="BB200" s="140">
        <f t="shared" si="566"/>
        <v>560</v>
      </c>
      <c r="BC200" s="141">
        <v>0</v>
      </c>
      <c r="BD200" s="140" t="s">
        <v>107</v>
      </c>
      <c r="BE200" s="141">
        <v>0</v>
      </c>
      <c r="BF200" s="140">
        <v>0</v>
      </c>
      <c r="BG200" s="141">
        <v>0</v>
      </c>
      <c r="BH200" s="127">
        <v>0</v>
      </c>
      <c r="BI200" s="130">
        <v>0</v>
      </c>
      <c r="BJ200" s="128">
        <v>0</v>
      </c>
      <c r="BK200" s="125">
        <v>0</v>
      </c>
      <c r="BL200" s="136">
        <v>0</v>
      </c>
      <c r="BM200" s="127">
        <v>0</v>
      </c>
      <c r="BN200" s="142">
        <f t="shared" si="567"/>
        <v>0</v>
      </c>
      <c r="BO200" s="126">
        <f t="shared" si="568"/>
        <v>700</v>
      </c>
      <c r="BP200" s="132">
        <f t="shared" si="569"/>
        <v>280</v>
      </c>
      <c r="BQ200" s="141" t="str">
        <f t="shared" si="570"/>
        <v>Positive Margin</v>
      </c>
      <c r="BR200" s="143" t="s">
        <v>119</v>
      </c>
      <c r="BS200" s="125">
        <f t="shared" si="571"/>
        <v>280</v>
      </c>
      <c r="BT200" s="144" t="str">
        <f t="shared" si="572"/>
        <v>Positive Margin at Inception</v>
      </c>
      <c r="BU200" s="145">
        <f t="shared" si="573"/>
        <v>0.4</v>
      </c>
      <c r="BV200" s="144" t="str">
        <f t="shared" si="574"/>
        <v>More than 2%</v>
      </c>
      <c r="BW200" s="125">
        <f t="shared" si="575"/>
        <v>0</v>
      </c>
      <c r="BX200" s="126">
        <f t="shared" si="576"/>
        <v>0</v>
      </c>
      <c r="BY200" s="125">
        <f t="shared" si="577"/>
        <v>0</v>
      </c>
      <c r="BZ200" s="146">
        <f t="shared" si="578"/>
        <v>0</v>
      </c>
      <c r="CA200" s="146">
        <f t="shared" si="579"/>
        <v>0</v>
      </c>
      <c r="CB200" s="127">
        <f t="shared" si="580"/>
        <v>0</v>
      </c>
      <c r="CC200" s="146" t="s">
        <v>397</v>
      </c>
      <c r="CD200" s="127">
        <v>0</v>
      </c>
      <c r="CE200" s="127" t="str">
        <f t="shared" si="581"/>
        <v>Jun-26</v>
      </c>
      <c r="CF200" s="127">
        <f t="shared" si="582"/>
        <v>420</v>
      </c>
      <c r="CG200" s="127">
        <f t="shared" si="583"/>
        <v>700</v>
      </c>
      <c r="CH200" s="127">
        <f t="shared" si="584"/>
        <v>11</v>
      </c>
      <c r="CI200" s="147" t="str">
        <f t="shared" si="585"/>
        <v>BG AHD</v>
      </c>
      <c r="CJ200" s="127">
        <v>0</v>
      </c>
      <c r="CK200" s="127">
        <v>0</v>
      </c>
      <c r="CL200" s="127">
        <f t="shared" si="586"/>
        <v>280</v>
      </c>
      <c r="CM200" s="127">
        <f t="shared" si="587"/>
        <v>280</v>
      </c>
      <c r="CN200" s="127">
        <f t="shared" si="588"/>
        <v>280</v>
      </c>
      <c r="CO200" s="127">
        <f t="shared" si="589"/>
        <v>826</v>
      </c>
      <c r="CP200" s="127">
        <f t="shared" si="590"/>
        <v>-495.59999999999997</v>
      </c>
      <c r="CQ200" s="127">
        <f t="shared" si="591"/>
        <v>0</v>
      </c>
      <c r="CR200" s="127">
        <f t="shared" si="592"/>
        <v>0</v>
      </c>
      <c r="CS200" s="127">
        <f t="shared" si="593"/>
        <v>330.40000000000003</v>
      </c>
      <c r="CT200" s="127" t="s">
        <v>361</v>
      </c>
      <c r="CU200" s="127" t="s">
        <v>361</v>
      </c>
      <c r="CV200" s="142" t="str">
        <f t="shared" si="594"/>
        <v>AAMCB5608A</v>
      </c>
      <c r="CW200" s="142" t="str">
        <f t="shared" si="595"/>
        <v>AFDPY5902R</v>
      </c>
    </row>
    <row r="201" spans="2:101" s="149" customFormat="1" ht="11.85" customHeight="1" x14ac:dyDescent="0.25">
      <c r="B201" s="120" t="str">
        <f t="shared" si="557"/>
        <v>Q1</v>
      </c>
      <c r="C201" s="121" t="str">
        <f t="shared" si="558"/>
        <v>Jun-26</v>
      </c>
      <c r="D201" s="122">
        <v>46185</v>
      </c>
      <c r="E201" s="123" t="s">
        <v>3869</v>
      </c>
      <c r="F201" s="123" t="s">
        <v>196</v>
      </c>
      <c r="G201" s="123" t="s">
        <v>198</v>
      </c>
      <c r="H201" s="124" t="s">
        <v>3870</v>
      </c>
      <c r="I201" s="122">
        <v>46185</v>
      </c>
      <c r="J201" s="123" t="s">
        <v>3871</v>
      </c>
      <c r="K201" s="122">
        <v>46185</v>
      </c>
      <c r="L201" s="123" t="s">
        <v>199</v>
      </c>
      <c r="M201" s="123" t="s">
        <v>244</v>
      </c>
      <c r="N201" s="124" t="s">
        <v>258</v>
      </c>
      <c r="O201" s="123">
        <v>2410</v>
      </c>
      <c r="P201" s="124">
        <v>1.1000000000000001</v>
      </c>
      <c r="Q201" s="125">
        <f t="shared" si="559"/>
        <v>2651</v>
      </c>
      <c r="R201" s="126">
        <v>0</v>
      </c>
      <c r="S201" s="125">
        <f t="shared" si="560"/>
        <v>2410</v>
      </c>
      <c r="T201" s="126">
        <v>0</v>
      </c>
      <c r="U201" s="127">
        <v>0</v>
      </c>
      <c r="V201" s="128">
        <v>0</v>
      </c>
      <c r="W201" s="127">
        <v>0</v>
      </c>
      <c r="X201" s="129">
        <v>0</v>
      </c>
      <c r="Y201" s="127">
        <v>0</v>
      </c>
      <c r="Z201" s="127">
        <v>0</v>
      </c>
      <c r="AA201" s="126">
        <v>0</v>
      </c>
      <c r="AB201" s="130">
        <f t="shared" si="561"/>
        <v>0</v>
      </c>
      <c r="AC201" s="129">
        <v>0</v>
      </c>
      <c r="AD201" s="125">
        <f t="shared" si="562"/>
        <v>1.1000000000000001</v>
      </c>
      <c r="AE201" s="144">
        <v>0</v>
      </c>
      <c r="AF201" s="127">
        <v>0</v>
      </c>
      <c r="AG201" s="131">
        <v>0</v>
      </c>
      <c r="AH201" s="127">
        <v>0</v>
      </c>
      <c r="AI201" s="128">
        <v>0</v>
      </c>
      <c r="AJ201" s="127">
        <v>0</v>
      </c>
      <c r="AK201" s="127">
        <v>0</v>
      </c>
      <c r="AL201" s="127">
        <v>0</v>
      </c>
      <c r="AM201" s="132">
        <f t="shared" si="563"/>
        <v>2651</v>
      </c>
      <c r="AN201" s="133">
        <v>46185</v>
      </c>
      <c r="AO201" s="134" t="s">
        <v>3955</v>
      </c>
      <c r="AP201" s="135" t="s">
        <v>234</v>
      </c>
      <c r="AQ201" s="136" t="s">
        <v>235</v>
      </c>
      <c r="AR201" s="136" t="s">
        <v>236</v>
      </c>
      <c r="AS201" s="123" t="s">
        <v>239</v>
      </c>
      <c r="AT201" s="137" t="s">
        <v>238</v>
      </c>
      <c r="AU201" s="137" t="s">
        <v>197</v>
      </c>
      <c r="AV201" s="138" t="s">
        <v>329</v>
      </c>
      <c r="AW201" s="136">
        <v>2410</v>
      </c>
      <c r="AX201" s="138">
        <v>2.1</v>
      </c>
      <c r="AY201" s="136">
        <f t="shared" si="564"/>
        <v>5061</v>
      </c>
      <c r="AZ201" s="139" t="b">
        <f t="shared" si="565"/>
        <v>1</v>
      </c>
      <c r="BA201" s="125">
        <v>0</v>
      </c>
      <c r="BB201" s="140">
        <f t="shared" si="566"/>
        <v>2410</v>
      </c>
      <c r="BC201" s="141">
        <v>0</v>
      </c>
      <c r="BD201" s="140" t="s">
        <v>107</v>
      </c>
      <c r="BE201" s="141">
        <v>0</v>
      </c>
      <c r="BF201" s="140">
        <v>0</v>
      </c>
      <c r="BG201" s="141">
        <v>0</v>
      </c>
      <c r="BH201" s="127">
        <v>0</v>
      </c>
      <c r="BI201" s="130">
        <v>0</v>
      </c>
      <c r="BJ201" s="128">
        <v>0</v>
      </c>
      <c r="BK201" s="125">
        <v>0</v>
      </c>
      <c r="BL201" s="136">
        <v>0</v>
      </c>
      <c r="BM201" s="127">
        <v>0</v>
      </c>
      <c r="BN201" s="142">
        <f t="shared" si="567"/>
        <v>0</v>
      </c>
      <c r="BO201" s="126">
        <f t="shared" si="568"/>
        <v>5061</v>
      </c>
      <c r="BP201" s="132">
        <f t="shared" si="569"/>
        <v>2410</v>
      </c>
      <c r="BQ201" s="141" t="str">
        <f t="shared" si="570"/>
        <v>Positive Margin</v>
      </c>
      <c r="BR201" s="143" t="s">
        <v>119</v>
      </c>
      <c r="BS201" s="125">
        <f t="shared" si="571"/>
        <v>2410</v>
      </c>
      <c r="BT201" s="144" t="str">
        <f t="shared" si="572"/>
        <v>Positive Margin at Inception</v>
      </c>
      <c r="BU201" s="145">
        <f t="shared" si="573"/>
        <v>0.47619047619047616</v>
      </c>
      <c r="BV201" s="144" t="str">
        <f t="shared" si="574"/>
        <v>More than 2%</v>
      </c>
      <c r="BW201" s="125">
        <f t="shared" si="575"/>
        <v>0</v>
      </c>
      <c r="BX201" s="126">
        <f t="shared" si="576"/>
        <v>0</v>
      </c>
      <c r="BY201" s="125">
        <f t="shared" si="577"/>
        <v>0</v>
      </c>
      <c r="BZ201" s="146">
        <f t="shared" si="578"/>
        <v>0</v>
      </c>
      <c r="CA201" s="146">
        <f t="shared" si="579"/>
        <v>0</v>
      </c>
      <c r="CB201" s="127">
        <f t="shared" si="580"/>
        <v>0</v>
      </c>
      <c r="CC201" s="146" t="s">
        <v>397</v>
      </c>
      <c r="CD201" s="127">
        <v>0</v>
      </c>
      <c r="CE201" s="127" t="str">
        <f t="shared" si="581"/>
        <v>Jun-26</v>
      </c>
      <c r="CF201" s="127">
        <f t="shared" si="582"/>
        <v>2651</v>
      </c>
      <c r="CG201" s="127">
        <f t="shared" si="583"/>
        <v>5061</v>
      </c>
      <c r="CH201" s="127">
        <f t="shared" si="584"/>
        <v>11</v>
      </c>
      <c r="CI201" s="147" t="str">
        <f t="shared" si="585"/>
        <v>BG AHD</v>
      </c>
      <c r="CJ201" s="127">
        <v>0</v>
      </c>
      <c r="CK201" s="127">
        <v>0</v>
      </c>
      <c r="CL201" s="127">
        <f t="shared" si="586"/>
        <v>2410</v>
      </c>
      <c r="CM201" s="127">
        <f t="shared" si="587"/>
        <v>2410</v>
      </c>
      <c r="CN201" s="127">
        <f t="shared" si="588"/>
        <v>2410</v>
      </c>
      <c r="CO201" s="127">
        <f t="shared" si="589"/>
        <v>5971.98</v>
      </c>
      <c r="CP201" s="127">
        <f t="shared" si="590"/>
        <v>-3128.18</v>
      </c>
      <c r="CQ201" s="127">
        <f t="shared" si="591"/>
        <v>0</v>
      </c>
      <c r="CR201" s="127">
        <f t="shared" si="592"/>
        <v>0</v>
      </c>
      <c r="CS201" s="127">
        <f t="shared" si="593"/>
        <v>2843.7999999999997</v>
      </c>
      <c r="CT201" s="127" t="s">
        <v>361</v>
      </c>
      <c r="CU201" s="127" t="s">
        <v>361</v>
      </c>
      <c r="CV201" s="142" t="str">
        <f t="shared" si="594"/>
        <v>AAMCB5608A</v>
      </c>
      <c r="CW201" s="142" t="str">
        <f t="shared" si="595"/>
        <v>BJHPB3107J</v>
      </c>
    </row>
    <row r="202" spans="2:101" s="149" customFormat="1" ht="11.85" customHeight="1" x14ac:dyDescent="0.25">
      <c r="B202" s="120" t="str">
        <f t="shared" si="557"/>
        <v>Q1</v>
      </c>
      <c r="C202" s="121" t="str">
        <f t="shared" si="558"/>
        <v>Jun-26</v>
      </c>
      <c r="D202" s="122">
        <v>46186</v>
      </c>
      <c r="E202" s="123" t="s">
        <v>3872</v>
      </c>
      <c r="F202" s="123" t="s">
        <v>196</v>
      </c>
      <c r="G202" s="123" t="s">
        <v>198</v>
      </c>
      <c r="H202" s="124" t="s">
        <v>3873</v>
      </c>
      <c r="I202" s="122">
        <v>46186</v>
      </c>
      <c r="J202" s="123" t="s">
        <v>3874</v>
      </c>
      <c r="K202" s="122">
        <v>46186</v>
      </c>
      <c r="L202" s="123" t="s">
        <v>199</v>
      </c>
      <c r="M202" s="123" t="s">
        <v>3822</v>
      </c>
      <c r="N202" s="124" t="s">
        <v>3383</v>
      </c>
      <c r="O202" s="123">
        <v>4330</v>
      </c>
      <c r="P202" s="124">
        <v>23</v>
      </c>
      <c r="Q202" s="125">
        <f t="shared" si="559"/>
        <v>99590</v>
      </c>
      <c r="R202" s="126">
        <v>0</v>
      </c>
      <c r="S202" s="125">
        <f t="shared" si="560"/>
        <v>4330</v>
      </c>
      <c r="T202" s="126">
        <v>0</v>
      </c>
      <c r="U202" s="127">
        <v>0</v>
      </c>
      <c r="V202" s="128">
        <v>0</v>
      </c>
      <c r="W202" s="127">
        <v>0</v>
      </c>
      <c r="X202" s="129">
        <v>0</v>
      </c>
      <c r="Y202" s="127">
        <v>0</v>
      </c>
      <c r="Z202" s="127">
        <v>0</v>
      </c>
      <c r="AA202" s="126">
        <v>0</v>
      </c>
      <c r="AB202" s="130">
        <f t="shared" si="561"/>
        <v>0</v>
      </c>
      <c r="AC202" s="129">
        <v>0</v>
      </c>
      <c r="AD202" s="125">
        <f t="shared" si="562"/>
        <v>23</v>
      </c>
      <c r="AE202" s="144">
        <v>0</v>
      </c>
      <c r="AF202" s="127">
        <v>0</v>
      </c>
      <c r="AG202" s="131">
        <v>0</v>
      </c>
      <c r="AH202" s="127">
        <v>0</v>
      </c>
      <c r="AI202" s="128">
        <v>0</v>
      </c>
      <c r="AJ202" s="127">
        <v>0</v>
      </c>
      <c r="AK202" s="127">
        <v>0</v>
      </c>
      <c r="AL202" s="127">
        <v>0</v>
      </c>
      <c r="AM202" s="132">
        <f t="shared" si="563"/>
        <v>99590</v>
      </c>
      <c r="AN202" s="133">
        <v>46186</v>
      </c>
      <c r="AO202" s="134" t="s">
        <v>3949</v>
      </c>
      <c r="AP202" s="135" t="s">
        <v>234</v>
      </c>
      <c r="AQ202" s="136" t="s">
        <v>235</v>
      </c>
      <c r="AR202" s="136" t="s">
        <v>236</v>
      </c>
      <c r="AS202" s="123" t="s">
        <v>239</v>
      </c>
      <c r="AT202" s="137" t="s">
        <v>238</v>
      </c>
      <c r="AU202" s="137" t="s">
        <v>197</v>
      </c>
      <c r="AV202" s="138" t="s">
        <v>329</v>
      </c>
      <c r="AW202" s="136">
        <v>4330</v>
      </c>
      <c r="AX202" s="138">
        <v>24</v>
      </c>
      <c r="AY202" s="136">
        <f t="shared" si="564"/>
        <v>103920</v>
      </c>
      <c r="AZ202" s="139" t="b">
        <f t="shared" si="565"/>
        <v>1</v>
      </c>
      <c r="BA202" s="125">
        <v>0</v>
      </c>
      <c r="BB202" s="140">
        <f t="shared" si="566"/>
        <v>4330</v>
      </c>
      <c r="BC202" s="141">
        <v>0</v>
      </c>
      <c r="BD202" s="140" t="s">
        <v>107</v>
      </c>
      <c r="BE202" s="141">
        <v>0</v>
      </c>
      <c r="BF202" s="140">
        <v>0</v>
      </c>
      <c r="BG202" s="141">
        <v>0</v>
      </c>
      <c r="BH202" s="127">
        <v>0</v>
      </c>
      <c r="BI202" s="130">
        <v>0</v>
      </c>
      <c r="BJ202" s="128">
        <v>0</v>
      </c>
      <c r="BK202" s="125">
        <v>0</v>
      </c>
      <c r="BL202" s="136">
        <v>0</v>
      </c>
      <c r="BM202" s="127">
        <v>0</v>
      </c>
      <c r="BN202" s="142">
        <f t="shared" si="567"/>
        <v>0</v>
      </c>
      <c r="BO202" s="126">
        <f t="shared" si="568"/>
        <v>103920</v>
      </c>
      <c r="BP202" s="132">
        <f t="shared" si="569"/>
        <v>4330</v>
      </c>
      <c r="BQ202" s="141" t="str">
        <f t="shared" si="570"/>
        <v>Positive Margin</v>
      </c>
      <c r="BR202" s="143" t="s">
        <v>119</v>
      </c>
      <c r="BS202" s="125">
        <f t="shared" si="571"/>
        <v>4330</v>
      </c>
      <c r="BT202" s="144" t="str">
        <f t="shared" si="572"/>
        <v>Positive Margin at Inception</v>
      </c>
      <c r="BU202" s="145">
        <f t="shared" si="573"/>
        <v>4.1666666666666664E-2</v>
      </c>
      <c r="BV202" s="144" t="str">
        <f t="shared" si="574"/>
        <v>More than 2%</v>
      </c>
      <c r="BW202" s="125">
        <f t="shared" si="575"/>
        <v>0</v>
      </c>
      <c r="BX202" s="126">
        <f t="shared" si="576"/>
        <v>0</v>
      </c>
      <c r="BY202" s="125">
        <f t="shared" si="577"/>
        <v>0</v>
      </c>
      <c r="BZ202" s="146">
        <f t="shared" si="578"/>
        <v>0</v>
      </c>
      <c r="CA202" s="146">
        <f t="shared" si="579"/>
        <v>0</v>
      </c>
      <c r="CB202" s="127">
        <f t="shared" si="580"/>
        <v>0</v>
      </c>
      <c r="CC202" s="146" t="s">
        <v>397</v>
      </c>
      <c r="CD202" s="127">
        <v>0</v>
      </c>
      <c r="CE202" s="127" t="str">
        <f t="shared" si="581"/>
        <v>Jun-26</v>
      </c>
      <c r="CF202" s="127">
        <f t="shared" si="582"/>
        <v>99590</v>
      </c>
      <c r="CG202" s="127">
        <f t="shared" si="583"/>
        <v>103920</v>
      </c>
      <c r="CH202" s="127">
        <f t="shared" si="584"/>
        <v>11</v>
      </c>
      <c r="CI202" s="147" t="str">
        <f t="shared" si="585"/>
        <v>BG AHD</v>
      </c>
      <c r="CJ202" s="127">
        <v>0</v>
      </c>
      <c r="CK202" s="127">
        <v>0</v>
      </c>
      <c r="CL202" s="127">
        <f t="shared" si="586"/>
        <v>4330</v>
      </c>
      <c r="CM202" s="127">
        <f t="shared" si="587"/>
        <v>4330</v>
      </c>
      <c r="CN202" s="127">
        <f t="shared" si="588"/>
        <v>4330</v>
      </c>
      <c r="CO202" s="127">
        <f t="shared" si="589"/>
        <v>122625.59999999999</v>
      </c>
      <c r="CP202" s="127">
        <f t="shared" si="590"/>
        <v>-117516.2</v>
      </c>
      <c r="CQ202" s="127">
        <f t="shared" si="591"/>
        <v>0</v>
      </c>
      <c r="CR202" s="127">
        <f t="shared" si="592"/>
        <v>0</v>
      </c>
      <c r="CS202" s="127">
        <f t="shared" si="593"/>
        <v>5109.3999999999942</v>
      </c>
      <c r="CT202" s="127" t="s">
        <v>361</v>
      </c>
      <c r="CU202" s="127" t="s">
        <v>361</v>
      </c>
      <c r="CV202" s="142" t="str">
        <f t="shared" si="594"/>
        <v>AAMCB5608A</v>
      </c>
      <c r="CW202" s="142" t="str">
        <f t="shared" si="595"/>
        <v>BJHPB3107J</v>
      </c>
    </row>
    <row r="203" spans="2:101" s="149" customFormat="1" ht="11.85" customHeight="1" x14ac:dyDescent="0.25">
      <c r="B203" s="120" t="str">
        <f t="shared" si="557"/>
        <v>Q1</v>
      </c>
      <c r="C203" s="121" t="str">
        <f t="shared" si="558"/>
        <v>Jun-26</v>
      </c>
      <c r="D203" s="122">
        <v>46186</v>
      </c>
      <c r="E203" s="123" t="s">
        <v>3872</v>
      </c>
      <c r="F203" s="123" t="s">
        <v>196</v>
      </c>
      <c r="G203" s="123" t="s">
        <v>198</v>
      </c>
      <c r="H203" s="124" t="s">
        <v>3873</v>
      </c>
      <c r="I203" s="122">
        <v>46186</v>
      </c>
      <c r="J203" s="123" t="s">
        <v>3874</v>
      </c>
      <c r="K203" s="122">
        <v>46186</v>
      </c>
      <c r="L203" s="123" t="s">
        <v>199</v>
      </c>
      <c r="M203" s="123" t="s">
        <v>3822</v>
      </c>
      <c r="N203" s="124" t="s">
        <v>3384</v>
      </c>
      <c r="O203" s="123">
        <v>2130</v>
      </c>
      <c r="P203" s="124">
        <v>27</v>
      </c>
      <c r="Q203" s="125">
        <f t="shared" si="559"/>
        <v>57510</v>
      </c>
      <c r="R203" s="126">
        <v>0</v>
      </c>
      <c r="S203" s="125">
        <f t="shared" si="560"/>
        <v>2130</v>
      </c>
      <c r="T203" s="126">
        <v>0</v>
      </c>
      <c r="U203" s="127">
        <v>0</v>
      </c>
      <c r="V203" s="128">
        <v>0</v>
      </c>
      <c r="W203" s="127">
        <v>0</v>
      </c>
      <c r="X203" s="129">
        <v>0</v>
      </c>
      <c r="Y203" s="127">
        <v>0</v>
      </c>
      <c r="Z203" s="127">
        <v>0</v>
      </c>
      <c r="AA203" s="126">
        <v>0</v>
      </c>
      <c r="AB203" s="130">
        <f t="shared" si="561"/>
        <v>0</v>
      </c>
      <c r="AC203" s="129">
        <v>0</v>
      </c>
      <c r="AD203" s="125">
        <f t="shared" si="562"/>
        <v>27</v>
      </c>
      <c r="AE203" s="144">
        <v>0</v>
      </c>
      <c r="AF203" s="127">
        <v>0</v>
      </c>
      <c r="AG203" s="131">
        <v>0</v>
      </c>
      <c r="AH203" s="127">
        <v>0</v>
      </c>
      <c r="AI203" s="128">
        <v>0</v>
      </c>
      <c r="AJ203" s="127">
        <v>0</v>
      </c>
      <c r="AK203" s="127">
        <v>0</v>
      </c>
      <c r="AL203" s="127">
        <v>0</v>
      </c>
      <c r="AM203" s="132">
        <f t="shared" si="563"/>
        <v>57510</v>
      </c>
      <c r="AN203" s="133">
        <v>46186</v>
      </c>
      <c r="AO203" s="134" t="s">
        <v>3949</v>
      </c>
      <c r="AP203" s="135" t="s">
        <v>234</v>
      </c>
      <c r="AQ203" s="136" t="s">
        <v>235</v>
      </c>
      <c r="AR203" s="136" t="s">
        <v>236</v>
      </c>
      <c r="AS203" s="123" t="s">
        <v>239</v>
      </c>
      <c r="AT203" s="137" t="s">
        <v>238</v>
      </c>
      <c r="AU203" s="137" t="s">
        <v>197</v>
      </c>
      <c r="AV203" s="138" t="s">
        <v>329</v>
      </c>
      <c r="AW203" s="136">
        <v>2130</v>
      </c>
      <c r="AX203" s="138">
        <v>28</v>
      </c>
      <c r="AY203" s="136">
        <f t="shared" si="564"/>
        <v>59640</v>
      </c>
      <c r="AZ203" s="139" t="b">
        <f t="shared" si="565"/>
        <v>1</v>
      </c>
      <c r="BA203" s="125">
        <v>0</v>
      </c>
      <c r="BB203" s="140">
        <f t="shared" si="566"/>
        <v>2130</v>
      </c>
      <c r="BC203" s="141">
        <v>0</v>
      </c>
      <c r="BD203" s="140" t="s">
        <v>107</v>
      </c>
      <c r="BE203" s="141">
        <v>0</v>
      </c>
      <c r="BF203" s="140">
        <v>0</v>
      </c>
      <c r="BG203" s="141">
        <v>0</v>
      </c>
      <c r="BH203" s="127">
        <v>0</v>
      </c>
      <c r="BI203" s="130">
        <v>0</v>
      </c>
      <c r="BJ203" s="128">
        <v>0</v>
      </c>
      <c r="BK203" s="125">
        <v>0</v>
      </c>
      <c r="BL203" s="136">
        <v>0</v>
      </c>
      <c r="BM203" s="127">
        <v>0</v>
      </c>
      <c r="BN203" s="142">
        <f t="shared" si="567"/>
        <v>0</v>
      </c>
      <c r="BO203" s="126">
        <f t="shared" si="568"/>
        <v>59640</v>
      </c>
      <c r="BP203" s="132">
        <f t="shared" si="569"/>
        <v>2130</v>
      </c>
      <c r="BQ203" s="141" t="str">
        <f t="shared" si="570"/>
        <v>Positive Margin</v>
      </c>
      <c r="BR203" s="143" t="s">
        <v>119</v>
      </c>
      <c r="BS203" s="125">
        <f t="shared" si="571"/>
        <v>2130</v>
      </c>
      <c r="BT203" s="144" t="str">
        <f t="shared" si="572"/>
        <v>Positive Margin at Inception</v>
      </c>
      <c r="BU203" s="145">
        <f t="shared" si="573"/>
        <v>3.5714285714285712E-2</v>
      </c>
      <c r="BV203" s="144" t="str">
        <f t="shared" si="574"/>
        <v>More than 2%</v>
      </c>
      <c r="BW203" s="125">
        <f t="shared" si="575"/>
        <v>0</v>
      </c>
      <c r="BX203" s="126">
        <f t="shared" si="576"/>
        <v>0</v>
      </c>
      <c r="BY203" s="125">
        <f t="shared" si="577"/>
        <v>0</v>
      </c>
      <c r="BZ203" s="146">
        <f t="shared" si="578"/>
        <v>0</v>
      </c>
      <c r="CA203" s="146">
        <f t="shared" si="579"/>
        <v>0</v>
      </c>
      <c r="CB203" s="127">
        <f t="shared" si="580"/>
        <v>0</v>
      </c>
      <c r="CC203" s="146" t="s">
        <v>397</v>
      </c>
      <c r="CD203" s="127">
        <v>0</v>
      </c>
      <c r="CE203" s="127" t="str">
        <f t="shared" si="581"/>
        <v>Jun-26</v>
      </c>
      <c r="CF203" s="127">
        <f t="shared" si="582"/>
        <v>57510</v>
      </c>
      <c r="CG203" s="127">
        <f t="shared" si="583"/>
        <v>59640</v>
      </c>
      <c r="CH203" s="127">
        <f t="shared" si="584"/>
        <v>11</v>
      </c>
      <c r="CI203" s="147" t="str">
        <f t="shared" si="585"/>
        <v>BG AHD</v>
      </c>
      <c r="CJ203" s="127">
        <v>0</v>
      </c>
      <c r="CK203" s="127">
        <v>0</v>
      </c>
      <c r="CL203" s="127">
        <f t="shared" si="586"/>
        <v>2130</v>
      </c>
      <c r="CM203" s="127">
        <f t="shared" si="587"/>
        <v>2130</v>
      </c>
      <c r="CN203" s="127">
        <f t="shared" si="588"/>
        <v>2130</v>
      </c>
      <c r="CO203" s="127">
        <f t="shared" si="589"/>
        <v>70375.199999999997</v>
      </c>
      <c r="CP203" s="127">
        <f t="shared" si="590"/>
        <v>-67861.8</v>
      </c>
      <c r="CQ203" s="127">
        <f t="shared" si="591"/>
        <v>0</v>
      </c>
      <c r="CR203" s="127">
        <f t="shared" si="592"/>
        <v>0</v>
      </c>
      <c r="CS203" s="127">
        <f t="shared" si="593"/>
        <v>2513.3999999999942</v>
      </c>
      <c r="CT203" s="127" t="s">
        <v>361</v>
      </c>
      <c r="CU203" s="127" t="s">
        <v>361</v>
      </c>
      <c r="CV203" s="142" t="str">
        <f t="shared" si="594"/>
        <v>AAMCB5608A</v>
      </c>
      <c r="CW203" s="142" t="str">
        <f t="shared" si="595"/>
        <v>BJHPB3107J</v>
      </c>
    </row>
    <row r="204" spans="2:101" s="149" customFormat="1" ht="11.85" customHeight="1" x14ac:dyDescent="0.25">
      <c r="B204" s="120" t="str">
        <f t="shared" si="557"/>
        <v>Q1</v>
      </c>
      <c r="C204" s="121" t="str">
        <f t="shared" si="558"/>
        <v>Jun-26</v>
      </c>
      <c r="D204" s="122">
        <v>46186</v>
      </c>
      <c r="E204" s="123" t="s">
        <v>3875</v>
      </c>
      <c r="F204" s="123" t="s">
        <v>196</v>
      </c>
      <c r="G204" s="123" t="s">
        <v>198</v>
      </c>
      <c r="H204" s="124" t="s">
        <v>3876</v>
      </c>
      <c r="I204" s="122">
        <v>46186</v>
      </c>
      <c r="J204" s="123" t="s">
        <v>3877</v>
      </c>
      <c r="K204" s="122">
        <v>46186</v>
      </c>
      <c r="L204" s="123" t="s">
        <v>199</v>
      </c>
      <c r="M204" s="123" t="s">
        <v>3150</v>
      </c>
      <c r="N204" s="124" t="s">
        <v>204</v>
      </c>
      <c r="O204" s="123">
        <v>7580</v>
      </c>
      <c r="P204" s="124">
        <v>10</v>
      </c>
      <c r="Q204" s="125">
        <f t="shared" si="559"/>
        <v>75800</v>
      </c>
      <c r="R204" s="126">
        <v>0</v>
      </c>
      <c r="S204" s="125">
        <f t="shared" si="560"/>
        <v>7580</v>
      </c>
      <c r="T204" s="126">
        <v>0</v>
      </c>
      <c r="U204" s="127">
        <v>0</v>
      </c>
      <c r="V204" s="128">
        <v>0</v>
      </c>
      <c r="W204" s="127">
        <v>0</v>
      </c>
      <c r="X204" s="129">
        <v>0</v>
      </c>
      <c r="Y204" s="127">
        <v>0</v>
      </c>
      <c r="Z204" s="127">
        <v>0</v>
      </c>
      <c r="AA204" s="126">
        <v>0</v>
      </c>
      <c r="AB204" s="130">
        <f t="shared" si="561"/>
        <v>0</v>
      </c>
      <c r="AC204" s="129">
        <v>0</v>
      </c>
      <c r="AD204" s="125">
        <f t="shared" si="562"/>
        <v>10</v>
      </c>
      <c r="AE204" s="144">
        <v>0</v>
      </c>
      <c r="AF204" s="127">
        <v>0</v>
      </c>
      <c r="AG204" s="131">
        <v>0</v>
      </c>
      <c r="AH204" s="127">
        <v>0</v>
      </c>
      <c r="AI204" s="128">
        <v>0</v>
      </c>
      <c r="AJ204" s="127">
        <v>0</v>
      </c>
      <c r="AK204" s="127">
        <v>0</v>
      </c>
      <c r="AL204" s="127">
        <v>0</v>
      </c>
      <c r="AM204" s="132">
        <f t="shared" si="563"/>
        <v>75800</v>
      </c>
      <c r="AN204" s="133">
        <v>46186</v>
      </c>
      <c r="AO204" s="134" t="s">
        <v>3957</v>
      </c>
      <c r="AP204" s="135" t="s">
        <v>234</v>
      </c>
      <c r="AQ204" s="136" t="s">
        <v>235</v>
      </c>
      <c r="AR204" s="136" t="s">
        <v>236</v>
      </c>
      <c r="AS204" s="123" t="s">
        <v>237</v>
      </c>
      <c r="AT204" s="137" t="s">
        <v>238</v>
      </c>
      <c r="AU204" s="137" t="s">
        <v>197</v>
      </c>
      <c r="AV204" s="138" t="s">
        <v>329</v>
      </c>
      <c r="AW204" s="136">
        <v>7580</v>
      </c>
      <c r="AX204" s="138">
        <v>12</v>
      </c>
      <c r="AY204" s="136">
        <f t="shared" si="564"/>
        <v>90960</v>
      </c>
      <c r="AZ204" s="139" t="b">
        <f t="shared" si="565"/>
        <v>1</v>
      </c>
      <c r="BA204" s="125">
        <v>0</v>
      </c>
      <c r="BB204" s="140">
        <f t="shared" si="566"/>
        <v>7580</v>
      </c>
      <c r="BC204" s="141">
        <v>0</v>
      </c>
      <c r="BD204" s="140" t="s">
        <v>107</v>
      </c>
      <c r="BE204" s="141">
        <v>0</v>
      </c>
      <c r="BF204" s="140">
        <v>0</v>
      </c>
      <c r="BG204" s="141">
        <v>0</v>
      </c>
      <c r="BH204" s="127">
        <v>0</v>
      </c>
      <c r="BI204" s="130">
        <v>0</v>
      </c>
      <c r="BJ204" s="128">
        <v>0</v>
      </c>
      <c r="BK204" s="125">
        <v>0</v>
      </c>
      <c r="BL204" s="136">
        <v>0</v>
      </c>
      <c r="BM204" s="127">
        <v>0</v>
      </c>
      <c r="BN204" s="142">
        <f t="shared" si="567"/>
        <v>0</v>
      </c>
      <c r="BO204" s="126">
        <f t="shared" si="568"/>
        <v>90960</v>
      </c>
      <c r="BP204" s="132">
        <f t="shared" si="569"/>
        <v>15160</v>
      </c>
      <c r="BQ204" s="141" t="str">
        <f t="shared" si="570"/>
        <v>Positive Margin</v>
      </c>
      <c r="BR204" s="143" t="s">
        <v>119</v>
      </c>
      <c r="BS204" s="125">
        <f t="shared" si="571"/>
        <v>15160</v>
      </c>
      <c r="BT204" s="144" t="str">
        <f t="shared" si="572"/>
        <v>Positive Margin at Inception</v>
      </c>
      <c r="BU204" s="145">
        <f t="shared" si="573"/>
        <v>0.16666666666666666</v>
      </c>
      <c r="BV204" s="144" t="str">
        <f t="shared" si="574"/>
        <v>More than 2%</v>
      </c>
      <c r="BW204" s="125">
        <f t="shared" si="575"/>
        <v>0</v>
      </c>
      <c r="BX204" s="126">
        <f t="shared" si="576"/>
        <v>0</v>
      </c>
      <c r="BY204" s="125">
        <f t="shared" si="577"/>
        <v>0</v>
      </c>
      <c r="BZ204" s="146">
        <f t="shared" si="578"/>
        <v>0</v>
      </c>
      <c r="CA204" s="146">
        <f t="shared" si="579"/>
        <v>0</v>
      </c>
      <c r="CB204" s="127">
        <f t="shared" si="580"/>
        <v>0</v>
      </c>
      <c r="CC204" s="146" t="s">
        <v>397</v>
      </c>
      <c r="CD204" s="127">
        <v>0</v>
      </c>
      <c r="CE204" s="127" t="str">
        <f t="shared" si="581"/>
        <v>Jun-26</v>
      </c>
      <c r="CF204" s="127">
        <f t="shared" si="582"/>
        <v>75800</v>
      </c>
      <c r="CG204" s="127">
        <f t="shared" si="583"/>
        <v>90960</v>
      </c>
      <c r="CH204" s="127">
        <f t="shared" si="584"/>
        <v>11</v>
      </c>
      <c r="CI204" s="147" t="str">
        <f t="shared" si="585"/>
        <v>BG AHD</v>
      </c>
      <c r="CJ204" s="127">
        <v>0</v>
      </c>
      <c r="CK204" s="127">
        <v>0</v>
      </c>
      <c r="CL204" s="127">
        <f t="shared" si="586"/>
        <v>15160</v>
      </c>
      <c r="CM204" s="127">
        <f t="shared" si="587"/>
        <v>15160</v>
      </c>
      <c r="CN204" s="127">
        <f t="shared" si="588"/>
        <v>15160</v>
      </c>
      <c r="CO204" s="127">
        <f t="shared" si="589"/>
        <v>107332.79999999999</v>
      </c>
      <c r="CP204" s="127">
        <f t="shared" si="590"/>
        <v>-89444</v>
      </c>
      <c r="CQ204" s="127">
        <f t="shared" si="591"/>
        <v>0</v>
      </c>
      <c r="CR204" s="127">
        <f t="shared" si="592"/>
        <v>0</v>
      </c>
      <c r="CS204" s="127">
        <f t="shared" si="593"/>
        <v>17888.799999999988</v>
      </c>
      <c r="CT204" s="127" t="s">
        <v>361</v>
      </c>
      <c r="CU204" s="127" t="s">
        <v>361</v>
      </c>
      <c r="CV204" s="142" t="str">
        <f t="shared" si="594"/>
        <v>AAMCB5608A</v>
      </c>
      <c r="CW204" s="142" t="str">
        <f t="shared" si="595"/>
        <v>BJHPB3107J</v>
      </c>
    </row>
    <row r="205" spans="2:101" s="149" customFormat="1" ht="11.85" customHeight="1" x14ac:dyDescent="0.25">
      <c r="B205" s="120" t="str">
        <f t="shared" si="557"/>
        <v>Q1</v>
      </c>
      <c r="C205" s="121" t="str">
        <f t="shared" si="558"/>
        <v>Jun-26</v>
      </c>
      <c r="D205" s="122">
        <v>46189</v>
      </c>
      <c r="E205" s="123" t="s">
        <v>3878</v>
      </c>
      <c r="F205" s="123" t="s">
        <v>196</v>
      </c>
      <c r="G205" s="123" t="s">
        <v>198</v>
      </c>
      <c r="H205" s="124" t="s">
        <v>3879</v>
      </c>
      <c r="I205" s="122">
        <v>46189</v>
      </c>
      <c r="J205" s="123" t="s">
        <v>3880</v>
      </c>
      <c r="K205" s="122">
        <v>46189</v>
      </c>
      <c r="L205" s="123" t="s">
        <v>199</v>
      </c>
      <c r="M205" s="123" t="s">
        <v>2331</v>
      </c>
      <c r="N205" s="124" t="s">
        <v>252</v>
      </c>
      <c r="O205" s="123">
        <v>2920</v>
      </c>
      <c r="P205" s="124">
        <v>2</v>
      </c>
      <c r="Q205" s="125">
        <f t="shared" si="559"/>
        <v>5840</v>
      </c>
      <c r="R205" s="126">
        <v>0</v>
      </c>
      <c r="S205" s="125">
        <f t="shared" si="560"/>
        <v>2920</v>
      </c>
      <c r="T205" s="126">
        <v>0</v>
      </c>
      <c r="U205" s="127">
        <v>0</v>
      </c>
      <c r="V205" s="128">
        <v>0</v>
      </c>
      <c r="W205" s="127">
        <v>0</v>
      </c>
      <c r="X205" s="129">
        <v>0</v>
      </c>
      <c r="Y205" s="127">
        <v>0</v>
      </c>
      <c r="Z205" s="127">
        <v>0</v>
      </c>
      <c r="AA205" s="126">
        <v>0</v>
      </c>
      <c r="AB205" s="130">
        <f t="shared" si="561"/>
        <v>0</v>
      </c>
      <c r="AC205" s="129">
        <v>0</v>
      </c>
      <c r="AD205" s="125">
        <f t="shared" si="562"/>
        <v>2</v>
      </c>
      <c r="AE205" s="144">
        <v>0</v>
      </c>
      <c r="AF205" s="127">
        <v>0</v>
      </c>
      <c r="AG205" s="131">
        <v>0</v>
      </c>
      <c r="AH205" s="127">
        <v>0</v>
      </c>
      <c r="AI205" s="128">
        <v>0</v>
      </c>
      <c r="AJ205" s="127">
        <v>0</v>
      </c>
      <c r="AK205" s="127">
        <v>0</v>
      </c>
      <c r="AL205" s="127">
        <v>0</v>
      </c>
      <c r="AM205" s="132">
        <f t="shared" si="563"/>
        <v>5840</v>
      </c>
      <c r="AN205" s="133">
        <v>46189</v>
      </c>
      <c r="AO205" s="134" t="s">
        <v>3948</v>
      </c>
      <c r="AP205" s="135" t="s">
        <v>234</v>
      </c>
      <c r="AQ205" s="136" t="s">
        <v>235</v>
      </c>
      <c r="AR205" s="136" t="s">
        <v>236</v>
      </c>
      <c r="AS205" s="123" t="s">
        <v>239</v>
      </c>
      <c r="AT205" s="137" t="s">
        <v>238</v>
      </c>
      <c r="AU205" s="137" t="s">
        <v>197</v>
      </c>
      <c r="AV205" s="138" t="s">
        <v>329</v>
      </c>
      <c r="AW205" s="136">
        <v>2920</v>
      </c>
      <c r="AX205" s="138">
        <v>2.1</v>
      </c>
      <c r="AY205" s="136">
        <f t="shared" si="564"/>
        <v>6132</v>
      </c>
      <c r="AZ205" s="139" t="b">
        <f t="shared" si="565"/>
        <v>1</v>
      </c>
      <c r="BA205" s="125">
        <v>0</v>
      </c>
      <c r="BB205" s="140">
        <f t="shared" si="566"/>
        <v>2920</v>
      </c>
      <c r="BC205" s="141">
        <v>0</v>
      </c>
      <c r="BD205" s="140" t="s">
        <v>107</v>
      </c>
      <c r="BE205" s="141">
        <v>0</v>
      </c>
      <c r="BF205" s="140">
        <v>0</v>
      </c>
      <c r="BG205" s="141">
        <v>0</v>
      </c>
      <c r="BH205" s="127">
        <v>0</v>
      </c>
      <c r="BI205" s="130">
        <v>0</v>
      </c>
      <c r="BJ205" s="128">
        <v>0</v>
      </c>
      <c r="BK205" s="125">
        <v>0</v>
      </c>
      <c r="BL205" s="136">
        <v>0</v>
      </c>
      <c r="BM205" s="127">
        <v>0</v>
      </c>
      <c r="BN205" s="142">
        <f t="shared" si="567"/>
        <v>0</v>
      </c>
      <c r="BO205" s="126">
        <f t="shared" si="568"/>
        <v>6132</v>
      </c>
      <c r="BP205" s="132">
        <f t="shared" si="569"/>
        <v>292</v>
      </c>
      <c r="BQ205" s="141" t="str">
        <f t="shared" si="570"/>
        <v>Positive Margin</v>
      </c>
      <c r="BR205" s="143" t="s">
        <v>119</v>
      </c>
      <c r="BS205" s="125">
        <f t="shared" si="571"/>
        <v>292</v>
      </c>
      <c r="BT205" s="144" t="str">
        <f t="shared" si="572"/>
        <v>Positive Margin at Inception</v>
      </c>
      <c r="BU205" s="145">
        <f t="shared" si="573"/>
        <v>4.7619047619047616E-2</v>
      </c>
      <c r="BV205" s="144" t="str">
        <f t="shared" si="574"/>
        <v>More than 2%</v>
      </c>
      <c r="BW205" s="125">
        <f t="shared" si="575"/>
        <v>0</v>
      </c>
      <c r="BX205" s="126">
        <f t="shared" si="576"/>
        <v>0</v>
      </c>
      <c r="BY205" s="125">
        <f t="shared" si="577"/>
        <v>0</v>
      </c>
      <c r="BZ205" s="146">
        <f t="shared" si="578"/>
        <v>0</v>
      </c>
      <c r="CA205" s="146">
        <f t="shared" si="579"/>
        <v>0</v>
      </c>
      <c r="CB205" s="127">
        <f t="shared" si="580"/>
        <v>0</v>
      </c>
      <c r="CC205" s="146" t="s">
        <v>397</v>
      </c>
      <c r="CD205" s="127">
        <v>0</v>
      </c>
      <c r="CE205" s="127" t="str">
        <f t="shared" si="581"/>
        <v>Jun-26</v>
      </c>
      <c r="CF205" s="127">
        <f t="shared" si="582"/>
        <v>5840</v>
      </c>
      <c r="CG205" s="127">
        <f t="shared" si="583"/>
        <v>6132</v>
      </c>
      <c r="CH205" s="127">
        <f t="shared" si="584"/>
        <v>11</v>
      </c>
      <c r="CI205" s="147" t="str">
        <f t="shared" si="585"/>
        <v>BG AHD</v>
      </c>
      <c r="CJ205" s="127">
        <v>0</v>
      </c>
      <c r="CK205" s="127">
        <v>0</v>
      </c>
      <c r="CL205" s="127">
        <f t="shared" si="586"/>
        <v>292</v>
      </c>
      <c r="CM205" s="127">
        <f t="shared" si="587"/>
        <v>292</v>
      </c>
      <c r="CN205" s="127">
        <f t="shared" si="588"/>
        <v>292</v>
      </c>
      <c r="CO205" s="127">
        <f t="shared" si="589"/>
        <v>7235.7599999999993</v>
      </c>
      <c r="CP205" s="127">
        <f t="shared" si="590"/>
        <v>-6891.2</v>
      </c>
      <c r="CQ205" s="127">
        <f t="shared" si="591"/>
        <v>0</v>
      </c>
      <c r="CR205" s="127">
        <f t="shared" si="592"/>
        <v>0</v>
      </c>
      <c r="CS205" s="127">
        <f t="shared" si="593"/>
        <v>344.55999999999949</v>
      </c>
      <c r="CT205" s="127" t="s">
        <v>361</v>
      </c>
      <c r="CU205" s="127" t="s">
        <v>361</v>
      </c>
      <c r="CV205" s="142" t="str">
        <f t="shared" si="594"/>
        <v>AAMCB5608A</v>
      </c>
      <c r="CW205" s="142" t="str">
        <f t="shared" si="595"/>
        <v>BJHPB3107J</v>
      </c>
    </row>
    <row r="206" spans="2:101" s="149" customFormat="1" ht="11.85" customHeight="1" x14ac:dyDescent="0.25">
      <c r="B206" s="120" t="str">
        <f t="shared" si="557"/>
        <v>Q1</v>
      </c>
      <c r="C206" s="121" t="str">
        <f t="shared" si="558"/>
        <v>Jun-26</v>
      </c>
      <c r="D206" s="122">
        <v>46189</v>
      </c>
      <c r="E206" s="123" t="s">
        <v>3881</v>
      </c>
      <c r="F206" s="123" t="s">
        <v>196</v>
      </c>
      <c r="G206" s="123" t="s">
        <v>198</v>
      </c>
      <c r="H206" s="124" t="s">
        <v>3882</v>
      </c>
      <c r="I206" s="122">
        <v>46189</v>
      </c>
      <c r="J206" s="123" t="s">
        <v>3883</v>
      </c>
      <c r="K206" s="122">
        <v>46190</v>
      </c>
      <c r="L206" s="123" t="s">
        <v>199</v>
      </c>
      <c r="M206" s="123" t="s">
        <v>3822</v>
      </c>
      <c r="N206" s="124" t="s">
        <v>3384</v>
      </c>
      <c r="O206" s="123">
        <v>5170</v>
      </c>
      <c r="P206" s="124">
        <v>27</v>
      </c>
      <c r="Q206" s="125">
        <f t="shared" si="559"/>
        <v>139590</v>
      </c>
      <c r="R206" s="126">
        <v>0</v>
      </c>
      <c r="S206" s="125">
        <f t="shared" si="560"/>
        <v>5170</v>
      </c>
      <c r="T206" s="126">
        <v>0</v>
      </c>
      <c r="U206" s="127">
        <v>0</v>
      </c>
      <c r="V206" s="128">
        <v>0</v>
      </c>
      <c r="W206" s="127">
        <v>0</v>
      </c>
      <c r="X206" s="129">
        <v>0</v>
      </c>
      <c r="Y206" s="127">
        <v>0</v>
      </c>
      <c r="Z206" s="127">
        <v>0</v>
      </c>
      <c r="AA206" s="126">
        <v>0</v>
      </c>
      <c r="AB206" s="130">
        <f t="shared" si="561"/>
        <v>0</v>
      </c>
      <c r="AC206" s="129">
        <v>0</v>
      </c>
      <c r="AD206" s="125">
        <f t="shared" si="562"/>
        <v>27</v>
      </c>
      <c r="AE206" s="144">
        <v>0</v>
      </c>
      <c r="AF206" s="127">
        <v>0</v>
      </c>
      <c r="AG206" s="131">
        <v>0</v>
      </c>
      <c r="AH206" s="127">
        <v>0</v>
      </c>
      <c r="AI206" s="128">
        <v>0</v>
      </c>
      <c r="AJ206" s="127">
        <v>0</v>
      </c>
      <c r="AK206" s="127">
        <v>0</v>
      </c>
      <c r="AL206" s="127">
        <v>0</v>
      </c>
      <c r="AM206" s="132">
        <f t="shared" si="563"/>
        <v>139590</v>
      </c>
      <c r="AN206" s="133">
        <v>46190</v>
      </c>
      <c r="AO206" s="134" t="s">
        <v>3947</v>
      </c>
      <c r="AP206" s="135" t="s">
        <v>234</v>
      </c>
      <c r="AQ206" s="136" t="s">
        <v>235</v>
      </c>
      <c r="AR206" s="136" t="s">
        <v>236</v>
      </c>
      <c r="AS206" s="123" t="s">
        <v>239</v>
      </c>
      <c r="AT206" s="137" t="s">
        <v>238</v>
      </c>
      <c r="AU206" s="137" t="s">
        <v>197</v>
      </c>
      <c r="AV206" s="138" t="s">
        <v>329</v>
      </c>
      <c r="AW206" s="136">
        <v>5170</v>
      </c>
      <c r="AX206" s="138">
        <v>28</v>
      </c>
      <c r="AY206" s="136">
        <f t="shared" si="564"/>
        <v>144760</v>
      </c>
      <c r="AZ206" s="139" t="b">
        <f t="shared" si="565"/>
        <v>1</v>
      </c>
      <c r="BA206" s="125">
        <v>0</v>
      </c>
      <c r="BB206" s="140">
        <f t="shared" si="566"/>
        <v>5170</v>
      </c>
      <c r="BC206" s="141">
        <v>0</v>
      </c>
      <c r="BD206" s="140" t="s">
        <v>107</v>
      </c>
      <c r="BE206" s="141">
        <v>0</v>
      </c>
      <c r="BF206" s="140">
        <v>0</v>
      </c>
      <c r="BG206" s="141">
        <v>0</v>
      </c>
      <c r="BH206" s="127">
        <v>0</v>
      </c>
      <c r="BI206" s="130">
        <v>0</v>
      </c>
      <c r="BJ206" s="128">
        <v>0</v>
      </c>
      <c r="BK206" s="125">
        <v>0</v>
      </c>
      <c r="BL206" s="136">
        <v>0</v>
      </c>
      <c r="BM206" s="127">
        <v>0</v>
      </c>
      <c r="BN206" s="142">
        <f t="shared" si="567"/>
        <v>0</v>
      </c>
      <c r="BO206" s="126">
        <f t="shared" si="568"/>
        <v>144760</v>
      </c>
      <c r="BP206" s="132">
        <f t="shared" si="569"/>
        <v>5170</v>
      </c>
      <c r="BQ206" s="141" t="str">
        <f t="shared" si="570"/>
        <v>Positive Margin</v>
      </c>
      <c r="BR206" s="143" t="s">
        <v>119</v>
      </c>
      <c r="BS206" s="125">
        <f t="shared" si="571"/>
        <v>5170</v>
      </c>
      <c r="BT206" s="144" t="str">
        <f t="shared" si="572"/>
        <v>Positive Margin at Inception</v>
      </c>
      <c r="BU206" s="145">
        <f t="shared" si="573"/>
        <v>3.5714285714285712E-2</v>
      </c>
      <c r="BV206" s="144" t="str">
        <f t="shared" si="574"/>
        <v>More than 2%</v>
      </c>
      <c r="BW206" s="125">
        <f t="shared" si="575"/>
        <v>0</v>
      </c>
      <c r="BX206" s="126">
        <f t="shared" si="576"/>
        <v>0</v>
      </c>
      <c r="BY206" s="125">
        <f t="shared" si="577"/>
        <v>0</v>
      </c>
      <c r="BZ206" s="146">
        <f t="shared" si="578"/>
        <v>0</v>
      </c>
      <c r="CA206" s="146">
        <f t="shared" si="579"/>
        <v>0</v>
      </c>
      <c r="CB206" s="127">
        <f t="shared" si="580"/>
        <v>0</v>
      </c>
      <c r="CC206" s="146" t="s">
        <v>397</v>
      </c>
      <c r="CD206" s="127">
        <v>0</v>
      </c>
      <c r="CE206" s="127" t="str">
        <f t="shared" si="581"/>
        <v>Jun-26</v>
      </c>
      <c r="CF206" s="127">
        <f t="shared" si="582"/>
        <v>139590</v>
      </c>
      <c r="CG206" s="127">
        <f t="shared" si="583"/>
        <v>144760</v>
      </c>
      <c r="CH206" s="127">
        <f t="shared" si="584"/>
        <v>11</v>
      </c>
      <c r="CI206" s="147" t="str">
        <f t="shared" si="585"/>
        <v>BG AHD</v>
      </c>
      <c r="CJ206" s="127">
        <v>0</v>
      </c>
      <c r="CK206" s="127">
        <v>0</v>
      </c>
      <c r="CL206" s="127">
        <f t="shared" si="586"/>
        <v>5170</v>
      </c>
      <c r="CM206" s="127">
        <f t="shared" si="587"/>
        <v>5170</v>
      </c>
      <c r="CN206" s="127">
        <f t="shared" si="588"/>
        <v>5170</v>
      </c>
      <c r="CO206" s="127">
        <f t="shared" si="589"/>
        <v>170816.8</v>
      </c>
      <c r="CP206" s="127">
        <f t="shared" si="590"/>
        <v>-164716.19999999998</v>
      </c>
      <c r="CQ206" s="127">
        <f t="shared" si="591"/>
        <v>0</v>
      </c>
      <c r="CR206" s="127">
        <f t="shared" si="592"/>
        <v>0</v>
      </c>
      <c r="CS206" s="127">
        <f t="shared" si="593"/>
        <v>6100.6000000000058</v>
      </c>
      <c r="CT206" s="127" t="s">
        <v>361</v>
      </c>
      <c r="CU206" s="127" t="s">
        <v>361</v>
      </c>
      <c r="CV206" s="142" t="str">
        <f t="shared" si="594"/>
        <v>AAMCB5608A</v>
      </c>
      <c r="CW206" s="142" t="str">
        <f t="shared" si="595"/>
        <v>BJHPB3107J</v>
      </c>
    </row>
    <row r="207" spans="2:101" s="149" customFormat="1" ht="11.85" customHeight="1" x14ac:dyDescent="0.25">
      <c r="B207" s="120" t="str">
        <f t="shared" si="557"/>
        <v>Q1</v>
      </c>
      <c r="C207" s="121" t="str">
        <f t="shared" si="558"/>
        <v>Jun-26</v>
      </c>
      <c r="D207" s="122">
        <v>46189</v>
      </c>
      <c r="E207" s="123" t="s">
        <v>3884</v>
      </c>
      <c r="F207" s="123" t="s">
        <v>196</v>
      </c>
      <c r="G207" s="123" t="s">
        <v>198</v>
      </c>
      <c r="H207" s="124" t="s">
        <v>3885</v>
      </c>
      <c r="I207" s="122">
        <v>46189</v>
      </c>
      <c r="J207" s="123" t="s">
        <v>3886</v>
      </c>
      <c r="K207" s="122">
        <v>46190</v>
      </c>
      <c r="L207" s="123" t="s">
        <v>199</v>
      </c>
      <c r="M207" s="123" t="s">
        <v>244</v>
      </c>
      <c r="N207" s="124" t="s">
        <v>1498</v>
      </c>
      <c r="O207" s="123">
        <v>1440</v>
      </c>
      <c r="P207" s="124">
        <v>13</v>
      </c>
      <c r="Q207" s="125">
        <f t="shared" si="559"/>
        <v>18720</v>
      </c>
      <c r="R207" s="126">
        <v>0</v>
      </c>
      <c r="S207" s="125">
        <f t="shared" si="560"/>
        <v>1440</v>
      </c>
      <c r="T207" s="126">
        <v>0</v>
      </c>
      <c r="U207" s="127">
        <v>0</v>
      </c>
      <c r="V207" s="128">
        <v>0</v>
      </c>
      <c r="W207" s="127">
        <v>0</v>
      </c>
      <c r="X207" s="129">
        <v>0</v>
      </c>
      <c r="Y207" s="127">
        <v>0</v>
      </c>
      <c r="Z207" s="127">
        <v>0</v>
      </c>
      <c r="AA207" s="126">
        <v>0</v>
      </c>
      <c r="AB207" s="130">
        <f t="shared" si="561"/>
        <v>0</v>
      </c>
      <c r="AC207" s="129">
        <v>0</v>
      </c>
      <c r="AD207" s="125">
        <f t="shared" si="562"/>
        <v>13</v>
      </c>
      <c r="AE207" s="144">
        <v>0</v>
      </c>
      <c r="AF207" s="127">
        <v>0</v>
      </c>
      <c r="AG207" s="131">
        <v>0</v>
      </c>
      <c r="AH207" s="127">
        <v>0</v>
      </c>
      <c r="AI207" s="128">
        <v>0</v>
      </c>
      <c r="AJ207" s="127">
        <v>0</v>
      </c>
      <c r="AK207" s="127">
        <v>0</v>
      </c>
      <c r="AL207" s="127">
        <v>0</v>
      </c>
      <c r="AM207" s="132">
        <f t="shared" si="563"/>
        <v>18720</v>
      </c>
      <c r="AN207" s="133">
        <v>46190</v>
      </c>
      <c r="AO207" s="134" t="s">
        <v>3950</v>
      </c>
      <c r="AP207" s="135" t="s">
        <v>234</v>
      </c>
      <c r="AQ207" s="136" t="s">
        <v>235</v>
      </c>
      <c r="AR207" s="136" t="s">
        <v>236</v>
      </c>
      <c r="AS207" s="123" t="s">
        <v>2006</v>
      </c>
      <c r="AT207" s="137" t="s">
        <v>238</v>
      </c>
      <c r="AU207" s="137" t="s">
        <v>197</v>
      </c>
      <c r="AV207" s="138" t="s">
        <v>329</v>
      </c>
      <c r="AW207" s="136">
        <v>1440</v>
      </c>
      <c r="AX207" s="138">
        <v>15</v>
      </c>
      <c r="AY207" s="136">
        <f t="shared" si="564"/>
        <v>21600</v>
      </c>
      <c r="AZ207" s="139" t="b">
        <f t="shared" si="565"/>
        <v>1</v>
      </c>
      <c r="BA207" s="125">
        <v>0</v>
      </c>
      <c r="BB207" s="140">
        <f t="shared" si="566"/>
        <v>1440</v>
      </c>
      <c r="BC207" s="141">
        <v>0</v>
      </c>
      <c r="BD207" s="140" t="s">
        <v>107</v>
      </c>
      <c r="BE207" s="141">
        <v>0</v>
      </c>
      <c r="BF207" s="140">
        <v>0</v>
      </c>
      <c r="BG207" s="141">
        <v>0</v>
      </c>
      <c r="BH207" s="127">
        <v>0</v>
      </c>
      <c r="BI207" s="130">
        <v>0</v>
      </c>
      <c r="BJ207" s="128">
        <v>0</v>
      </c>
      <c r="BK207" s="125">
        <v>0</v>
      </c>
      <c r="BL207" s="136">
        <v>0</v>
      </c>
      <c r="BM207" s="127">
        <v>0</v>
      </c>
      <c r="BN207" s="142">
        <f t="shared" si="567"/>
        <v>0</v>
      </c>
      <c r="BO207" s="126">
        <f t="shared" si="568"/>
        <v>21600</v>
      </c>
      <c r="BP207" s="132">
        <f t="shared" si="569"/>
        <v>2880</v>
      </c>
      <c r="BQ207" s="141" t="str">
        <f t="shared" si="570"/>
        <v>Positive Margin</v>
      </c>
      <c r="BR207" s="143" t="s">
        <v>119</v>
      </c>
      <c r="BS207" s="125">
        <f t="shared" si="571"/>
        <v>2880</v>
      </c>
      <c r="BT207" s="144" t="str">
        <f t="shared" si="572"/>
        <v>Positive Margin at Inception</v>
      </c>
      <c r="BU207" s="145">
        <f t="shared" si="573"/>
        <v>0.13333333333333333</v>
      </c>
      <c r="BV207" s="144" t="str">
        <f t="shared" si="574"/>
        <v>More than 2%</v>
      </c>
      <c r="BW207" s="125">
        <f t="shared" si="575"/>
        <v>0</v>
      </c>
      <c r="BX207" s="126">
        <f t="shared" si="576"/>
        <v>0</v>
      </c>
      <c r="BY207" s="125">
        <f t="shared" si="577"/>
        <v>0</v>
      </c>
      <c r="BZ207" s="146">
        <f t="shared" si="578"/>
        <v>0</v>
      </c>
      <c r="CA207" s="146">
        <f t="shared" si="579"/>
        <v>0</v>
      </c>
      <c r="CB207" s="127">
        <f t="shared" si="580"/>
        <v>0</v>
      </c>
      <c r="CC207" s="146" t="s">
        <v>397</v>
      </c>
      <c r="CD207" s="127">
        <v>0</v>
      </c>
      <c r="CE207" s="127" t="str">
        <f t="shared" si="581"/>
        <v>Jun-26</v>
      </c>
      <c r="CF207" s="127">
        <f t="shared" si="582"/>
        <v>18720</v>
      </c>
      <c r="CG207" s="127">
        <f t="shared" si="583"/>
        <v>21600</v>
      </c>
      <c r="CH207" s="127">
        <f t="shared" si="584"/>
        <v>11</v>
      </c>
      <c r="CI207" s="147" t="str">
        <f t="shared" si="585"/>
        <v>BG AHD</v>
      </c>
      <c r="CJ207" s="127">
        <v>0</v>
      </c>
      <c r="CK207" s="127">
        <v>0</v>
      </c>
      <c r="CL207" s="127">
        <f t="shared" si="586"/>
        <v>2880</v>
      </c>
      <c r="CM207" s="127">
        <f t="shared" si="587"/>
        <v>2880</v>
      </c>
      <c r="CN207" s="127">
        <f t="shared" si="588"/>
        <v>2880</v>
      </c>
      <c r="CO207" s="127">
        <f t="shared" si="589"/>
        <v>25488</v>
      </c>
      <c r="CP207" s="127">
        <f t="shared" si="590"/>
        <v>-22089.599999999999</v>
      </c>
      <c r="CQ207" s="127">
        <f t="shared" si="591"/>
        <v>0</v>
      </c>
      <c r="CR207" s="127">
        <f t="shared" si="592"/>
        <v>0</v>
      </c>
      <c r="CS207" s="127">
        <f t="shared" si="593"/>
        <v>3398.4000000000015</v>
      </c>
      <c r="CT207" s="127" t="s">
        <v>361</v>
      </c>
      <c r="CU207" s="127" t="s">
        <v>361</v>
      </c>
      <c r="CV207" s="142" t="str">
        <f t="shared" si="594"/>
        <v>AAMCB5608A</v>
      </c>
      <c r="CW207" s="142" t="str">
        <f t="shared" si="595"/>
        <v>BJHPB3107J</v>
      </c>
    </row>
    <row r="208" spans="2:101" s="149" customFormat="1" ht="11.85" customHeight="1" x14ac:dyDescent="0.25">
      <c r="B208" s="120" t="str">
        <f t="shared" si="557"/>
        <v>Q1</v>
      </c>
      <c r="C208" s="121" t="str">
        <f t="shared" si="558"/>
        <v>Jun-26</v>
      </c>
      <c r="D208" s="122">
        <v>46191</v>
      </c>
      <c r="E208" s="123" t="s">
        <v>3887</v>
      </c>
      <c r="F208" s="123" t="s">
        <v>196</v>
      </c>
      <c r="G208" s="123" t="s">
        <v>198</v>
      </c>
      <c r="H208" s="124" t="s">
        <v>3888</v>
      </c>
      <c r="I208" s="122">
        <v>46191</v>
      </c>
      <c r="J208" s="123" t="s">
        <v>3889</v>
      </c>
      <c r="K208" s="122">
        <v>46191</v>
      </c>
      <c r="L208" s="123" t="s">
        <v>199</v>
      </c>
      <c r="M208" s="123" t="s">
        <v>3822</v>
      </c>
      <c r="N208" s="124" t="s">
        <v>3539</v>
      </c>
      <c r="O208" s="123">
        <v>3100</v>
      </c>
      <c r="P208" s="124">
        <v>3</v>
      </c>
      <c r="Q208" s="125">
        <f t="shared" si="559"/>
        <v>9300</v>
      </c>
      <c r="R208" s="126">
        <v>0</v>
      </c>
      <c r="S208" s="125">
        <f t="shared" si="560"/>
        <v>3100</v>
      </c>
      <c r="T208" s="126">
        <v>0</v>
      </c>
      <c r="U208" s="127">
        <v>0</v>
      </c>
      <c r="V208" s="128">
        <v>0</v>
      </c>
      <c r="W208" s="127">
        <v>0</v>
      </c>
      <c r="X208" s="129">
        <v>0</v>
      </c>
      <c r="Y208" s="127">
        <v>0</v>
      </c>
      <c r="Z208" s="127">
        <v>0</v>
      </c>
      <c r="AA208" s="126">
        <v>0</v>
      </c>
      <c r="AB208" s="130">
        <f t="shared" si="561"/>
        <v>0</v>
      </c>
      <c r="AC208" s="129">
        <v>0</v>
      </c>
      <c r="AD208" s="125">
        <f t="shared" si="562"/>
        <v>3</v>
      </c>
      <c r="AE208" s="144">
        <v>0</v>
      </c>
      <c r="AF208" s="127">
        <v>0</v>
      </c>
      <c r="AG208" s="131">
        <v>0</v>
      </c>
      <c r="AH208" s="127">
        <v>0</v>
      </c>
      <c r="AI208" s="128">
        <v>0</v>
      </c>
      <c r="AJ208" s="127">
        <v>0</v>
      </c>
      <c r="AK208" s="127">
        <v>0</v>
      </c>
      <c r="AL208" s="127">
        <v>0</v>
      </c>
      <c r="AM208" s="132">
        <f t="shared" si="563"/>
        <v>9300</v>
      </c>
      <c r="AN208" s="133">
        <v>46191</v>
      </c>
      <c r="AO208" s="134" t="s">
        <v>3971</v>
      </c>
      <c r="AP208" s="135" t="s">
        <v>234</v>
      </c>
      <c r="AQ208" s="136" t="s">
        <v>235</v>
      </c>
      <c r="AR208" s="136" t="s">
        <v>236</v>
      </c>
      <c r="AS208" s="123" t="s">
        <v>237</v>
      </c>
      <c r="AT208" s="137" t="s">
        <v>238</v>
      </c>
      <c r="AU208" s="137" t="s">
        <v>197</v>
      </c>
      <c r="AV208" s="138" t="s">
        <v>329</v>
      </c>
      <c r="AW208" s="136">
        <v>3100</v>
      </c>
      <c r="AX208" s="138">
        <v>5</v>
      </c>
      <c r="AY208" s="136">
        <f t="shared" si="564"/>
        <v>15500</v>
      </c>
      <c r="AZ208" s="139" t="b">
        <f t="shared" si="565"/>
        <v>1</v>
      </c>
      <c r="BA208" s="125">
        <v>0</v>
      </c>
      <c r="BB208" s="140">
        <f t="shared" si="566"/>
        <v>3100</v>
      </c>
      <c r="BC208" s="141">
        <v>0</v>
      </c>
      <c r="BD208" s="140" t="s">
        <v>107</v>
      </c>
      <c r="BE208" s="141">
        <v>0</v>
      </c>
      <c r="BF208" s="140">
        <v>0</v>
      </c>
      <c r="BG208" s="141">
        <v>0</v>
      </c>
      <c r="BH208" s="127">
        <v>0</v>
      </c>
      <c r="BI208" s="130">
        <v>0</v>
      </c>
      <c r="BJ208" s="128">
        <v>0</v>
      </c>
      <c r="BK208" s="125">
        <v>0</v>
      </c>
      <c r="BL208" s="136">
        <v>0</v>
      </c>
      <c r="BM208" s="127">
        <v>0</v>
      </c>
      <c r="BN208" s="142">
        <f t="shared" si="567"/>
        <v>0</v>
      </c>
      <c r="BO208" s="126">
        <f t="shared" si="568"/>
        <v>15500</v>
      </c>
      <c r="BP208" s="132">
        <f t="shared" si="569"/>
        <v>6200</v>
      </c>
      <c r="BQ208" s="141" t="str">
        <f t="shared" si="570"/>
        <v>Positive Margin</v>
      </c>
      <c r="BR208" s="143" t="s">
        <v>119</v>
      </c>
      <c r="BS208" s="125">
        <f t="shared" si="571"/>
        <v>6200</v>
      </c>
      <c r="BT208" s="144" t="str">
        <f t="shared" si="572"/>
        <v>Positive Margin at Inception</v>
      </c>
      <c r="BU208" s="145">
        <f t="shared" si="573"/>
        <v>0.4</v>
      </c>
      <c r="BV208" s="144" t="str">
        <f t="shared" si="574"/>
        <v>More than 2%</v>
      </c>
      <c r="BW208" s="125">
        <f t="shared" si="575"/>
        <v>0</v>
      </c>
      <c r="BX208" s="126">
        <f t="shared" si="576"/>
        <v>0</v>
      </c>
      <c r="BY208" s="125">
        <f t="shared" si="577"/>
        <v>0</v>
      </c>
      <c r="BZ208" s="146">
        <f t="shared" si="578"/>
        <v>0</v>
      </c>
      <c r="CA208" s="146">
        <f t="shared" si="579"/>
        <v>0</v>
      </c>
      <c r="CB208" s="127">
        <f t="shared" si="580"/>
        <v>0</v>
      </c>
      <c r="CC208" s="146" t="s">
        <v>397</v>
      </c>
      <c r="CD208" s="127">
        <v>0</v>
      </c>
      <c r="CE208" s="127" t="str">
        <f t="shared" si="581"/>
        <v>Jun-26</v>
      </c>
      <c r="CF208" s="127">
        <f t="shared" si="582"/>
        <v>9300</v>
      </c>
      <c r="CG208" s="127">
        <f t="shared" si="583"/>
        <v>15500</v>
      </c>
      <c r="CH208" s="127">
        <f t="shared" si="584"/>
        <v>12</v>
      </c>
      <c r="CI208" s="147" t="str">
        <f t="shared" si="585"/>
        <v>BG AHD</v>
      </c>
      <c r="CJ208" s="127">
        <v>0</v>
      </c>
      <c r="CK208" s="127">
        <v>0</v>
      </c>
      <c r="CL208" s="127">
        <f t="shared" si="586"/>
        <v>6200</v>
      </c>
      <c r="CM208" s="127">
        <f t="shared" si="587"/>
        <v>6200</v>
      </c>
      <c r="CN208" s="127">
        <f t="shared" si="588"/>
        <v>6200</v>
      </c>
      <c r="CO208" s="127">
        <f t="shared" si="589"/>
        <v>18290</v>
      </c>
      <c r="CP208" s="127">
        <f t="shared" si="590"/>
        <v>-10974</v>
      </c>
      <c r="CQ208" s="127">
        <f t="shared" si="591"/>
        <v>0</v>
      </c>
      <c r="CR208" s="127">
        <f t="shared" si="592"/>
        <v>0</v>
      </c>
      <c r="CS208" s="127">
        <f t="shared" si="593"/>
        <v>7316</v>
      </c>
      <c r="CT208" s="127" t="s">
        <v>361</v>
      </c>
      <c r="CU208" s="127" t="s">
        <v>361</v>
      </c>
      <c r="CV208" s="142" t="str">
        <f t="shared" si="594"/>
        <v>AAMCB5608A</v>
      </c>
      <c r="CW208" s="142" t="str">
        <f t="shared" si="595"/>
        <v>BJHPB3107J</v>
      </c>
    </row>
    <row r="209" spans="2:101" s="149" customFormat="1" ht="11.85" customHeight="1" x14ac:dyDescent="0.25">
      <c r="B209" s="120" t="str">
        <f t="shared" si="557"/>
        <v>Q1</v>
      </c>
      <c r="C209" s="121" t="str">
        <f t="shared" si="558"/>
        <v>Jun-26</v>
      </c>
      <c r="D209" s="122">
        <v>46191</v>
      </c>
      <c r="E209" s="123" t="s">
        <v>3890</v>
      </c>
      <c r="F209" s="123" t="s">
        <v>196</v>
      </c>
      <c r="G209" s="123" t="s">
        <v>198</v>
      </c>
      <c r="H209" s="124" t="s">
        <v>3891</v>
      </c>
      <c r="I209" s="122">
        <v>46191</v>
      </c>
      <c r="J209" s="123" t="s">
        <v>3892</v>
      </c>
      <c r="K209" s="122">
        <v>46191</v>
      </c>
      <c r="L209" s="123" t="s">
        <v>199</v>
      </c>
      <c r="M209" s="123" t="s">
        <v>3340</v>
      </c>
      <c r="N209" s="124" t="s">
        <v>204</v>
      </c>
      <c r="O209" s="123">
        <v>7760</v>
      </c>
      <c r="P209" s="124">
        <v>10</v>
      </c>
      <c r="Q209" s="125">
        <f t="shared" si="559"/>
        <v>77600</v>
      </c>
      <c r="R209" s="126">
        <v>0</v>
      </c>
      <c r="S209" s="125">
        <f t="shared" si="560"/>
        <v>7760</v>
      </c>
      <c r="T209" s="126">
        <v>0</v>
      </c>
      <c r="U209" s="127">
        <v>0</v>
      </c>
      <c r="V209" s="128">
        <v>0</v>
      </c>
      <c r="W209" s="127">
        <v>0</v>
      </c>
      <c r="X209" s="129">
        <v>0</v>
      </c>
      <c r="Y209" s="127">
        <v>0</v>
      </c>
      <c r="Z209" s="127">
        <v>0</v>
      </c>
      <c r="AA209" s="126">
        <v>0</v>
      </c>
      <c r="AB209" s="130">
        <f t="shared" si="561"/>
        <v>0</v>
      </c>
      <c r="AC209" s="129">
        <v>0</v>
      </c>
      <c r="AD209" s="125">
        <f t="shared" si="562"/>
        <v>10</v>
      </c>
      <c r="AE209" s="144">
        <v>0</v>
      </c>
      <c r="AF209" s="127">
        <v>0</v>
      </c>
      <c r="AG209" s="131">
        <v>0</v>
      </c>
      <c r="AH209" s="127">
        <v>0</v>
      </c>
      <c r="AI209" s="128">
        <v>0</v>
      </c>
      <c r="AJ209" s="127">
        <v>0</v>
      </c>
      <c r="AK209" s="127">
        <v>0</v>
      </c>
      <c r="AL209" s="127">
        <v>0</v>
      </c>
      <c r="AM209" s="132">
        <f t="shared" si="563"/>
        <v>77600</v>
      </c>
      <c r="AN209" s="133">
        <v>46191</v>
      </c>
      <c r="AO209" s="134" t="s">
        <v>3958</v>
      </c>
      <c r="AP209" s="135" t="s">
        <v>234</v>
      </c>
      <c r="AQ209" s="136" t="s">
        <v>235</v>
      </c>
      <c r="AR209" s="136" t="s">
        <v>236</v>
      </c>
      <c r="AS209" s="123" t="s">
        <v>239</v>
      </c>
      <c r="AT209" s="137" t="s">
        <v>238</v>
      </c>
      <c r="AU209" s="137" t="s">
        <v>197</v>
      </c>
      <c r="AV209" s="138" t="s">
        <v>329</v>
      </c>
      <c r="AW209" s="136">
        <v>7760</v>
      </c>
      <c r="AX209" s="138">
        <v>12</v>
      </c>
      <c r="AY209" s="136">
        <f t="shared" si="564"/>
        <v>93120</v>
      </c>
      <c r="AZ209" s="139" t="b">
        <f t="shared" si="565"/>
        <v>1</v>
      </c>
      <c r="BA209" s="125">
        <v>0</v>
      </c>
      <c r="BB209" s="140">
        <f t="shared" si="566"/>
        <v>7760</v>
      </c>
      <c r="BC209" s="141">
        <v>0</v>
      </c>
      <c r="BD209" s="140" t="s">
        <v>107</v>
      </c>
      <c r="BE209" s="141">
        <v>0</v>
      </c>
      <c r="BF209" s="140">
        <v>0</v>
      </c>
      <c r="BG209" s="141">
        <v>0</v>
      </c>
      <c r="BH209" s="127">
        <v>0</v>
      </c>
      <c r="BI209" s="130">
        <v>0</v>
      </c>
      <c r="BJ209" s="128">
        <v>0</v>
      </c>
      <c r="BK209" s="125">
        <v>0</v>
      </c>
      <c r="BL209" s="136">
        <v>0</v>
      </c>
      <c r="BM209" s="127">
        <v>0</v>
      </c>
      <c r="BN209" s="142">
        <f t="shared" si="567"/>
        <v>0</v>
      </c>
      <c r="BO209" s="126">
        <f t="shared" si="568"/>
        <v>93120</v>
      </c>
      <c r="BP209" s="132">
        <f t="shared" si="569"/>
        <v>15520</v>
      </c>
      <c r="BQ209" s="141" t="str">
        <f t="shared" si="570"/>
        <v>Positive Margin</v>
      </c>
      <c r="BR209" s="143" t="s">
        <v>119</v>
      </c>
      <c r="BS209" s="125">
        <f t="shared" si="571"/>
        <v>15520</v>
      </c>
      <c r="BT209" s="144" t="str">
        <f t="shared" si="572"/>
        <v>Positive Margin at Inception</v>
      </c>
      <c r="BU209" s="145">
        <f t="shared" si="573"/>
        <v>0.16666666666666666</v>
      </c>
      <c r="BV209" s="144" t="str">
        <f t="shared" si="574"/>
        <v>More than 2%</v>
      </c>
      <c r="BW209" s="125">
        <f t="shared" si="575"/>
        <v>0</v>
      </c>
      <c r="BX209" s="126">
        <f t="shared" si="576"/>
        <v>0</v>
      </c>
      <c r="BY209" s="125">
        <f t="shared" si="577"/>
        <v>0</v>
      </c>
      <c r="BZ209" s="146">
        <f t="shared" si="578"/>
        <v>0</v>
      </c>
      <c r="CA209" s="146">
        <f t="shared" si="579"/>
        <v>0</v>
      </c>
      <c r="CB209" s="127">
        <f t="shared" si="580"/>
        <v>0</v>
      </c>
      <c r="CC209" s="146" t="s">
        <v>397</v>
      </c>
      <c r="CD209" s="127">
        <v>0</v>
      </c>
      <c r="CE209" s="127" t="str">
        <f t="shared" si="581"/>
        <v>Jun-26</v>
      </c>
      <c r="CF209" s="127">
        <f t="shared" si="582"/>
        <v>77600</v>
      </c>
      <c r="CG209" s="127">
        <f t="shared" si="583"/>
        <v>93120</v>
      </c>
      <c r="CH209" s="127">
        <f t="shared" si="584"/>
        <v>12</v>
      </c>
      <c r="CI209" s="147" t="str">
        <f t="shared" si="585"/>
        <v>BG AHD</v>
      </c>
      <c r="CJ209" s="127">
        <v>0</v>
      </c>
      <c r="CK209" s="127">
        <v>0</v>
      </c>
      <c r="CL209" s="127">
        <f t="shared" si="586"/>
        <v>15520</v>
      </c>
      <c r="CM209" s="127">
        <f t="shared" si="587"/>
        <v>15520</v>
      </c>
      <c r="CN209" s="127">
        <f t="shared" si="588"/>
        <v>15520</v>
      </c>
      <c r="CO209" s="127">
        <f t="shared" si="589"/>
        <v>109881.59999999999</v>
      </c>
      <c r="CP209" s="127">
        <f t="shared" si="590"/>
        <v>-91568</v>
      </c>
      <c r="CQ209" s="127">
        <f t="shared" si="591"/>
        <v>0</v>
      </c>
      <c r="CR209" s="127">
        <f t="shared" si="592"/>
        <v>0</v>
      </c>
      <c r="CS209" s="127">
        <f t="shared" si="593"/>
        <v>18313.599999999991</v>
      </c>
      <c r="CT209" s="127" t="s">
        <v>361</v>
      </c>
      <c r="CU209" s="127" t="s">
        <v>361</v>
      </c>
      <c r="CV209" s="142" t="str">
        <f t="shared" si="594"/>
        <v>AAMCB5608A</v>
      </c>
      <c r="CW209" s="142" t="str">
        <f t="shared" si="595"/>
        <v>BJHPB3107J</v>
      </c>
    </row>
    <row r="210" spans="2:101" s="149" customFormat="1" ht="11.85" customHeight="1" x14ac:dyDescent="0.25">
      <c r="B210" s="120" t="str">
        <f t="shared" si="557"/>
        <v>Q1</v>
      </c>
      <c r="C210" s="121" t="str">
        <f t="shared" si="558"/>
        <v>Jun-26</v>
      </c>
      <c r="D210" s="122">
        <v>46192</v>
      </c>
      <c r="E210" s="123" t="s">
        <v>3893</v>
      </c>
      <c r="F210" s="123" t="s">
        <v>3635</v>
      </c>
      <c r="G210" s="123" t="s">
        <v>3636</v>
      </c>
      <c r="H210" s="124" t="s">
        <v>3894</v>
      </c>
      <c r="I210" s="122">
        <v>46192</v>
      </c>
      <c r="J210" s="123" t="s">
        <v>3895</v>
      </c>
      <c r="K210" s="122">
        <v>46192</v>
      </c>
      <c r="L210" s="123" t="s">
        <v>199</v>
      </c>
      <c r="M210" s="123" t="s">
        <v>3896</v>
      </c>
      <c r="N210" s="124" t="s">
        <v>257</v>
      </c>
      <c r="O210" s="123">
        <v>2930</v>
      </c>
      <c r="P210" s="124">
        <v>27.3</v>
      </c>
      <c r="Q210" s="125">
        <f t="shared" si="559"/>
        <v>79989</v>
      </c>
      <c r="R210" s="126">
        <v>0</v>
      </c>
      <c r="S210" s="125">
        <f t="shared" si="560"/>
        <v>2930</v>
      </c>
      <c r="T210" s="126">
        <v>0</v>
      </c>
      <c r="U210" s="127">
        <v>0</v>
      </c>
      <c r="V210" s="128">
        <v>0</v>
      </c>
      <c r="W210" s="127">
        <v>0</v>
      </c>
      <c r="X210" s="129">
        <v>0</v>
      </c>
      <c r="Y210" s="127">
        <v>0</v>
      </c>
      <c r="Z210" s="127">
        <v>0</v>
      </c>
      <c r="AA210" s="126">
        <v>0</v>
      </c>
      <c r="AB210" s="130">
        <f t="shared" si="561"/>
        <v>0</v>
      </c>
      <c r="AC210" s="129">
        <v>0</v>
      </c>
      <c r="AD210" s="125">
        <f t="shared" si="562"/>
        <v>27.3</v>
      </c>
      <c r="AE210" s="144">
        <v>0</v>
      </c>
      <c r="AF210" s="127">
        <v>0</v>
      </c>
      <c r="AG210" s="131">
        <v>0</v>
      </c>
      <c r="AH210" s="127">
        <v>0</v>
      </c>
      <c r="AI210" s="128">
        <v>0</v>
      </c>
      <c r="AJ210" s="127">
        <v>0</v>
      </c>
      <c r="AK210" s="127">
        <v>0</v>
      </c>
      <c r="AL210" s="127">
        <v>0</v>
      </c>
      <c r="AM210" s="132">
        <f t="shared" si="563"/>
        <v>79989</v>
      </c>
      <c r="AN210" s="133">
        <v>46192</v>
      </c>
      <c r="AO210" s="134" t="s">
        <v>3965</v>
      </c>
      <c r="AP210" s="135" t="s">
        <v>1937</v>
      </c>
      <c r="AQ210" s="136" t="s">
        <v>1938</v>
      </c>
      <c r="AR210" s="136" t="s">
        <v>1939</v>
      </c>
      <c r="AS210" s="123" t="s">
        <v>3678</v>
      </c>
      <c r="AT210" s="137" t="s">
        <v>1940</v>
      </c>
      <c r="AU210" s="137" t="s">
        <v>197</v>
      </c>
      <c r="AV210" s="138" t="s">
        <v>3966</v>
      </c>
      <c r="AW210" s="136">
        <v>2930</v>
      </c>
      <c r="AX210" s="138">
        <v>27.9</v>
      </c>
      <c r="AY210" s="136">
        <f t="shared" si="564"/>
        <v>81747</v>
      </c>
      <c r="AZ210" s="139" t="b">
        <f t="shared" si="565"/>
        <v>1</v>
      </c>
      <c r="BA210" s="125">
        <v>0</v>
      </c>
      <c r="BB210" s="140">
        <f t="shared" si="566"/>
        <v>2930</v>
      </c>
      <c r="BC210" s="141">
        <v>0</v>
      </c>
      <c r="BD210" s="140" t="s">
        <v>107</v>
      </c>
      <c r="BE210" s="141">
        <v>0</v>
      </c>
      <c r="BF210" s="140">
        <v>0</v>
      </c>
      <c r="BG210" s="141">
        <v>0</v>
      </c>
      <c r="BH210" s="127">
        <v>0</v>
      </c>
      <c r="BI210" s="130">
        <v>0</v>
      </c>
      <c r="BJ210" s="128">
        <v>0</v>
      </c>
      <c r="BK210" s="125">
        <v>0</v>
      </c>
      <c r="BL210" s="136">
        <v>0</v>
      </c>
      <c r="BM210" s="127">
        <v>0</v>
      </c>
      <c r="BN210" s="142">
        <f t="shared" si="567"/>
        <v>0</v>
      </c>
      <c r="BO210" s="126">
        <f t="shared" si="568"/>
        <v>81747</v>
      </c>
      <c r="BP210" s="132">
        <f t="shared" si="569"/>
        <v>1758</v>
      </c>
      <c r="BQ210" s="141" t="str">
        <f t="shared" si="570"/>
        <v>Positive Margin</v>
      </c>
      <c r="BR210" s="143" t="s">
        <v>119</v>
      </c>
      <c r="BS210" s="125">
        <f t="shared" si="571"/>
        <v>1758</v>
      </c>
      <c r="BT210" s="144" t="str">
        <f t="shared" si="572"/>
        <v>Positive Margin at Inception</v>
      </c>
      <c r="BU210" s="145">
        <f t="shared" si="573"/>
        <v>2.1505376344086023E-2</v>
      </c>
      <c r="BV210" s="144" t="str">
        <f t="shared" si="574"/>
        <v>More than 2%</v>
      </c>
      <c r="BW210" s="125">
        <f t="shared" si="575"/>
        <v>0</v>
      </c>
      <c r="BX210" s="126">
        <f t="shared" si="576"/>
        <v>0</v>
      </c>
      <c r="BY210" s="125">
        <f t="shared" si="577"/>
        <v>0</v>
      </c>
      <c r="BZ210" s="146">
        <f t="shared" si="578"/>
        <v>0</v>
      </c>
      <c r="CA210" s="146">
        <f t="shared" si="579"/>
        <v>0</v>
      </c>
      <c r="CB210" s="127">
        <f t="shared" si="580"/>
        <v>0</v>
      </c>
      <c r="CC210" s="146" t="s">
        <v>397</v>
      </c>
      <c r="CD210" s="127">
        <v>0</v>
      </c>
      <c r="CE210" s="127" t="str">
        <f t="shared" si="581"/>
        <v>Jun-26</v>
      </c>
      <c r="CF210" s="127">
        <f t="shared" si="582"/>
        <v>79989</v>
      </c>
      <c r="CG210" s="127">
        <f t="shared" si="583"/>
        <v>81747</v>
      </c>
      <c r="CH210" s="127">
        <f t="shared" si="584"/>
        <v>12</v>
      </c>
      <c r="CI210" s="147" t="str">
        <f t="shared" si="585"/>
        <v>B2B</v>
      </c>
      <c r="CJ210" s="127">
        <v>0</v>
      </c>
      <c r="CK210" s="127">
        <v>0</v>
      </c>
      <c r="CL210" s="127">
        <f t="shared" si="586"/>
        <v>1758</v>
      </c>
      <c r="CM210" s="127">
        <f t="shared" si="587"/>
        <v>1758</v>
      </c>
      <c r="CN210" s="127">
        <f t="shared" si="588"/>
        <v>1758</v>
      </c>
      <c r="CO210" s="127">
        <f t="shared" si="589"/>
        <v>96461.459999999992</v>
      </c>
      <c r="CP210" s="127">
        <f t="shared" si="590"/>
        <v>-94387.01999999999</v>
      </c>
      <c r="CQ210" s="127">
        <f t="shared" si="591"/>
        <v>0</v>
      </c>
      <c r="CR210" s="127">
        <f t="shared" si="592"/>
        <v>0</v>
      </c>
      <c r="CS210" s="127">
        <f t="shared" si="593"/>
        <v>2074.4400000000023</v>
      </c>
      <c r="CT210" s="127" t="s">
        <v>361</v>
      </c>
      <c r="CU210" s="127" t="s">
        <v>361</v>
      </c>
      <c r="CV210" s="142" t="str">
        <f t="shared" si="594"/>
        <v>AAHCR8445C</v>
      </c>
      <c r="CW210" s="142" t="str">
        <f t="shared" si="595"/>
        <v>AFDPY5902R</v>
      </c>
    </row>
    <row r="211" spans="2:101" s="149" customFormat="1" ht="11.85" customHeight="1" x14ac:dyDescent="0.25">
      <c r="B211" s="120" t="str">
        <f t="shared" si="557"/>
        <v>Q1</v>
      </c>
      <c r="C211" s="121" t="str">
        <f t="shared" si="558"/>
        <v>Jun-26</v>
      </c>
      <c r="D211" s="122">
        <v>46192</v>
      </c>
      <c r="E211" s="123" t="s">
        <v>3897</v>
      </c>
      <c r="F211" s="123" t="s">
        <v>196</v>
      </c>
      <c r="G211" s="123" t="s">
        <v>198</v>
      </c>
      <c r="H211" s="124" t="s">
        <v>3898</v>
      </c>
      <c r="I211" s="122">
        <v>46192</v>
      </c>
      <c r="J211" s="123" t="s">
        <v>3899</v>
      </c>
      <c r="K211" s="122">
        <v>46193</v>
      </c>
      <c r="L211" s="123" t="s">
        <v>199</v>
      </c>
      <c r="M211" s="123" t="s">
        <v>3900</v>
      </c>
      <c r="N211" s="124" t="s">
        <v>204</v>
      </c>
      <c r="O211" s="123">
        <v>6870</v>
      </c>
      <c r="P211" s="124">
        <v>10</v>
      </c>
      <c r="Q211" s="125">
        <f t="shared" si="559"/>
        <v>68700</v>
      </c>
      <c r="R211" s="126">
        <v>0</v>
      </c>
      <c r="S211" s="125">
        <f t="shared" si="560"/>
        <v>6870</v>
      </c>
      <c r="T211" s="126">
        <v>0</v>
      </c>
      <c r="U211" s="127">
        <v>0</v>
      </c>
      <c r="V211" s="128">
        <v>0</v>
      </c>
      <c r="W211" s="127">
        <v>0</v>
      </c>
      <c r="X211" s="129">
        <v>0</v>
      </c>
      <c r="Y211" s="127">
        <v>0</v>
      </c>
      <c r="Z211" s="127">
        <v>0</v>
      </c>
      <c r="AA211" s="126">
        <v>0</v>
      </c>
      <c r="AB211" s="130">
        <f t="shared" si="561"/>
        <v>0</v>
      </c>
      <c r="AC211" s="129">
        <v>0</v>
      </c>
      <c r="AD211" s="125">
        <f t="shared" si="562"/>
        <v>10</v>
      </c>
      <c r="AE211" s="144">
        <v>0</v>
      </c>
      <c r="AF211" s="127">
        <v>0</v>
      </c>
      <c r="AG211" s="131">
        <v>0</v>
      </c>
      <c r="AH211" s="127">
        <v>0</v>
      </c>
      <c r="AI211" s="128">
        <v>0</v>
      </c>
      <c r="AJ211" s="127">
        <v>0</v>
      </c>
      <c r="AK211" s="127">
        <v>0</v>
      </c>
      <c r="AL211" s="127">
        <v>0</v>
      </c>
      <c r="AM211" s="132">
        <f t="shared" si="563"/>
        <v>68700</v>
      </c>
      <c r="AN211" s="133">
        <v>46193</v>
      </c>
      <c r="AO211" s="134" t="s">
        <v>3967</v>
      </c>
      <c r="AP211" s="135" t="s">
        <v>234</v>
      </c>
      <c r="AQ211" s="136" t="s">
        <v>235</v>
      </c>
      <c r="AR211" s="136" t="s">
        <v>236</v>
      </c>
      <c r="AS211" s="123" t="s">
        <v>239</v>
      </c>
      <c r="AT211" s="137" t="s">
        <v>238</v>
      </c>
      <c r="AU211" s="137" t="s">
        <v>197</v>
      </c>
      <c r="AV211" s="138" t="s">
        <v>329</v>
      </c>
      <c r="AW211" s="136">
        <v>6870</v>
      </c>
      <c r="AX211" s="138">
        <v>12</v>
      </c>
      <c r="AY211" s="136">
        <f t="shared" si="564"/>
        <v>82440</v>
      </c>
      <c r="AZ211" s="139" t="b">
        <f t="shared" si="565"/>
        <v>1</v>
      </c>
      <c r="BA211" s="125">
        <v>0</v>
      </c>
      <c r="BB211" s="140">
        <f t="shared" si="566"/>
        <v>6870</v>
      </c>
      <c r="BC211" s="141">
        <v>0</v>
      </c>
      <c r="BD211" s="140" t="s">
        <v>107</v>
      </c>
      <c r="BE211" s="141">
        <v>0</v>
      </c>
      <c r="BF211" s="140">
        <v>0</v>
      </c>
      <c r="BG211" s="141">
        <v>0</v>
      </c>
      <c r="BH211" s="127">
        <v>0</v>
      </c>
      <c r="BI211" s="130">
        <v>0</v>
      </c>
      <c r="BJ211" s="128">
        <v>0</v>
      </c>
      <c r="BK211" s="125">
        <v>0</v>
      </c>
      <c r="BL211" s="136">
        <v>0</v>
      </c>
      <c r="BM211" s="127">
        <v>0</v>
      </c>
      <c r="BN211" s="142">
        <f t="shared" si="567"/>
        <v>0</v>
      </c>
      <c r="BO211" s="126">
        <f t="shared" si="568"/>
        <v>82440</v>
      </c>
      <c r="BP211" s="132">
        <f t="shared" si="569"/>
        <v>13740</v>
      </c>
      <c r="BQ211" s="141" t="str">
        <f t="shared" si="570"/>
        <v>Positive Margin</v>
      </c>
      <c r="BR211" s="143" t="s">
        <v>119</v>
      </c>
      <c r="BS211" s="125">
        <f t="shared" si="571"/>
        <v>13740</v>
      </c>
      <c r="BT211" s="144" t="str">
        <f t="shared" si="572"/>
        <v>Positive Margin at Inception</v>
      </c>
      <c r="BU211" s="145">
        <f t="shared" si="573"/>
        <v>0.16666666666666666</v>
      </c>
      <c r="BV211" s="144" t="str">
        <f t="shared" si="574"/>
        <v>More than 2%</v>
      </c>
      <c r="BW211" s="125">
        <f t="shared" si="575"/>
        <v>0</v>
      </c>
      <c r="BX211" s="126">
        <f t="shared" si="576"/>
        <v>0</v>
      </c>
      <c r="BY211" s="125">
        <f t="shared" si="577"/>
        <v>0</v>
      </c>
      <c r="BZ211" s="146">
        <f t="shared" si="578"/>
        <v>0</v>
      </c>
      <c r="CA211" s="146">
        <f t="shared" si="579"/>
        <v>0</v>
      </c>
      <c r="CB211" s="127">
        <f t="shared" si="580"/>
        <v>0</v>
      </c>
      <c r="CC211" s="146" t="s">
        <v>397</v>
      </c>
      <c r="CD211" s="127">
        <v>0</v>
      </c>
      <c r="CE211" s="127" t="str">
        <f t="shared" si="581"/>
        <v>Jun-26</v>
      </c>
      <c r="CF211" s="127">
        <f t="shared" si="582"/>
        <v>68700</v>
      </c>
      <c r="CG211" s="127">
        <f t="shared" si="583"/>
        <v>82440</v>
      </c>
      <c r="CH211" s="127">
        <f t="shared" si="584"/>
        <v>12</v>
      </c>
      <c r="CI211" s="147" t="str">
        <f t="shared" si="585"/>
        <v>BG AHD</v>
      </c>
      <c r="CJ211" s="127">
        <v>0</v>
      </c>
      <c r="CK211" s="127">
        <v>0</v>
      </c>
      <c r="CL211" s="127">
        <f t="shared" si="586"/>
        <v>13740</v>
      </c>
      <c r="CM211" s="127">
        <f t="shared" si="587"/>
        <v>13740</v>
      </c>
      <c r="CN211" s="127">
        <f t="shared" si="588"/>
        <v>13740</v>
      </c>
      <c r="CO211" s="127">
        <f t="shared" si="589"/>
        <v>97279.2</v>
      </c>
      <c r="CP211" s="127">
        <f t="shared" si="590"/>
        <v>-81066</v>
      </c>
      <c r="CQ211" s="127">
        <f t="shared" si="591"/>
        <v>0</v>
      </c>
      <c r="CR211" s="127">
        <f t="shared" si="592"/>
        <v>0</v>
      </c>
      <c r="CS211" s="127">
        <f t="shared" si="593"/>
        <v>16213.199999999997</v>
      </c>
      <c r="CT211" s="127" t="s">
        <v>361</v>
      </c>
      <c r="CU211" s="127" t="s">
        <v>361</v>
      </c>
      <c r="CV211" s="142" t="str">
        <f t="shared" si="594"/>
        <v>AAMCB5608A</v>
      </c>
      <c r="CW211" s="142" t="str">
        <f t="shared" si="595"/>
        <v>BJHPB3107J</v>
      </c>
    </row>
    <row r="212" spans="2:101" s="149" customFormat="1" ht="11.85" customHeight="1" x14ac:dyDescent="0.25">
      <c r="B212" s="120" t="str">
        <f t="shared" si="557"/>
        <v>Q1</v>
      </c>
      <c r="C212" s="121" t="str">
        <f t="shared" si="558"/>
        <v>Jun-26</v>
      </c>
      <c r="D212" s="122">
        <v>46192</v>
      </c>
      <c r="E212" s="123" t="s">
        <v>3901</v>
      </c>
      <c r="F212" s="123" t="s">
        <v>196</v>
      </c>
      <c r="G212" s="123" t="s">
        <v>198</v>
      </c>
      <c r="H212" s="124" t="s">
        <v>3902</v>
      </c>
      <c r="I212" s="122">
        <v>46192</v>
      </c>
      <c r="J212" s="123" t="s">
        <v>3903</v>
      </c>
      <c r="K212" s="122">
        <v>46192</v>
      </c>
      <c r="L212" s="123" t="s">
        <v>199</v>
      </c>
      <c r="M212" s="123" t="s">
        <v>2331</v>
      </c>
      <c r="N212" s="124" t="s">
        <v>206</v>
      </c>
      <c r="O212" s="123">
        <v>388</v>
      </c>
      <c r="P212" s="124">
        <v>50</v>
      </c>
      <c r="Q212" s="125">
        <f t="shared" si="559"/>
        <v>19400</v>
      </c>
      <c r="R212" s="126">
        <v>0</v>
      </c>
      <c r="S212" s="125">
        <f t="shared" si="560"/>
        <v>388</v>
      </c>
      <c r="T212" s="126">
        <v>0</v>
      </c>
      <c r="U212" s="127">
        <v>0</v>
      </c>
      <c r="V212" s="128">
        <v>0</v>
      </c>
      <c r="W212" s="127">
        <v>0</v>
      </c>
      <c r="X212" s="129">
        <v>0</v>
      </c>
      <c r="Y212" s="127">
        <v>0</v>
      </c>
      <c r="Z212" s="127">
        <v>0</v>
      </c>
      <c r="AA212" s="126">
        <v>0</v>
      </c>
      <c r="AB212" s="130">
        <f t="shared" si="561"/>
        <v>0</v>
      </c>
      <c r="AC212" s="129">
        <v>0</v>
      </c>
      <c r="AD212" s="125">
        <f t="shared" si="562"/>
        <v>50</v>
      </c>
      <c r="AE212" s="144">
        <v>0</v>
      </c>
      <c r="AF212" s="127">
        <v>0</v>
      </c>
      <c r="AG212" s="131">
        <v>0</v>
      </c>
      <c r="AH212" s="127">
        <v>0</v>
      </c>
      <c r="AI212" s="128">
        <v>0</v>
      </c>
      <c r="AJ212" s="127">
        <v>0</v>
      </c>
      <c r="AK212" s="127">
        <v>0</v>
      </c>
      <c r="AL212" s="127">
        <v>0</v>
      </c>
      <c r="AM212" s="132">
        <f t="shared" si="563"/>
        <v>19400</v>
      </c>
      <c r="AN212" s="133">
        <v>46192</v>
      </c>
      <c r="AO212" s="134" t="s">
        <v>3969</v>
      </c>
      <c r="AP212" s="135" t="s">
        <v>234</v>
      </c>
      <c r="AQ212" s="136" t="s">
        <v>235</v>
      </c>
      <c r="AR212" s="136" t="s">
        <v>236</v>
      </c>
      <c r="AS212" s="123" t="s">
        <v>239</v>
      </c>
      <c r="AT212" s="137" t="s">
        <v>238</v>
      </c>
      <c r="AU212" s="137" t="s">
        <v>197</v>
      </c>
      <c r="AV212" s="138" t="s">
        <v>329</v>
      </c>
      <c r="AW212" s="136">
        <v>388</v>
      </c>
      <c r="AX212" s="138">
        <v>70</v>
      </c>
      <c r="AY212" s="136">
        <f t="shared" si="564"/>
        <v>27160</v>
      </c>
      <c r="AZ212" s="139" t="b">
        <f t="shared" si="565"/>
        <v>1</v>
      </c>
      <c r="BA212" s="125">
        <v>0</v>
      </c>
      <c r="BB212" s="140">
        <f t="shared" si="566"/>
        <v>388</v>
      </c>
      <c r="BC212" s="141">
        <v>0</v>
      </c>
      <c r="BD212" s="140" t="s">
        <v>107</v>
      </c>
      <c r="BE212" s="141">
        <v>0</v>
      </c>
      <c r="BF212" s="140">
        <v>0</v>
      </c>
      <c r="BG212" s="141">
        <v>0</v>
      </c>
      <c r="BH212" s="127">
        <v>0</v>
      </c>
      <c r="BI212" s="130">
        <v>0</v>
      </c>
      <c r="BJ212" s="128">
        <v>0</v>
      </c>
      <c r="BK212" s="125">
        <v>0</v>
      </c>
      <c r="BL212" s="136">
        <v>0</v>
      </c>
      <c r="BM212" s="127">
        <v>0</v>
      </c>
      <c r="BN212" s="142">
        <f t="shared" si="567"/>
        <v>0</v>
      </c>
      <c r="BO212" s="126">
        <f t="shared" si="568"/>
        <v>27160</v>
      </c>
      <c r="BP212" s="132">
        <f t="shared" si="569"/>
        <v>7760</v>
      </c>
      <c r="BQ212" s="141" t="str">
        <f t="shared" si="570"/>
        <v>Positive Margin</v>
      </c>
      <c r="BR212" s="143" t="s">
        <v>119</v>
      </c>
      <c r="BS212" s="125">
        <f t="shared" si="571"/>
        <v>7760</v>
      </c>
      <c r="BT212" s="144" t="str">
        <f t="shared" si="572"/>
        <v>Positive Margin at Inception</v>
      </c>
      <c r="BU212" s="145">
        <f t="shared" si="573"/>
        <v>0.2857142857142857</v>
      </c>
      <c r="BV212" s="144" t="str">
        <f t="shared" si="574"/>
        <v>More than 2%</v>
      </c>
      <c r="BW212" s="125">
        <f t="shared" si="575"/>
        <v>0</v>
      </c>
      <c r="BX212" s="126">
        <f t="shared" si="576"/>
        <v>0</v>
      </c>
      <c r="BY212" s="125">
        <f t="shared" si="577"/>
        <v>0</v>
      </c>
      <c r="BZ212" s="146">
        <f t="shared" si="578"/>
        <v>0</v>
      </c>
      <c r="CA212" s="146">
        <f t="shared" si="579"/>
        <v>0</v>
      </c>
      <c r="CB212" s="127">
        <f t="shared" si="580"/>
        <v>0</v>
      </c>
      <c r="CC212" s="146" t="s">
        <v>397</v>
      </c>
      <c r="CD212" s="127">
        <v>0</v>
      </c>
      <c r="CE212" s="127" t="str">
        <f t="shared" si="581"/>
        <v>Jun-26</v>
      </c>
      <c r="CF212" s="127">
        <f t="shared" si="582"/>
        <v>19400</v>
      </c>
      <c r="CG212" s="127">
        <f t="shared" si="583"/>
        <v>27160</v>
      </c>
      <c r="CH212" s="127">
        <f t="shared" si="584"/>
        <v>12</v>
      </c>
      <c r="CI212" s="147" t="str">
        <f t="shared" si="585"/>
        <v>BG AHD</v>
      </c>
      <c r="CJ212" s="127">
        <v>0</v>
      </c>
      <c r="CK212" s="127">
        <v>0</v>
      </c>
      <c r="CL212" s="127">
        <f t="shared" si="586"/>
        <v>7760</v>
      </c>
      <c r="CM212" s="127">
        <f t="shared" si="587"/>
        <v>7760</v>
      </c>
      <c r="CN212" s="127">
        <f t="shared" si="588"/>
        <v>7760</v>
      </c>
      <c r="CO212" s="127">
        <f t="shared" si="589"/>
        <v>32048.799999999999</v>
      </c>
      <c r="CP212" s="127">
        <f t="shared" si="590"/>
        <v>-22892</v>
      </c>
      <c r="CQ212" s="127">
        <f t="shared" si="591"/>
        <v>0</v>
      </c>
      <c r="CR212" s="127">
        <f t="shared" si="592"/>
        <v>0</v>
      </c>
      <c r="CS212" s="127">
        <f t="shared" si="593"/>
        <v>9156.7999999999993</v>
      </c>
      <c r="CT212" s="127" t="s">
        <v>361</v>
      </c>
      <c r="CU212" s="127" t="s">
        <v>361</v>
      </c>
      <c r="CV212" s="142" t="str">
        <f t="shared" si="594"/>
        <v>AAMCB5608A</v>
      </c>
      <c r="CW212" s="142" t="str">
        <f t="shared" si="595"/>
        <v>BJHPB3107J</v>
      </c>
    </row>
    <row r="213" spans="2:101" s="149" customFormat="1" ht="11.85" customHeight="1" x14ac:dyDescent="0.25">
      <c r="B213" s="120" t="str">
        <f t="shared" si="557"/>
        <v>Q1</v>
      </c>
      <c r="C213" s="121" t="str">
        <f t="shared" si="558"/>
        <v>Jun-26</v>
      </c>
      <c r="D213" s="122">
        <v>46192</v>
      </c>
      <c r="E213" s="123" t="s">
        <v>3901</v>
      </c>
      <c r="F213" s="123" t="s">
        <v>196</v>
      </c>
      <c r="G213" s="123" t="s">
        <v>198</v>
      </c>
      <c r="H213" s="124" t="s">
        <v>3902</v>
      </c>
      <c r="I213" s="122">
        <v>46192</v>
      </c>
      <c r="J213" s="123" t="s">
        <v>3903</v>
      </c>
      <c r="K213" s="122">
        <v>46192</v>
      </c>
      <c r="L213" s="123" t="s">
        <v>199</v>
      </c>
      <c r="M213" s="123" t="s">
        <v>2331</v>
      </c>
      <c r="N213" s="124" t="s">
        <v>243</v>
      </c>
      <c r="O213" s="123">
        <v>215</v>
      </c>
      <c r="P213" s="124">
        <v>60</v>
      </c>
      <c r="Q213" s="125">
        <f t="shared" si="559"/>
        <v>12900</v>
      </c>
      <c r="R213" s="126">
        <v>0</v>
      </c>
      <c r="S213" s="125">
        <f t="shared" si="560"/>
        <v>215</v>
      </c>
      <c r="T213" s="126">
        <v>0</v>
      </c>
      <c r="U213" s="127">
        <v>0</v>
      </c>
      <c r="V213" s="128">
        <v>0</v>
      </c>
      <c r="W213" s="127">
        <v>0</v>
      </c>
      <c r="X213" s="129">
        <v>0</v>
      </c>
      <c r="Y213" s="127">
        <v>0</v>
      </c>
      <c r="Z213" s="127">
        <v>0</v>
      </c>
      <c r="AA213" s="126">
        <v>0</v>
      </c>
      <c r="AB213" s="130">
        <f t="shared" si="561"/>
        <v>0</v>
      </c>
      <c r="AC213" s="129">
        <v>0</v>
      </c>
      <c r="AD213" s="125">
        <f t="shared" si="562"/>
        <v>60</v>
      </c>
      <c r="AE213" s="144">
        <v>0</v>
      </c>
      <c r="AF213" s="127">
        <v>0</v>
      </c>
      <c r="AG213" s="131">
        <v>0</v>
      </c>
      <c r="AH213" s="127">
        <v>0</v>
      </c>
      <c r="AI213" s="128">
        <v>0</v>
      </c>
      <c r="AJ213" s="127">
        <v>0</v>
      </c>
      <c r="AK213" s="127">
        <v>0</v>
      </c>
      <c r="AL213" s="127">
        <v>0</v>
      </c>
      <c r="AM213" s="132">
        <f t="shared" si="563"/>
        <v>12900</v>
      </c>
      <c r="AN213" s="133">
        <v>46192</v>
      </c>
      <c r="AO213" s="134" t="s">
        <v>3969</v>
      </c>
      <c r="AP213" s="135" t="s">
        <v>234</v>
      </c>
      <c r="AQ213" s="136" t="s">
        <v>235</v>
      </c>
      <c r="AR213" s="136" t="s">
        <v>236</v>
      </c>
      <c r="AS213" s="123" t="s">
        <v>239</v>
      </c>
      <c r="AT213" s="137" t="s">
        <v>238</v>
      </c>
      <c r="AU213" s="137" t="s">
        <v>197</v>
      </c>
      <c r="AV213" s="138" t="s">
        <v>329</v>
      </c>
      <c r="AW213" s="136">
        <v>215</v>
      </c>
      <c r="AX213" s="138">
        <v>80</v>
      </c>
      <c r="AY213" s="136">
        <f t="shared" si="564"/>
        <v>17200</v>
      </c>
      <c r="AZ213" s="139" t="b">
        <f t="shared" si="565"/>
        <v>1</v>
      </c>
      <c r="BA213" s="125">
        <v>0</v>
      </c>
      <c r="BB213" s="140">
        <f t="shared" si="566"/>
        <v>215</v>
      </c>
      <c r="BC213" s="141">
        <v>0</v>
      </c>
      <c r="BD213" s="140" t="s">
        <v>107</v>
      </c>
      <c r="BE213" s="141">
        <v>0</v>
      </c>
      <c r="BF213" s="140">
        <v>0</v>
      </c>
      <c r="BG213" s="141">
        <v>0</v>
      </c>
      <c r="BH213" s="127">
        <v>0</v>
      </c>
      <c r="BI213" s="130">
        <v>0</v>
      </c>
      <c r="BJ213" s="128">
        <v>0</v>
      </c>
      <c r="BK213" s="125">
        <v>0</v>
      </c>
      <c r="BL213" s="136">
        <v>0</v>
      </c>
      <c r="BM213" s="127">
        <v>0</v>
      </c>
      <c r="BN213" s="142">
        <f t="shared" si="567"/>
        <v>0</v>
      </c>
      <c r="BO213" s="126">
        <f t="shared" si="568"/>
        <v>17200</v>
      </c>
      <c r="BP213" s="132">
        <f t="shared" si="569"/>
        <v>4300</v>
      </c>
      <c r="BQ213" s="141" t="str">
        <f t="shared" si="570"/>
        <v>Positive Margin</v>
      </c>
      <c r="BR213" s="143" t="s">
        <v>119</v>
      </c>
      <c r="BS213" s="125">
        <f t="shared" si="571"/>
        <v>4300</v>
      </c>
      <c r="BT213" s="144" t="str">
        <f t="shared" si="572"/>
        <v>Positive Margin at Inception</v>
      </c>
      <c r="BU213" s="145">
        <f t="shared" si="573"/>
        <v>0.25</v>
      </c>
      <c r="BV213" s="144" t="str">
        <f t="shared" si="574"/>
        <v>More than 2%</v>
      </c>
      <c r="BW213" s="125">
        <f t="shared" si="575"/>
        <v>0</v>
      </c>
      <c r="BX213" s="126">
        <f t="shared" si="576"/>
        <v>0</v>
      </c>
      <c r="BY213" s="125">
        <f t="shared" si="577"/>
        <v>0</v>
      </c>
      <c r="BZ213" s="146">
        <f t="shared" si="578"/>
        <v>0</v>
      </c>
      <c r="CA213" s="146">
        <f t="shared" si="579"/>
        <v>0</v>
      </c>
      <c r="CB213" s="127">
        <f t="shared" si="580"/>
        <v>0</v>
      </c>
      <c r="CC213" s="146" t="s">
        <v>397</v>
      </c>
      <c r="CD213" s="127">
        <v>0</v>
      </c>
      <c r="CE213" s="127" t="str">
        <f t="shared" si="581"/>
        <v>Jun-26</v>
      </c>
      <c r="CF213" s="127">
        <f t="shared" si="582"/>
        <v>12900</v>
      </c>
      <c r="CG213" s="127">
        <f t="shared" si="583"/>
        <v>17200</v>
      </c>
      <c r="CH213" s="127">
        <f t="shared" si="584"/>
        <v>12</v>
      </c>
      <c r="CI213" s="147" t="str">
        <f t="shared" si="585"/>
        <v>BG AHD</v>
      </c>
      <c r="CJ213" s="127">
        <v>0</v>
      </c>
      <c r="CK213" s="127">
        <v>0</v>
      </c>
      <c r="CL213" s="127">
        <f t="shared" si="586"/>
        <v>4300</v>
      </c>
      <c r="CM213" s="127">
        <f t="shared" si="587"/>
        <v>4300</v>
      </c>
      <c r="CN213" s="127">
        <f t="shared" si="588"/>
        <v>4300</v>
      </c>
      <c r="CO213" s="127">
        <f t="shared" si="589"/>
        <v>20296</v>
      </c>
      <c r="CP213" s="127">
        <f t="shared" si="590"/>
        <v>-15222</v>
      </c>
      <c r="CQ213" s="127">
        <f t="shared" si="591"/>
        <v>0</v>
      </c>
      <c r="CR213" s="127">
        <f t="shared" si="592"/>
        <v>0</v>
      </c>
      <c r="CS213" s="127">
        <f t="shared" si="593"/>
        <v>5074</v>
      </c>
      <c r="CT213" s="127" t="s">
        <v>361</v>
      </c>
      <c r="CU213" s="127" t="s">
        <v>361</v>
      </c>
      <c r="CV213" s="142" t="str">
        <f t="shared" si="594"/>
        <v>AAMCB5608A</v>
      </c>
      <c r="CW213" s="142" t="str">
        <f t="shared" si="595"/>
        <v>BJHPB3107J</v>
      </c>
    </row>
    <row r="214" spans="2:101" s="149" customFormat="1" ht="11.85" customHeight="1" x14ac:dyDescent="0.25">
      <c r="B214" s="120" t="str">
        <f t="shared" si="557"/>
        <v>Q1</v>
      </c>
      <c r="C214" s="121" t="str">
        <f t="shared" si="558"/>
        <v>Jun-26</v>
      </c>
      <c r="D214" s="122">
        <v>46194</v>
      </c>
      <c r="E214" s="123" t="s">
        <v>3904</v>
      </c>
      <c r="F214" s="123" t="s">
        <v>196</v>
      </c>
      <c r="G214" s="123" t="s">
        <v>198</v>
      </c>
      <c r="H214" s="124" t="s">
        <v>3905</v>
      </c>
      <c r="I214" s="122">
        <v>46194</v>
      </c>
      <c r="J214" s="123" t="s">
        <v>3906</v>
      </c>
      <c r="K214" s="122">
        <v>46194</v>
      </c>
      <c r="L214" s="123" t="s">
        <v>199</v>
      </c>
      <c r="M214" s="123" t="s">
        <v>2331</v>
      </c>
      <c r="N214" s="124" t="s">
        <v>242</v>
      </c>
      <c r="O214" s="123">
        <v>2770</v>
      </c>
      <c r="P214" s="124">
        <v>0.1</v>
      </c>
      <c r="Q214" s="125">
        <f t="shared" si="559"/>
        <v>277</v>
      </c>
      <c r="R214" s="126">
        <v>0</v>
      </c>
      <c r="S214" s="125">
        <f t="shared" si="560"/>
        <v>2770</v>
      </c>
      <c r="T214" s="126">
        <v>0</v>
      </c>
      <c r="U214" s="127">
        <v>0</v>
      </c>
      <c r="V214" s="128">
        <v>0</v>
      </c>
      <c r="W214" s="127">
        <v>0</v>
      </c>
      <c r="X214" s="129">
        <v>0</v>
      </c>
      <c r="Y214" s="127">
        <v>0</v>
      </c>
      <c r="Z214" s="127">
        <v>0</v>
      </c>
      <c r="AA214" s="126">
        <v>0</v>
      </c>
      <c r="AB214" s="130">
        <f t="shared" si="561"/>
        <v>0</v>
      </c>
      <c r="AC214" s="129">
        <v>0</v>
      </c>
      <c r="AD214" s="125">
        <f t="shared" si="562"/>
        <v>0.1</v>
      </c>
      <c r="AE214" s="144">
        <v>0</v>
      </c>
      <c r="AF214" s="127">
        <v>0</v>
      </c>
      <c r="AG214" s="131">
        <v>0</v>
      </c>
      <c r="AH214" s="127">
        <v>0</v>
      </c>
      <c r="AI214" s="128">
        <v>0</v>
      </c>
      <c r="AJ214" s="127">
        <v>0</v>
      </c>
      <c r="AK214" s="127">
        <v>0</v>
      </c>
      <c r="AL214" s="127">
        <v>0</v>
      </c>
      <c r="AM214" s="132">
        <f t="shared" si="563"/>
        <v>277</v>
      </c>
      <c r="AN214" s="133">
        <v>46194</v>
      </c>
      <c r="AO214" s="134" t="s">
        <v>3964</v>
      </c>
      <c r="AP214" s="135" t="s">
        <v>234</v>
      </c>
      <c r="AQ214" s="136" t="s">
        <v>235</v>
      </c>
      <c r="AR214" s="136" t="s">
        <v>236</v>
      </c>
      <c r="AS214" s="123" t="s">
        <v>237</v>
      </c>
      <c r="AT214" s="137" t="s">
        <v>238</v>
      </c>
      <c r="AU214" s="137" t="s">
        <v>197</v>
      </c>
      <c r="AV214" s="138" t="s">
        <v>329</v>
      </c>
      <c r="AW214" s="136">
        <v>2770</v>
      </c>
      <c r="AX214" s="138">
        <v>1.1000000000000001</v>
      </c>
      <c r="AY214" s="136">
        <f t="shared" si="564"/>
        <v>3047.0000000000005</v>
      </c>
      <c r="AZ214" s="139" t="b">
        <f t="shared" si="565"/>
        <v>1</v>
      </c>
      <c r="BA214" s="125">
        <v>0</v>
      </c>
      <c r="BB214" s="140">
        <f t="shared" si="566"/>
        <v>2770</v>
      </c>
      <c r="BC214" s="141">
        <v>0</v>
      </c>
      <c r="BD214" s="140" t="s">
        <v>107</v>
      </c>
      <c r="BE214" s="141">
        <v>0</v>
      </c>
      <c r="BF214" s="140">
        <v>0</v>
      </c>
      <c r="BG214" s="141">
        <v>0</v>
      </c>
      <c r="BH214" s="127">
        <v>0</v>
      </c>
      <c r="BI214" s="130">
        <v>0</v>
      </c>
      <c r="BJ214" s="128">
        <v>0</v>
      </c>
      <c r="BK214" s="125">
        <v>0</v>
      </c>
      <c r="BL214" s="136">
        <v>0</v>
      </c>
      <c r="BM214" s="127">
        <v>0</v>
      </c>
      <c r="BN214" s="142">
        <f t="shared" si="567"/>
        <v>0</v>
      </c>
      <c r="BO214" s="126">
        <f t="shared" si="568"/>
        <v>3047.0000000000005</v>
      </c>
      <c r="BP214" s="132">
        <f t="shared" si="569"/>
        <v>2770.0000000000005</v>
      </c>
      <c r="BQ214" s="141" t="str">
        <f t="shared" si="570"/>
        <v>Positive Margin</v>
      </c>
      <c r="BR214" s="143" t="s">
        <v>119</v>
      </c>
      <c r="BS214" s="125">
        <f t="shared" si="571"/>
        <v>2770.0000000000005</v>
      </c>
      <c r="BT214" s="144" t="str">
        <f t="shared" si="572"/>
        <v>Positive Margin at Inception</v>
      </c>
      <c r="BU214" s="145">
        <f t="shared" si="573"/>
        <v>0.90909090909090906</v>
      </c>
      <c r="BV214" s="144" t="str">
        <f t="shared" si="574"/>
        <v>More than 2%</v>
      </c>
      <c r="BW214" s="125">
        <f t="shared" si="575"/>
        <v>0</v>
      </c>
      <c r="BX214" s="126">
        <f t="shared" si="576"/>
        <v>0</v>
      </c>
      <c r="BY214" s="125">
        <f t="shared" si="577"/>
        <v>0</v>
      </c>
      <c r="BZ214" s="146">
        <f t="shared" si="578"/>
        <v>0</v>
      </c>
      <c r="CA214" s="146">
        <f t="shared" si="579"/>
        <v>0</v>
      </c>
      <c r="CB214" s="127">
        <f t="shared" si="580"/>
        <v>0</v>
      </c>
      <c r="CC214" s="146" t="s">
        <v>397</v>
      </c>
      <c r="CD214" s="127">
        <v>0</v>
      </c>
      <c r="CE214" s="127" t="str">
        <f t="shared" si="581"/>
        <v>Jun-26</v>
      </c>
      <c r="CF214" s="127">
        <f t="shared" si="582"/>
        <v>277</v>
      </c>
      <c r="CG214" s="127">
        <f t="shared" si="583"/>
        <v>3047.0000000000005</v>
      </c>
      <c r="CH214" s="127">
        <f t="shared" si="584"/>
        <v>12</v>
      </c>
      <c r="CI214" s="147" t="str">
        <f t="shared" si="585"/>
        <v>BG AHD</v>
      </c>
      <c r="CJ214" s="127">
        <v>0</v>
      </c>
      <c r="CK214" s="127">
        <v>0</v>
      </c>
      <c r="CL214" s="127">
        <f t="shared" si="586"/>
        <v>2770.0000000000005</v>
      </c>
      <c r="CM214" s="127">
        <f t="shared" si="587"/>
        <v>2770.0000000000005</v>
      </c>
      <c r="CN214" s="127">
        <f t="shared" si="588"/>
        <v>2770.0000000000005</v>
      </c>
      <c r="CO214" s="127">
        <f t="shared" si="589"/>
        <v>3595.4600000000005</v>
      </c>
      <c r="CP214" s="127">
        <f t="shared" si="590"/>
        <v>-326.85999999999996</v>
      </c>
      <c r="CQ214" s="127">
        <f t="shared" si="591"/>
        <v>0</v>
      </c>
      <c r="CR214" s="127">
        <f t="shared" si="592"/>
        <v>0</v>
      </c>
      <c r="CS214" s="127">
        <f t="shared" si="593"/>
        <v>3268.6000000000004</v>
      </c>
      <c r="CT214" s="127" t="s">
        <v>361</v>
      </c>
      <c r="CU214" s="127" t="s">
        <v>361</v>
      </c>
      <c r="CV214" s="142" t="str">
        <f t="shared" si="594"/>
        <v>AAMCB5608A</v>
      </c>
      <c r="CW214" s="142" t="str">
        <f t="shared" si="595"/>
        <v>BJHPB3107J</v>
      </c>
    </row>
    <row r="215" spans="2:101" s="149" customFormat="1" ht="11.85" customHeight="1" x14ac:dyDescent="0.25">
      <c r="B215" s="120" t="str">
        <f t="shared" si="557"/>
        <v>Q1</v>
      </c>
      <c r="C215" s="121" t="str">
        <f t="shared" si="558"/>
        <v>Jun-26</v>
      </c>
      <c r="D215" s="122">
        <v>46194</v>
      </c>
      <c r="E215" s="123" t="s">
        <v>3904</v>
      </c>
      <c r="F215" s="123" t="s">
        <v>196</v>
      </c>
      <c r="G215" s="123" t="s">
        <v>198</v>
      </c>
      <c r="H215" s="124" t="s">
        <v>3905</v>
      </c>
      <c r="I215" s="122">
        <v>46194</v>
      </c>
      <c r="J215" s="123" t="s">
        <v>3906</v>
      </c>
      <c r="K215" s="122">
        <v>46194</v>
      </c>
      <c r="L215" s="123" t="s">
        <v>199</v>
      </c>
      <c r="M215" s="123" t="s">
        <v>2331</v>
      </c>
      <c r="N215" s="124" t="s">
        <v>243</v>
      </c>
      <c r="O215" s="123">
        <v>55</v>
      </c>
      <c r="P215" s="124">
        <v>60</v>
      </c>
      <c r="Q215" s="125">
        <f t="shared" si="559"/>
        <v>3300</v>
      </c>
      <c r="R215" s="126">
        <v>0</v>
      </c>
      <c r="S215" s="125">
        <f t="shared" si="560"/>
        <v>55</v>
      </c>
      <c r="T215" s="126">
        <v>0</v>
      </c>
      <c r="U215" s="127">
        <v>0</v>
      </c>
      <c r="V215" s="128">
        <v>0</v>
      </c>
      <c r="W215" s="127">
        <v>0</v>
      </c>
      <c r="X215" s="129">
        <v>0</v>
      </c>
      <c r="Y215" s="127">
        <v>0</v>
      </c>
      <c r="Z215" s="127">
        <v>0</v>
      </c>
      <c r="AA215" s="126">
        <v>0</v>
      </c>
      <c r="AB215" s="130">
        <f t="shared" si="561"/>
        <v>0</v>
      </c>
      <c r="AC215" s="129">
        <v>0</v>
      </c>
      <c r="AD215" s="125">
        <f t="shared" si="562"/>
        <v>60</v>
      </c>
      <c r="AE215" s="144">
        <v>0</v>
      </c>
      <c r="AF215" s="127">
        <v>0</v>
      </c>
      <c r="AG215" s="131">
        <v>0</v>
      </c>
      <c r="AH215" s="127">
        <v>0</v>
      </c>
      <c r="AI215" s="128">
        <v>0</v>
      </c>
      <c r="AJ215" s="127">
        <v>0</v>
      </c>
      <c r="AK215" s="127">
        <v>0</v>
      </c>
      <c r="AL215" s="127">
        <v>0</v>
      </c>
      <c r="AM215" s="132">
        <f t="shared" si="563"/>
        <v>3300</v>
      </c>
      <c r="AN215" s="133">
        <v>46194</v>
      </c>
      <c r="AO215" s="134" t="s">
        <v>3964</v>
      </c>
      <c r="AP215" s="135" t="s">
        <v>234</v>
      </c>
      <c r="AQ215" s="136" t="s">
        <v>235</v>
      </c>
      <c r="AR215" s="136" t="s">
        <v>236</v>
      </c>
      <c r="AS215" s="123" t="s">
        <v>237</v>
      </c>
      <c r="AT215" s="137" t="s">
        <v>238</v>
      </c>
      <c r="AU215" s="137" t="s">
        <v>197</v>
      </c>
      <c r="AV215" s="138" t="s">
        <v>329</v>
      </c>
      <c r="AW215" s="136">
        <v>55</v>
      </c>
      <c r="AX215" s="138">
        <v>80</v>
      </c>
      <c r="AY215" s="136">
        <f t="shared" si="564"/>
        <v>4400</v>
      </c>
      <c r="AZ215" s="139" t="b">
        <f t="shared" si="565"/>
        <v>1</v>
      </c>
      <c r="BA215" s="125">
        <v>0</v>
      </c>
      <c r="BB215" s="140">
        <f t="shared" si="566"/>
        <v>55</v>
      </c>
      <c r="BC215" s="141">
        <v>0</v>
      </c>
      <c r="BD215" s="140" t="s">
        <v>107</v>
      </c>
      <c r="BE215" s="141">
        <v>0</v>
      </c>
      <c r="BF215" s="140">
        <v>0</v>
      </c>
      <c r="BG215" s="141">
        <v>0</v>
      </c>
      <c r="BH215" s="127">
        <v>0</v>
      </c>
      <c r="BI215" s="130">
        <v>0</v>
      </c>
      <c r="BJ215" s="128">
        <v>0</v>
      </c>
      <c r="BK215" s="125">
        <v>0</v>
      </c>
      <c r="BL215" s="136">
        <v>0</v>
      </c>
      <c r="BM215" s="127">
        <v>0</v>
      </c>
      <c r="BN215" s="142">
        <f t="shared" si="567"/>
        <v>0</v>
      </c>
      <c r="BO215" s="126">
        <f t="shared" si="568"/>
        <v>4400</v>
      </c>
      <c r="BP215" s="132">
        <f t="shared" si="569"/>
        <v>1100</v>
      </c>
      <c r="BQ215" s="141" t="str">
        <f t="shared" si="570"/>
        <v>Positive Margin</v>
      </c>
      <c r="BR215" s="143" t="s">
        <v>119</v>
      </c>
      <c r="BS215" s="125">
        <f t="shared" si="571"/>
        <v>1100</v>
      </c>
      <c r="BT215" s="144" t="str">
        <f t="shared" si="572"/>
        <v>Positive Margin at Inception</v>
      </c>
      <c r="BU215" s="145">
        <f t="shared" si="573"/>
        <v>0.25</v>
      </c>
      <c r="BV215" s="144" t="str">
        <f t="shared" si="574"/>
        <v>More than 2%</v>
      </c>
      <c r="BW215" s="125">
        <f t="shared" si="575"/>
        <v>0</v>
      </c>
      <c r="BX215" s="126">
        <f t="shared" si="576"/>
        <v>0</v>
      </c>
      <c r="BY215" s="125">
        <f t="shared" si="577"/>
        <v>0</v>
      </c>
      <c r="BZ215" s="146">
        <f t="shared" si="578"/>
        <v>0</v>
      </c>
      <c r="CA215" s="146">
        <f t="shared" si="579"/>
        <v>0</v>
      </c>
      <c r="CB215" s="127">
        <f t="shared" si="580"/>
        <v>0</v>
      </c>
      <c r="CC215" s="146" t="s">
        <v>397</v>
      </c>
      <c r="CD215" s="127">
        <v>0</v>
      </c>
      <c r="CE215" s="127" t="str">
        <f t="shared" si="581"/>
        <v>Jun-26</v>
      </c>
      <c r="CF215" s="127">
        <f t="shared" si="582"/>
        <v>3300</v>
      </c>
      <c r="CG215" s="127">
        <f t="shared" si="583"/>
        <v>4400</v>
      </c>
      <c r="CH215" s="127">
        <f t="shared" si="584"/>
        <v>12</v>
      </c>
      <c r="CI215" s="147" t="str">
        <f t="shared" si="585"/>
        <v>BG AHD</v>
      </c>
      <c r="CJ215" s="127">
        <v>0</v>
      </c>
      <c r="CK215" s="127">
        <v>0</v>
      </c>
      <c r="CL215" s="127">
        <f t="shared" si="586"/>
        <v>1100</v>
      </c>
      <c r="CM215" s="127">
        <f t="shared" si="587"/>
        <v>1100</v>
      </c>
      <c r="CN215" s="127">
        <f t="shared" si="588"/>
        <v>1100</v>
      </c>
      <c r="CO215" s="127">
        <f t="shared" si="589"/>
        <v>5192</v>
      </c>
      <c r="CP215" s="127">
        <f t="shared" si="590"/>
        <v>-3894</v>
      </c>
      <c r="CQ215" s="127">
        <f t="shared" si="591"/>
        <v>0</v>
      </c>
      <c r="CR215" s="127">
        <f t="shared" si="592"/>
        <v>0</v>
      </c>
      <c r="CS215" s="127">
        <f t="shared" si="593"/>
        <v>1298</v>
      </c>
      <c r="CT215" s="127" t="s">
        <v>361</v>
      </c>
      <c r="CU215" s="127" t="s">
        <v>361</v>
      </c>
      <c r="CV215" s="142" t="str">
        <f t="shared" si="594"/>
        <v>AAMCB5608A</v>
      </c>
      <c r="CW215" s="142" t="str">
        <f t="shared" si="595"/>
        <v>BJHPB3107J</v>
      </c>
    </row>
    <row r="216" spans="2:101" s="149" customFormat="1" ht="11.85" customHeight="1" x14ac:dyDescent="0.25">
      <c r="B216" s="120" t="str">
        <f t="shared" si="557"/>
        <v>Q1</v>
      </c>
      <c r="C216" s="121" t="str">
        <f t="shared" si="558"/>
        <v>Jun-26</v>
      </c>
      <c r="D216" s="122">
        <v>46195</v>
      </c>
      <c r="E216" s="123" t="s">
        <v>3907</v>
      </c>
      <c r="F216" s="123" t="s">
        <v>196</v>
      </c>
      <c r="G216" s="123" t="s">
        <v>198</v>
      </c>
      <c r="H216" s="124" t="s">
        <v>3908</v>
      </c>
      <c r="I216" s="122">
        <v>46195</v>
      </c>
      <c r="J216" s="123" t="s">
        <v>3909</v>
      </c>
      <c r="K216" s="122">
        <v>46195</v>
      </c>
      <c r="L216" s="123" t="s">
        <v>199</v>
      </c>
      <c r="M216" s="123" t="s">
        <v>3445</v>
      </c>
      <c r="N216" s="124" t="s">
        <v>204</v>
      </c>
      <c r="O216" s="123">
        <v>6860</v>
      </c>
      <c r="P216" s="124">
        <v>10</v>
      </c>
      <c r="Q216" s="125">
        <f t="shared" si="559"/>
        <v>68600</v>
      </c>
      <c r="R216" s="126">
        <v>0</v>
      </c>
      <c r="S216" s="125">
        <f t="shared" si="560"/>
        <v>6860</v>
      </c>
      <c r="T216" s="126">
        <v>0</v>
      </c>
      <c r="U216" s="127">
        <v>0</v>
      </c>
      <c r="V216" s="128">
        <v>0</v>
      </c>
      <c r="W216" s="127">
        <v>0</v>
      </c>
      <c r="X216" s="129">
        <v>0</v>
      </c>
      <c r="Y216" s="127">
        <v>0</v>
      </c>
      <c r="Z216" s="127">
        <v>0</v>
      </c>
      <c r="AA216" s="126">
        <v>0</v>
      </c>
      <c r="AB216" s="130">
        <f t="shared" si="561"/>
        <v>0</v>
      </c>
      <c r="AC216" s="129">
        <v>0</v>
      </c>
      <c r="AD216" s="125">
        <f t="shared" si="562"/>
        <v>10</v>
      </c>
      <c r="AE216" s="144">
        <v>0</v>
      </c>
      <c r="AF216" s="127">
        <v>0</v>
      </c>
      <c r="AG216" s="131">
        <v>0</v>
      </c>
      <c r="AH216" s="127">
        <v>0</v>
      </c>
      <c r="AI216" s="128">
        <v>0</v>
      </c>
      <c r="AJ216" s="127">
        <v>0</v>
      </c>
      <c r="AK216" s="127">
        <v>0</v>
      </c>
      <c r="AL216" s="127">
        <v>0</v>
      </c>
      <c r="AM216" s="132">
        <f t="shared" si="563"/>
        <v>68600</v>
      </c>
      <c r="AN216" s="133">
        <v>46195</v>
      </c>
      <c r="AO216" s="134" t="s">
        <v>3970</v>
      </c>
      <c r="AP216" s="135" t="s">
        <v>234</v>
      </c>
      <c r="AQ216" s="136" t="s">
        <v>235</v>
      </c>
      <c r="AR216" s="136" t="s">
        <v>236</v>
      </c>
      <c r="AS216" s="123" t="s">
        <v>239</v>
      </c>
      <c r="AT216" s="137" t="s">
        <v>238</v>
      </c>
      <c r="AU216" s="137" t="s">
        <v>197</v>
      </c>
      <c r="AV216" s="138" t="s">
        <v>329</v>
      </c>
      <c r="AW216" s="136">
        <v>6860</v>
      </c>
      <c r="AX216" s="138">
        <v>11</v>
      </c>
      <c r="AY216" s="136">
        <f t="shared" si="564"/>
        <v>75460</v>
      </c>
      <c r="AZ216" s="139" t="b">
        <f t="shared" si="565"/>
        <v>1</v>
      </c>
      <c r="BA216" s="125">
        <v>0</v>
      </c>
      <c r="BB216" s="140">
        <f t="shared" si="566"/>
        <v>6860</v>
      </c>
      <c r="BC216" s="141">
        <v>0</v>
      </c>
      <c r="BD216" s="140" t="s">
        <v>107</v>
      </c>
      <c r="BE216" s="141">
        <v>0</v>
      </c>
      <c r="BF216" s="140">
        <v>0</v>
      </c>
      <c r="BG216" s="141">
        <v>0</v>
      </c>
      <c r="BH216" s="127">
        <v>0</v>
      </c>
      <c r="BI216" s="130">
        <v>0</v>
      </c>
      <c r="BJ216" s="128">
        <v>0</v>
      </c>
      <c r="BK216" s="125">
        <v>0</v>
      </c>
      <c r="BL216" s="136">
        <v>0</v>
      </c>
      <c r="BM216" s="127">
        <v>0</v>
      </c>
      <c r="BN216" s="142">
        <f t="shared" si="567"/>
        <v>0</v>
      </c>
      <c r="BO216" s="126">
        <f t="shared" si="568"/>
        <v>75460</v>
      </c>
      <c r="BP216" s="132">
        <f t="shared" si="569"/>
        <v>6860</v>
      </c>
      <c r="BQ216" s="141" t="str">
        <f t="shared" si="570"/>
        <v>Positive Margin</v>
      </c>
      <c r="BR216" s="143" t="s">
        <v>119</v>
      </c>
      <c r="BS216" s="125">
        <f t="shared" si="571"/>
        <v>6860</v>
      </c>
      <c r="BT216" s="144" t="str">
        <f t="shared" si="572"/>
        <v>Positive Margin at Inception</v>
      </c>
      <c r="BU216" s="145">
        <f t="shared" si="573"/>
        <v>9.0909090909090912E-2</v>
      </c>
      <c r="BV216" s="144" t="str">
        <f t="shared" si="574"/>
        <v>More than 2%</v>
      </c>
      <c r="BW216" s="125">
        <f t="shared" si="575"/>
        <v>0</v>
      </c>
      <c r="BX216" s="126">
        <f t="shared" si="576"/>
        <v>0</v>
      </c>
      <c r="BY216" s="125">
        <f t="shared" si="577"/>
        <v>0</v>
      </c>
      <c r="BZ216" s="146">
        <f t="shared" si="578"/>
        <v>0</v>
      </c>
      <c r="CA216" s="146">
        <f t="shared" si="579"/>
        <v>0</v>
      </c>
      <c r="CB216" s="127">
        <f t="shared" si="580"/>
        <v>0</v>
      </c>
      <c r="CC216" s="146" t="s">
        <v>397</v>
      </c>
      <c r="CD216" s="127">
        <v>0</v>
      </c>
      <c r="CE216" s="127" t="str">
        <f t="shared" si="581"/>
        <v>Jun-26</v>
      </c>
      <c r="CF216" s="127">
        <f t="shared" si="582"/>
        <v>68600</v>
      </c>
      <c r="CG216" s="127">
        <f t="shared" si="583"/>
        <v>75460</v>
      </c>
      <c r="CH216" s="127">
        <f t="shared" si="584"/>
        <v>12</v>
      </c>
      <c r="CI216" s="147" t="str">
        <f t="shared" si="585"/>
        <v>BG AHD</v>
      </c>
      <c r="CJ216" s="127">
        <v>0</v>
      </c>
      <c r="CK216" s="127">
        <v>0</v>
      </c>
      <c r="CL216" s="127">
        <f t="shared" si="586"/>
        <v>6860</v>
      </c>
      <c r="CM216" s="127">
        <f t="shared" si="587"/>
        <v>6860</v>
      </c>
      <c r="CN216" s="127">
        <f t="shared" si="588"/>
        <v>6860</v>
      </c>
      <c r="CO216" s="127">
        <f t="shared" si="589"/>
        <v>89042.799999999988</v>
      </c>
      <c r="CP216" s="127">
        <f t="shared" si="590"/>
        <v>-80948</v>
      </c>
      <c r="CQ216" s="127">
        <f t="shared" si="591"/>
        <v>0</v>
      </c>
      <c r="CR216" s="127">
        <f t="shared" si="592"/>
        <v>0</v>
      </c>
      <c r="CS216" s="127">
        <f t="shared" si="593"/>
        <v>8094.7999999999884</v>
      </c>
      <c r="CT216" s="127" t="s">
        <v>361</v>
      </c>
      <c r="CU216" s="127" t="s">
        <v>361</v>
      </c>
      <c r="CV216" s="142" t="str">
        <f t="shared" si="594"/>
        <v>AAMCB5608A</v>
      </c>
      <c r="CW216" s="142" t="str">
        <f t="shared" si="595"/>
        <v>BJHPB3107J</v>
      </c>
    </row>
    <row r="217" spans="2:101" s="149" customFormat="1" ht="11.85" customHeight="1" x14ac:dyDescent="0.25">
      <c r="B217" s="120" t="str">
        <f t="shared" si="557"/>
        <v>Q1</v>
      </c>
      <c r="C217" s="121" t="str">
        <f t="shared" si="558"/>
        <v>Jun-26</v>
      </c>
      <c r="D217" s="122">
        <v>46195</v>
      </c>
      <c r="E217" s="123" t="s">
        <v>3910</v>
      </c>
      <c r="F217" s="123" t="s">
        <v>196</v>
      </c>
      <c r="G217" s="123" t="s">
        <v>198</v>
      </c>
      <c r="H217" s="124" t="s">
        <v>3911</v>
      </c>
      <c r="I217" s="122">
        <v>46195</v>
      </c>
      <c r="J217" s="123" t="s">
        <v>3912</v>
      </c>
      <c r="K217" s="122">
        <v>46195</v>
      </c>
      <c r="L217" s="123" t="s">
        <v>199</v>
      </c>
      <c r="M217" s="123" t="s">
        <v>202</v>
      </c>
      <c r="N217" s="124" t="s">
        <v>3089</v>
      </c>
      <c r="O217" s="123">
        <v>4320</v>
      </c>
      <c r="P217" s="124">
        <v>16.100000000000001</v>
      </c>
      <c r="Q217" s="125">
        <f t="shared" si="559"/>
        <v>69552</v>
      </c>
      <c r="R217" s="126">
        <v>0</v>
      </c>
      <c r="S217" s="125">
        <f t="shared" si="560"/>
        <v>4320</v>
      </c>
      <c r="T217" s="126">
        <v>0</v>
      </c>
      <c r="U217" s="127">
        <v>0</v>
      </c>
      <c r="V217" s="128">
        <v>0</v>
      </c>
      <c r="W217" s="127">
        <v>0</v>
      </c>
      <c r="X217" s="129">
        <v>0</v>
      </c>
      <c r="Y217" s="127">
        <v>0</v>
      </c>
      <c r="Z217" s="127">
        <v>0</v>
      </c>
      <c r="AA217" s="126">
        <v>0</v>
      </c>
      <c r="AB217" s="130">
        <f t="shared" si="561"/>
        <v>0</v>
      </c>
      <c r="AC217" s="129">
        <v>0</v>
      </c>
      <c r="AD217" s="125">
        <f t="shared" si="562"/>
        <v>16.100000000000001</v>
      </c>
      <c r="AE217" s="144">
        <v>0</v>
      </c>
      <c r="AF217" s="127">
        <v>0</v>
      </c>
      <c r="AG217" s="131">
        <v>0</v>
      </c>
      <c r="AH217" s="127">
        <v>0</v>
      </c>
      <c r="AI217" s="128">
        <v>0</v>
      </c>
      <c r="AJ217" s="127">
        <v>0</v>
      </c>
      <c r="AK217" s="127">
        <v>0</v>
      </c>
      <c r="AL217" s="127">
        <v>0</v>
      </c>
      <c r="AM217" s="132">
        <f t="shared" si="563"/>
        <v>69552</v>
      </c>
      <c r="AN217" s="133">
        <v>46195</v>
      </c>
      <c r="AO217" s="134" t="s">
        <v>3968</v>
      </c>
      <c r="AP217" s="135" t="s">
        <v>234</v>
      </c>
      <c r="AQ217" s="136" t="s">
        <v>235</v>
      </c>
      <c r="AR217" s="136" t="s">
        <v>236</v>
      </c>
      <c r="AS217" s="123" t="s">
        <v>2005</v>
      </c>
      <c r="AT217" s="137" t="s">
        <v>238</v>
      </c>
      <c r="AU217" s="137" t="s">
        <v>197</v>
      </c>
      <c r="AV217" s="138" t="s">
        <v>329</v>
      </c>
      <c r="AW217" s="136">
        <v>4320</v>
      </c>
      <c r="AX217" s="138">
        <v>20</v>
      </c>
      <c r="AY217" s="136">
        <f t="shared" si="564"/>
        <v>86400</v>
      </c>
      <c r="AZ217" s="139" t="b">
        <f t="shared" si="565"/>
        <v>1</v>
      </c>
      <c r="BA217" s="125">
        <v>0</v>
      </c>
      <c r="BB217" s="140">
        <f t="shared" si="566"/>
        <v>4320</v>
      </c>
      <c r="BC217" s="141">
        <v>0</v>
      </c>
      <c r="BD217" s="140" t="s">
        <v>107</v>
      </c>
      <c r="BE217" s="141">
        <v>0</v>
      </c>
      <c r="BF217" s="140">
        <v>0</v>
      </c>
      <c r="BG217" s="141">
        <v>0</v>
      </c>
      <c r="BH217" s="127">
        <v>0</v>
      </c>
      <c r="BI217" s="130">
        <v>0</v>
      </c>
      <c r="BJ217" s="128">
        <v>0</v>
      </c>
      <c r="BK217" s="125">
        <v>0</v>
      </c>
      <c r="BL217" s="136">
        <v>0</v>
      </c>
      <c r="BM217" s="127">
        <v>0</v>
      </c>
      <c r="BN217" s="142">
        <f t="shared" si="567"/>
        <v>0</v>
      </c>
      <c r="BO217" s="126">
        <f t="shared" si="568"/>
        <v>86400</v>
      </c>
      <c r="BP217" s="132">
        <f t="shared" si="569"/>
        <v>16848</v>
      </c>
      <c r="BQ217" s="141" t="str">
        <f t="shared" si="570"/>
        <v>Positive Margin</v>
      </c>
      <c r="BR217" s="143" t="s">
        <v>119</v>
      </c>
      <c r="BS217" s="125">
        <f t="shared" si="571"/>
        <v>16848</v>
      </c>
      <c r="BT217" s="144" t="str">
        <f t="shared" si="572"/>
        <v>Positive Margin at Inception</v>
      </c>
      <c r="BU217" s="145">
        <f t="shared" si="573"/>
        <v>0.19500000000000001</v>
      </c>
      <c r="BV217" s="144" t="str">
        <f t="shared" si="574"/>
        <v>More than 2%</v>
      </c>
      <c r="BW217" s="125">
        <f t="shared" si="575"/>
        <v>0</v>
      </c>
      <c r="BX217" s="126">
        <f t="shared" si="576"/>
        <v>0</v>
      </c>
      <c r="BY217" s="125">
        <f t="shared" si="577"/>
        <v>0</v>
      </c>
      <c r="BZ217" s="146">
        <f t="shared" si="578"/>
        <v>0</v>
      </c>
      <c r="CA217" s="146">
        <f t="shared" si="579"/>
        <v>0</v>
      </c>
      <c r="CB217" s="127">
        <f t="shared" si="580"/>
        <v>0</v>
      </c>
      <c r="CC217" s="146" t="s">
        <v>397</v>
      </c>
      <c r="CD217" s="127">
        <v>0</v>
      </c>
      <c r="CE217" s="127" t="str">
        <f t="shared" si="581"/>
        <v>Jun-26</v>
      </c>
      <c r="CF217" s="127">
        <f t="shared" si="582"/>
        <v>69552</v>
      </c>
      <c r="CG217" s="127">
        <f t="shared" si="583"/>
        <v>86400</v>
      </c>
      <c r="CH217" s="127">
        <f t="shared" si="584"/>
        <v>12</v>
      </c>
      <c r="CI217" s="147" t="str">
        <f t="shared" si="585"/>
        <v>BG AHD</v>
      </c>
      <c r="CJ217" s="127">
        <v>0</v>
      </c>
      <c r="CK217" s="127">
        <v>0</v>
      </c>
      <c r="CL217" s="127">
        <f t="shared" si="586"/>
        <v>16848</v>
      </c>
      <c r="CM217" s="127">
        <f t="shared" si="587"/>
        <v>16848</v>
      </c>
      <c r="CN217" s="127">
        <f t="shared" si="588"/>
        <v>16848</v>
      </c>
      <c r="CO217" s="127">
        <f t="shared" si="589"/>
        <v>101952</v>
      </c>
      <c r="CP217" s="127">
        <f t="shared" si="590"/>
        <v>-82071.360000000001</v>
      </c>
      <c r="CQ217" s="127">
        <f t="shared" si="591"/>
        <v>0</v>
      </c>
      <c r="CR217" s="127">
        <f t="shared" si="592"/>
        <v>0</v>
      </c>
      <c r="CS217" s="127">
        <f t="shared" si="593"/>
        <v>19880.64</v>
      </c>
      <c r="CT217" s="127" t="s">
        <v>361</v>
      </c>
      <c r="CU217" s="127" t="s">
        <v>361</v>
      </c>
      <c r="CV217" s="142" t="str">
        <f t="shared" si="594"/>
        <v>AAMCB5608A</v>
      </c>
      <c r="CW217" s="142" t="str">
        <f t="shared" si="595"/>
        <v>BJHPB3107J</v>
      </c>
    </row>
    <row r="218" spans="2:101" s="149" customFormat="1" ht="11.85" customHeight="1" x14ac:dyDescent="0.25">
      <c r="B218" s="120" t="str">
        <f t="shared" si="557"/>
        <v>Q1</v>
      </c>
      <c r="C218" s="121" t="str">
        <f t="shared" si="558"/>
        <v>Jun-26</v>
      </c>
      <c r="D218" s="122">
        <v>46195</v>
      </c>
      <c r="E218" s="123" t="s">
        <v>3913</v>
      </c>
      <c r="F218" s="123" t="s">
        <v>196</v>
      </c>
      <c r="G218" s="123" t="s">
        <v>198</v>
      </c>
      <c r="H218" s="124" t="s">
        <v>3914</v>
      </c>
      <c r="I218" s="122">
        <v>46195</v>
      </c>
      <c r="J218" s="123" t="s">
        <v>3915</v>
      </c>
      <c r="K218" s="122">
        <v>46195</v>
      </c>
      <c r="L218" s="123" t="s">
        <v>199</v>
      </c>
      <c r="M218" s="123" t="s">
        <v>3916</v>
      </c>
      <c r="N218" s="124" t="s">
        <v>204</v>
      </c>
      <c r="O218" s="123">
        <v>7600</v>
      </c>
      <c r="P218" s="124">
        <v>10</v>
      </c>
      <c r="Q218" s="125">
        <f t="shared" si="559"/>
        <v>76000</v>
      </c>
      <c r="R218" s="126">
        <v>0</v>
      </c>
      <c r="S218" s="125">
        <f t="shared" si="560"/>
        <v>7600</v>
      </c>
      <c r="T218" s="126">
        <v>0</v>
      </c>
      <c r="U218" s="127">
        <v>0</v>
      </c>
      <c r="V218" s="128">
        <v>0</v>
      </c>
      <c r="W218" s="127">
        <v>0</v>
      </c>
      <c r="X218" s="129">
        <v>0</v>
      </c>
      <c r="Y218" s="127">
        <v>0</v>
      </c>
      <c r="Z218" s="127">
        <v>0</v>
      </c>
      <c r="AA218" s="126">
        <v>0</v>
      </c>
      <c r="AB218" s="130">
        <f t="shared" si="561"/>
        <v>0</v>
      </c>
      <c r="AC218" s="129">
        <v>0</v>
      </c>
      <c r="AD218" s="125">
        <f t="shared" si="562"/>
        <v>10</v>
      </c>
      <c r="AE218" s="144">
        <v>0</v>
      </c>
      <c r="AF218" s="127">
        <v>0</v>
      </c>
      <c r="AG218" s="131">
        <v>0</v>
      </c>
      <c r="AH218" s="127">
        <v>0</v>
      </c>
      <c r="AI218" s="128">
        <v>0</v>
      </c>
      <c r="AJ218" s="127">
        <v>0</v>
      </c>
      <c r="AK218" s="127">
        <v>0</v>
      </c>
      <c r="AL218" s="127">
        <v>0</v>
      </c>
      <c r="AM218" s="132">
        <f t="shared" si="563"/>
        <v>76000</v>
      </c>
      <c r="AN218" s="133">
        <v>46195</v>
      </c>
      <c r="AO218" s="134" t="s">
        <v>3972</v>
      </c>
      <c r="AP218" s="135" t="s">
        <v>234</v>
      </c>
      <c r="AQ218" s="136" t="s">
        <v>235</v>
      </c>
      <c r="AR218" s="136" t="s">
        <v>236</v>
      </c>
      <c r="AS218" s="123" t="s">
        <v>237</v>
      </c>
      <c r="AT218" s="137" t="s">
        <v>238</v>
      </c>
      <c r="AU218" s="137" t="s">
        <v>197</v>
      </c>
      <c r="AV218" s="138" t="s">
        <v>329</v>
      </c>
      <c r="AW218" s="136">
        <v>7600</v>
      </c>
      <c r="AX218" s="138">
        <v>11</v>
      </c>
      <c r="AY218" s="136">
        <f t="shared" si="564"/>
        <v>83600</v>
      </c>
      <c r="AZ218" s="139" t="b">
        <f t="shared" si="565"/>
        <v>1</v>
      </c>
      <c r="BA218" s="125">
        <v>0</v>
      </c>
      <c r="BB218" s="140">
        <f t="shared" si="566"/>
        <v>7600</v>
      </c>
      <c r="BC218" s="141">
        <v>0</v>
      </c>
      <c r="BD218" s="140" t="s">
        <v>107</v>
      </c>
      <c r="BE218" s="141">
        <v>0</v>
      </c>
      <c r="BF218" s="140">
        <v>0</v>
      </c>
      <c r="BG218" s="141">
        <v>0</v>
      </c>
      <c r="BH218" s="127">
        <v>0</v>
      </c>
      <c r="BI218" s="130">
        <v>0</v>
      </c>
      <c r="BJ218" s="128">
        <v>0</v>
      </c>
      <c r="BK218" s="125">
        <v>0</v>
      </c>
      <c r="BL218" s="136">
        <v>0</v>
      </c>
      <c r="BM218" s="127">
        <v>0</v>
      </c>
      <c r="BN218" s="142">
        <f t="shared" si="567"/>
        <v>0</v>
      </c>
      <c r="BO218" s="126">
        <f t="shared" si="568"/>
        <v>83600</v>
      </c>
      <c r="BP218" s="132">
        <f t="shared" si="569"/>
        <v>7600</v>
      </c>
      <c r="BQ218" s="141" t="str">
        <f t="shared" si="570"/>
        <v>Positive Margin</v>
      </c>
      <c r="BR218" s="143" t="s">
        <v>119</v>
      </c>
      <c r="BS218" s="125">
        <f t="shared" si="571"/>
        <v>7600</v>
      </c>
      <c r="BT218" s="144" t="str">
        <f t="shared" si="572"/>
        <v>Positive Margin at Inception</v>
      </c>
      <c r="BU218" s="145">
        <f t="shared" si="573"/>
        <v>9.0909090909090912E-2</v>
      </c>
      <c r="BV218" s="144" t="str">
        <f t="shared" si="574"/>
        <v>More than 2%</v>
      </c>
      <c r="BW218" s="125">
        <f t="shared" si="575"/>
        <v>0</v>
      </c>
      <c r="BX218" s="126">
        <f t="shared" si="576"/>
        <v>0</v>
      </c>
      <c r="BY218" s="125">
        <f t="shared" si="577"/>
        <v>0</v>
      </c>
      <c r="BZ218" s="146">
        <f t="shared" si="578"/>
        <v>0</v>
      </c>
      <c r="CA218" s="146">
        <f t="shared" si="579"/>
        <v>0</v>
      </c>
      <c r="CB218" s="127">
        <f t="shared" si="580"/>
        <v>0</v>
      </c>
      <c r="CC218" s="146" t="s">
        <v>397</v>
      </c>
      <c r="CD218" s="127">
        <v>0</v>
      </c>
      <c r="CE218" s="127" t="str">
        <f t="shared" si="581"/>
        <v>Jun-26</v>
      </c>
      <c r="CF218" s="127">
        <f t="shared" si="582"/>
        <v>76000</v>
      </c>
      <c r="CG218" s="127">
        <f t="shared" si="583"/>
        <v>83600</v>
      </c>
      <c r="CH218" s="127">
        <f t="shared" si="584"/>
        <v>12</v>
      </c>
      <c r="CI218" s="147" t="str">
        <f t="shared" si="585"/>
        <v>BG AHD</v>
      </c>
      <c r="CJ218" s="127">
        <v>0</v>
      </c>
      <c r="CK218" s="127">
        <v>0</v>
      </c>
      <c r="CL218" s="127">
        <f t="shared" si="586"/>
        <v>7600</v>
      </c>
      <c r="CM218" s="127">
        <f t="shared" si="587"/>
        <v>7600</v>
      </c>
      <c r="CN218" s="127">
        <f t="shared" si="588"/>
        <v>7600</v>
      </c>
      <c r="CO218" s="127">
        <f t="shared" si="589"/>
        <v>98648</v>
      </c>
      <c r="CP218" s="127">
        <f t="shared" si="590"/>
        <v>-89680</v>
      </c>
      <c r="CQ218" s="127">
        <f t="shared" si="591"/>
        <v>0</v>
      </c>
      <c r="CR218" s="127">
        <f t="shared" si="592"/>
        <v>0</v>
      </c>
      <c r="CS218" s="127">
        <f t="shared" si="593"/>
        <v>8968</v>
      </c>
      <c r="CT218" s="127" t="s">
        <v>361</v>
      </c>
      <c r="CU218" s="127" t="s">
        <v>361</v>
      </c>
      <c r="CV218" s="142" t="str">
        <f t="shared" si="594"/>
        <v>AAMCB5608A</v>
      </c>
      <c r="CW218" s="142" t="str">
        <f t="shared" si="595"/>
        <v>BJHPB3107J</v>
      </c>
    </row>
    <row r="219" spans="2:101" s="149" customFormat="1" ht="11.85" customHeight="1" x14ac:dyDescent="0.25">
      <c r="B219" s="120" t="str">
        <f t="shared" si="557"/>
        <v>Q1</v>
      </c>
      <c r="C219" s="121" t="str">
        <f t="shared" si="558"/>
        <v>Jun-26</v>
      </c>
      <c r="D219" s="122">
        <v>46196</v>
      </c>
      <c r="E219" s="123" t="s">
        <v>3917</v>
      </c>
      <c r="F219" s="123" t="s">
        <v>196</v>
      </c>
      <c r="G219" s="123" t="s">
        <v>198</v>
      </c>
      <c r="H219" s="124" t="s">
        <v>3918</v>
      </c>
      <c r="I219" s="122">
        <v>46196</v>
      </c>
      <c r="J219" s="123" t="s">
        <v>3919</v>
      </c>
      <c r="K219" s="122">
        <v>46196</v>
      </c>
      <c r="L219" s="123" t="s">
        <v>199</v>
      </c>
      <c r="M219" s="123" t="s">
        <v>2331</v>
      </c>
      <c r="N219" s="124" t="s">
        <v>205</v>
      </c>
      <c r="O219" s="123">
        <v>760</v>
      </c>
      <c r="P219" s="124">
        <v>12</v>
      </c>
      <c r="Q219" s="125">
        <f t="shared" si="559"/>
        <v>9120</v>
      </c>
      <c r="R219" s="126">
        <v>0</v>
      </c>
      <c r="S219" s="125">
        <f t="shared" si="560"/>
        <v>760</v>
      </c>
      <c r="T219" s="126">
        <v>0</v>
      </c>
      <c r="U219" s="127">
        <v>0</v>
      </c>
      <c r="V219" s="128">
        <v>0</v>
      </c>
      <c r="W219" s="127">
        <v>0</v>
      </c>
      <c r="X219" s="129">
        <v>0</v>
      </c>
      <c r="Y219" s="127">
        <v>0</v>
      </c>
      <c r="Z219" s="127">
        <v>0</v>
      </c>
      <c r="AA219" s="126">
        <v>0</v>
      </c>
      <c r="AB219" s="130">
        <f t="shared" si="561"/>
        <v>0</v>
      </c>
      <c r="AC219" s="129">
        <v>0</v>
      </c>
      <c r="AD219" s="125">
        <f t="shared" si="562"/>
        <v>12</v>
      </c>
      <c r="AE219" s="144">
        <v>0</v>
      </c>
      <c r="AF219" s="127">
        <v>0</v>
      </c>
      <c r="AG219" s="131">
        <v>0</v>
      </c>
      <c r="AH219" s="127">
        <v>0</v>
      </c>
      <c r="AI219" s="128">
        <v>0</v>
      </c>
      <c r="AJ219" s="127">
        <v>0</v>
      </c>
      <c r="AK219" s="127">
        <v>0</v>
      </c>
      <c r="AL219" s="127">
        <v>0</v>
      </c>
      <c r="AM219" s="132">
        <f t="shared" si="563"/>
        <v>9120</v>
      </c>
      <c r="AN219" s="133">
        <v>46196</v>
      </c>
      <c r="AO219" s="134" t="s">
        <v>3973</v>
      </c>
      <c r="AP219" s="135" t="s">
        <v>234</v>
      </c>
      <c r="AQ219" s="136" t="s">
        <v>235</v>
      </c>
      <c r="AR219" s="136" t="s">
        <v>236</v>
      </c>
      <c r="AS219" s="123" t="s">
        <v>239</v>
      </c>
      <c r="AT219" s="137" t="s">
        <v>238</v>
      </c>
      <c r="AU219" s="137" t="s">
        <v>197</v>
      </c>
      <c r="AV219" s="138" t="s">
        <v>329</v>
      </c>
      <c r="AW219" s="136">
        <v>760</v>
      </c>
      <c r="AX219" s="138">
        <v>14</v>
      </c>
      <c r="AY219" s="136">
        <f t="shared" si="564"/>
        <v>10640</v>
      </c>
      <c r="AZ219" s="139" t="b">
        <f t="shared" si="565"/>
        <v>1</v>
      </c>
      <c r="BA219" s="125">
        <v>0</v>
      </c>
      <c r="BB219" s="140">
        <f t="shared" si="566"/>
        <v>760</v>
      </c>
      <c r="BC219" s="141">
        <v>0</v>
      </c>
      <c r="BD219" s="140" t="s">
        <v>107</v>
      </c>
      <c r="BE219" s="141">
        <v>0</v>
      </c>
      <c r="BF219" s="140">
        <v>0</v>
      </c>
      <c r="BG219" s="141">
        <v>0</v>
      </c>
      <c r="BH219" s="127">
        <v>0</v>
      </c>
      <c r="BI219" s="130">
        <v>0</v>
      </c>
      <c r="BJ219" s="128">
        <v>0</v>
      </c>
      <c r="BK219" s="125">
        <v>0</v>
      </c>
      <c r="BL219" s="136">
        <v>0</v>
      </c>
      <c r="BM219" s="127">
        <v>0</v>
      </c>
      <c r="BN219" s="142">
        <f t="shared" si="567"/>
        <v>0</v>
      </c>
      <c r="BO219" s="126">
        <f t="shared" si="568"/>
        <v>10640</v>
      </c>
      <c r="BP219" s="132">
        <f t="shared" si="569"/>
        <v>1520</v>
      </c>
      <c r="BQ219" s="141" t="str">
        <f t="shared" si="570"/>
        <v>Positive Margin</v>
      </c>
      <c r="BR219" s="143" t="s">
        <v>119</v>
      </c>
      <c r="BS219" s="125">
        <f t="shared" si="571"/>
        <v>1520</v>
      </c>
      <c r="BT219" s="144" t="str">
        <f t="shared" si="572"/>
        <v>Positive Margin at Inception</v>
      </c>
      <c r="BU219" s="145">
        <f t="shared" si="573"/>
        <v>0.14285714285714285</v>
      </c>
      <c r="BV219" s="144" t="str">
        <f t="shared" si="574"/>
        <v>More than 2%</v>
      </c>
      <c r="BW219" s="125">
        <f t="shared" si="575"/>
        <v>0</v>
      </c>
      <c r="BX219" s="126">
        <f t="shared" si="576"/>
        <v>0</v>
      </c>
      <c r="BY219" s="125">
        <f t="shared" si="577"/>
        <v>0</v>
      </c>
      <c r="BZ219" s="146">
        <f t="shared" si="578"/>
        <v>0</v>
      </c>
      <c r="CA219" s="146">
        <f t="shared" si="579"/>
        <v>0</v>
      </c>
      <c r="CB219" s="127">
        <f t="shared" si="580"/>
        <v>0</v>
      </c>
      <c r="CC219" s="146" t="s">
        <v>397</v>
      </c>
      <c r="CD219" s="127">
        <v>0</v>
      </c>
      <c r="CE219" s="127" t="str">
        <f t="shared" si="581"/>
        <v>Jun-26</v>
      </c>
      <c r="CF219" s="127">
        <f t="shared" si="582"/>
        <v>9120</v>
      </c>
      <c r="CG219" s="127">
        <f t="shared" si="583"/>
        <v>10640</v>
      </c>
      <c r="CH219" s="127">
        <f t="shared" si="584"/>
        <v>12</v>
      </c>
      <c r="CI219" s="147" t="str">
        <f t="shared" si="585"/>
        <v>BG AHD</v>
      </c>
      <c r="CJ219" s="127">
        <v>0</v>
      </c>
      <c r="CK219" s="127">
        <v>0</v>
      </c>
      <c r="CL219" s="127">
        <f t="shared" si="586"/>
        <v>1520</v>
      </c>
      <c r="CM219" s="127">
        <f t="shared" si="587"/>
        <v>1520</v>
      </c>
      <c r="CN219" s="127">
        <f t="shared" si="588"/>
        <v>1520</v>
      </c>
      <c r="CO219" s="127">
        <f t="shared" si="589"/>
        <v>12555.199999999999</v>
      </c>
      <c r="CP219" s="127">
        <f t="shared" si="590"/>
        <v>-10761.599999999999</v>
      </c>
      <c r="CQ219" s="127">
        <f t="shared" si="591"/>
        <v>0</v>
      </c>
      <c r="CR219" s="127">
        <f t="shared" si="592"/>
        <v>0</v>
      </c>
      <c r="CS219" s="127">
        <f t="shared" si="593"/>
        <v>1793.6000000000004</v>
      </c>
      <c r="CT219" s="127" t="s">
        <v>361</v>
      </c>
      <c r="CU219" s="127" t="s">
        <v>361</v>
      </c>
      <c r="CV219" s="142" t="str">
        <f t="shared" si="594"/>
        <v>AAMCB5608A</v>
      </c>
      <c r="CW219" s="142" t="str">
        <f t="shared" si="595"/>
        <v>BJHPB3107J</v>
      </c>
    </row>
    <row r="220" spans="2:101" s="149" customFormat="1" ht="11.85" customHeight="1" x14ac:dyDescent="0.25">
      <c r="B220" s="120" t="str">
        <f t="shared" si="557"/>
        <v>Q1</v>
      </c>
      <c r="C220" s="121" t="str">
        <f t="shared" si="558"/>
        <v>Jun-26</v>
      </c>
      <c r="D220" s="122">
        <v>46196</v>
      </c>
      <c r="E220" s="123" t="s">
        <v>3917</v>
      </c>
      <c r="F220" s="123" t="s">
        <v>196</v>
      </c>
      <c r="G220" s="123" t="s">
        <v>198</v>
      </c>
      <c r="H220" s="124" t="s">
        <v>3918</v>
      </c>
      <c r="I220" s="122">
        <v>46196</v>
      </c>
      <c r="J220" s="123" t="s">
        <v>3919</v>
      </c>
      <c r="K220" s="122">
        <v>46196</v>
      </c>
      <c r="L220" s="123" t="s">
        <v>199</v>
      </c>
      <c r="M220" s="123" t="s">
        <v>2331</v>
      </c>
      <c r="N220" s="124" t="s">
        <v>258</v>
      </c>
      <c r="O220" s="123">
        <v>1020</v>
      </c>
      <c r="P220" s="124">
        <v>1.1000000000000001</v>
      </c>
      <c r="Q220" s="125">
        <f t="shared" si="559"/>
        <v>1122</v>
      </c>
      <c r="R220" s="126">
        <v>0</v>
      </c>
      <c r="S220" s="125">
        <f t="shared" si="560"/>
        <v>1020</v>
      </c>
      <c r="T220" s="126">
        <v>0</v>
      </c>
      <c r="U220" s="127">
        <v>0</v>
      </c>
      <c r="V220" s="128">
        <v>0</v>
      </c>
      <c r="W220" s="127">
        <v>0</v>
      </c>
      <c r="X220" s="129">
        <v>0</v>
      </c>
      <c r="Y220" s="127">
        <v>0</v>
      </c>
      <c r="Z220" s="127">
        <v>0</v>
      </c>
      <c r="AA220" s="126">
        <v>0</v>
      </c>
      <c r="AB220" s="130">
        <f t="shared" si="561"/>
        <v>0</v>
      </c>
      <c r="AC220" s="129">
        <v>0</v>
      </c>
      <c r="AD220" s="125">
        <f t="shared" si="562"/>
        <v>1.1000000000000001</v>
      </c>
      <c r="AE220" s="144">
        <v>0</v>
      </c>
      <c r="AF220" s="127">
        <v>0</v>
      </c>
      <c r="AG220" s="131">
        <v>0</v>
      </c>
      <c r="AH220" s="127">
        <v>0</v>
      </c>
      <c r="AI220" s="128">
        <v>0</v>
      </c>
      <c r="AJ220" s="127">
        <v>0</v>
      </c>
      <c r="AK220" s="127">
        <v>0</v>
      </c>
      <c r="AL220" s="127">
        <v>0</v>
      </c>
      <c r="AM220" s="132">
        <f t="shared" si="563"/>
        <v>1122</v>
      </c>
      <c r="AN220" s="133">
        <v>46196</v>
      </c>
      <c r="AO220" s="134" t="s">
        <v>3973</v>
      </c>
      <c r="AP220" s="135" t="s">
        <v>234</v>
      </c>
      <c r="AQ220" s="136" t="s">
        <v>235</v>
      </c>
      <c r="AR220" s="136" t="s">
        <v>236</v>
      </c>
      <c r="AS220" s="123" t="s">
        <v>239</v>
      </c>
      <c r="AT220" s="137" t="s">
        <v>238</v>
      </c>
      <c r="AU220" s="137" t="s">
        <v>197</v>
      </c>
      <c r="AV220" s="138" t="s">
        <v>329</v>
      </c>
      <c r="AW220" s="136">
        <v>1020</v>
      </c>
      <c r="AX220" s="138">
        <v>2.1</v>
      </c>
      <c r="AY220" s="136">
        <f t="shared" si="564"/>
        <v>2142</v>
      </c>
      <c r="AZ220" s="139" t="b">
        <f t="shared" si="565"/>
        <v>1</v>
      </c>
      <c r="BA220" s="125">
        <v>0</v>
      </c>
      <c r="BB220" s="140">
        <f t="shared" si="566"/>
        <v>1020</v>
      </c>
      <c r="BC220" s="141">
        <v>0</v>
      </c>
      <c r="BD220" s="140" t="s">
        <v>107</v>
      </c>
      <c r="BE220" s="141">
        <v>0</v>
      </c>
      <c r="BF220" s="140">
        <v>0</v>
      </c>
      <c r="BG220" s="141">
        <v>0</v>
      </c>
      <c r="BH220" s="127">
        <v>0</v>
      </c>
      <c r="BI220" s="130">
        <v>0</v>
      </c>
      <c r="BJ220" s="128">
        <v>0</v>
      </c>
      <c r="BK220" s="125">
        <v>0</v>
      </c>
      <c r="BL220" s="136">
        <v>0</v>
      </c>
      <c r="BM220" s="127">
        <v>0</v>
      </c>
      <c r="BN220" s="142">
        <f t="shared" si="567"/>
        <v>0</v>
      </c>
      <c r="BO220" s="126">
        <f t="shared" si="568"/>
        <v>2142</v>
      </c>
      <c r="BP220" s="132">
        <f t="shared" si="569"/>
        <v>1020</v>
      </c>
      <c r="BQ220" s="141" t="str">
        <f t="shared" si="570"/>
        <v>Positive Margin</v>
      </c>
      <c r="BR220" s="143" t="s">
        <v>119</v>
      </c>
      <c r="BS220" s="125">
        <f t="shared" si="571"/>
        <v>1020</v>
      </c>
      <c r="BT220" s="144" t="str">
        <f t="shared" si="572"/>
        <v>Positive Margin at Inception</v>
      </c>
      <c r="BU220" s="145">
        <f t="shared" si="573"/>
        <v>0.47619047619047616</v>
      </c>
      <c r="BV220" s="144" t="str">
        <f t="shared" si="574"/>
        <v>More than 2%</v>
      </c>
      <c r="BW220" s="125">
        <f t="shared" si="575"/>
        <v>0</v>
      </c>
      <c r="BX220" s="126">
        <f t="shared" si="576"/>
        <v>0</v>
      </c>
      <c r="BY220" s="125">
        <f t="shared" si="577"/>
        <v>0</v>
      </c>
      <c r="BZ220" s="146">
        <f t="shared" si="578"/>
        <v>0</v>
      </c>
      <c r="CA220" s="146">
        <f t="shared" si="579"/>
        <v>0</v>
      </c>
      <c r="CB220" s="127">
        <f t="shared" si="580"/>
        <v>0</v>
      </c>
      <c r="CC220" s="146" t="s">
        <v>397</v>
      </c>
      <c r="CD220" s="127">
        <v>0</v>
      </c>
      <c r="CE220" s="127" t="str">
        <f t="shared" si="581"/>
        <v>Jun-26</v>
      </c>
      <c r="CF220" s="127">
        <f t="shared" si="582"/>
        <v>1122</v>
      </c>
      <c r="CG220" s="127">
        <f t="shared" si="583"/>
        <v>2142</v>
      </c>
      <c r="CH220" s="127">
        <f t="shared" si="584"/>
        <v>12</v>
      </c>
      <c r="CI220" s="147" t="str">
        <f t="shared" si="585"/>
        <v>BG AHD</v>
      </c>
      <c r="CJ220" s="127">
        <v>0</v>
      </c>
      <c r="CK220" s="127">
        <v>0</v>
      </c>
      <c r="CL220" s="127">
        <f t="shared" si="586"/>
        <v>1020</v>
      </c>
      <c r="CM220" s="127">
        <f t="shared" si="587"/>
        <v>1020</v>
      </c>
      <c r="CN220" s="127">
        <f t="shared" si="588"/>
        <v>1020</v>
      </c>
      <c r="CO220" s="127">
        <f t="shared" si="589"/>
        <v>2527.56</v>
      </c>
      <c r="CP220" s="127">
        <f t="shared" si="590"/>
        <v>-1323.96</v>
      </c>
      <c r="CQ220" s="127">
        <f t="shared" si="591"/>
        <v>0</v>
      </c>
      <c r="CR220" s="127">
        <f t="shared" si="592"/>
        <v>0</v>
      </c>
      <c r="CS220" s="127">
        <f t="shared" si="593"/>
        <v>1203.5999999999999</v>
      </c>
      <c r="CT220" s="127" t="s">
        <v>361</v>
      </c>
      <c r="CU220" s="127" t="s">
        <v>361</v>
      </c>
      <c r="CV220" s="142" t="str">
        <f t="shared" si="594"/>
        <v>AAMCB5608A</v>
      </c>
      <c r="CW220" s="142" t="str">
        <f t="shared" si="595"/>
        <v>BJHPB3107J</v>
      </c>
    </row>
    <row r="221" spans="2:101" s="149" customFormat="1" ht="11.85" customHeight="1" x14ac:dyDescent="0.25">
      <c r="B221" s="120" t="str">
        <f t="shared" si="557"/>
        <v>Q1</v>
      </c>
      <c r="C221" s="121" t="str">
        <f t="shared" si="558"/>
        <v>Jun-26</v>
      </c>
      <c r="D221" s="122">
        <v>46196</v>
      </c>
      <c r="E221" s="123" t="s">
        <v>3920</v>
      </c>
      <c r="F221" s="123" t="s">
        <v>196</v>
      </c>
      <c r="G221" s="123" t="s">
        <v>198</v>
      </c>
      <c r="H221" s="124" t="s">
        <v>3921</v>
      </c>
      <c r="I221" s="122">
        <v>46196</v>
      </c>
      <c r="J221" s="123" t="s">
        <v>3922</v>
      </c>
      <c r="K221" s="122">
        <v>46196</v>
      </c>
      <c r="L221" s="123" t="s">
        <v>199</v>
      </c>
      <c r="M221" s="123" t="s">
        <v>3923</v>
      </c>
      <c r="N221" s="124" t="s">
        <v>3924</v>
      </c>
      <c r="O221" s="123">
        <v>5630</v>
      </c>
      <c r="P221" s="124">
        <v>21</v>
      </c>
      <c r="Q221" s="125">
        <f t="shared" si="559"/>
        <v>118230</v>
      </c>
      <c r="R221" s="126">
        <v>0</v>
      </c>
      <c r="S221" s="125">
        <f t="shared" si="560"/>
        <v>5630</v>
      </c>
      <c r="T221" s="126">
        <v>0</v>
      </c>
      <c r="U221" s="127">
        <v>0</v>
      </c>
      <c r="V221" s="128">
        <v>0</v>
      </c>
      <c r="W221" s="127">
        <v>0</v>
      </c>
      <c r="X221" s="129">
        <v>0</v>
      </c>
      <c r="Y221" s="127">
        <v>0</v>
      </c>
      <c r="Z221" s="127">
        <v>0</v>
      </c>
      <c r="AA221" s="126">
        <v>0</v>
      </c>
      <c r="AB221" s="130">
        <f t="shared" si="561"/>
        <v>0</v>
      </c>
      <c r="AC221" s="129">
        <v>0</v>
      </c>
      <c r="AD221" s="125">
        <f t="shared" si="562"/>
        <v>21</v>
      </c>
      <c r="AE221" s="144">
        <v>0</v>
      </c>
      <c r="AF221" s="127">
        <v>0</v>
      </c>
      <c r="AG221" s="131">
        <v>0</v>
      </c>
      <c r="AH221" s="127">
        <v>0</v>
      </c>
      <c r="AI221" s="128">
        <v>0</v>
      </c>
      <c r="AJ221" s="127">
        <v>0</v>
      </c>
      <c r="AK221" s="127">
        <v>0</v>
      </c>
      <c r="AL221" s="127">
        <v>0</v>
      </c>
      <c r="AM221" s="132">
        <f t="shared" si="563"/>
        <v>118230</v>
      </c>
      <c r="AN221" s="133">
        <v>46196</v>
      </c>
      <c r="AO221" s="134" t="s">
        <v>3959</v>
      </c>
      <c r="AP221" s="135" t="s">
        <v>3960</v>
      </c>
      <c r="AQ221" s="136" t="s">
        <v>2812</v>
      </c>
      <c r="AR221" s="136" t="s">
        <v>2813</v>
      </c>
      <c r="AS221" s="123" t="s">
        <v>3961</v>
      </c>
      <c r="AT221" s="137" t="s">
        <v>3962</v>
      </c>
      <c r="AU221" s="137" t="s">
        <v>3963</v>
      </c>
      <c r="AV221" s="138" t="s">
        <v>329</v>
      </c>
      <c r="AW221" s="136">
        <v>5630</v>
      </c>
      <c r="AX221" s="138">
        <v>26</v>
      </c>
      <c r="AY221" s="136">
        <f t="shared" si="564"/>
        <v>146380</v>
      </c>
      <c r="AZ221" s="139" t="b">
        <f t="shared" si="565"/>
        <v>1</v>
      </c>
      <c r="BA221" s="125">
        <v>0</v>
      </c>
      <c r="BB221" s="140">
        <f t="shared" si="566"/>
        <v>5630</v>
      </c>
      <c r="BC221" s="141">
        <v>0</v>
      </c>
      <c r="BD221" s="140" t="s">
        <v>107</v>
      </c>
      <c r="BE221" s="141">
        <v>0</v>
      </c>
      <c r="BF221" s="140">
        <v>0</v>
      </c>
      <c r="BG221" s="141">
        <v>0</v>
      </c>
      <c r="BH221" s="127">
        <v>0</v>
      </c>
      <c r="BI221" s="130">
        <v>0</v>
      </c>
      <c r="BJ221" s="128">
        <v>0</v>
      </c>
      <c r="BK221" s="125">
        <v>0</v>
      </c>
      <c r="BL221" s="136">
        <v>0</v>
      </c>
      <c r="BM221" s="127">
        <v>0</v>
      </c>
      <c r="BN221" s="142">
        <f t="shared" si="567"/>
        <v>0</v>
      </c>
      <c r="BO221" s="126">
        <f t="shared" si="568"/>
        <v>146380</v>
      </c>
      <c r="BP221" s="132">
        <f t="shared" si="569"/>
        <v>28150</v>
      </c>
      <c r="BQ221" s="141" t="str">
        <f t="shared" si="570"/>
        <v>Positive Margin</v>
      </c>
      <c r="BR221" s="143" t="s">
        <v>119</v>
      </c>
      <c r="BS221" s="125">
        <f t="shared" si="571"/>
        <v>28150</v>
      </c>
      <c r="BT221" s="144" t="str">
        <f t="shared" si="572"/>
        <v>Positive Margin at Inception</v>
      </c>
      <c r="BU221" s="145">
        <f t="shared" si="573"/>
        <v>0.19230769230769232</v>
      </c>
      <c r="BV221" s="144" t="str">
        <f t="shared" si="574"/>
        <v>More than 2%</v>
      </c>
      <c r="BW221" s="125">
        <f t="shared" si="575"/>
        <v>0</v>
      </c>
      <c r="BX221" s="126">
        <f t="shared" si="576"/>
        <v>0</v>
      </c>
      <c r="BY221" s="125">
        <f t="shared" si="577"/>
        <v>0</v>
      </c>
      <c r="BZ221" s="146">
        <f t="shared" si="578"/>
        <v>0</v>
      </c>
      <c r="CA221" s="146">
        <f t="shared" si="579"/>
        <v>0</v>
      </c>
      <c r="CB221" s="127">
        <f t="shared" si="580"/>
        <v>0</v>
      </c>
      <c r="CC221" s="146" t="s">
        <v>397</v>
      </c>
      <c r="CD221" s="127">
        <v>0</v>
      </c>
      <c r="CE221" s="127" t="str">
        <f t="shared" si="581"/>
        <v>Jun-26</v>
      </c>
      <c r="CF221" s="127">
        <f t="shared" si="582"/>
        <v>118230</v>
      </c>
      <c r="CG221" s="127">
        <f t="shared" si="583"/>
        <v>146380</v>
      </c>
      <c r="CH221" s="127">
        <f t="shared" si="584"/>
        <v>12</v>
      </c>
      <c r="CI221" s="147" t="str">
        <f t="shared" si="585"/>
        <v>BG AHD</v>
      </c>
      <c r="CJ221" s="127">
        <v>0</v>
      </c>
      <c r="CK221" s="127">
        <v>0</v>
      </c>
      <c r="CL221" s="127">
        <f t="shared" si="586"/>
        <v>28150</v>
      </c>
      <c r="CM221" s="127">
        <f t="shared" si="587"/>
        <v>28150</v>
      </c>
      <c r="CN221" s="127">
        <f t="shared" si="588"/>
        <v>28150</v>
      </c>
      <c r="CO221" s="127">
        <f t="shared" si="589"/>
        <v>172728.4</v>
      </c>
      <c r="CP221" s="127">
        <f t="shared" si="590"/>
        <v>-139511.4</v>
      </c>
      <c r="CQ221" s="127">
        <f t="shared" si="591"/>
        <v>0</v>
      </c>
      <c r="CR221" s="127">
        <f t="shared" si="592"/>
        <v>0</v>
      </c>
      <c r="CS221" s="127">
        <f t="shared" si="593"/>
        <v>33217</v>
      </c>
      <c r="CT221" s="127" t="s">
        <v>361</v>
      </c>
      <c r="CU221" s="127" t="s">
        <v>361</v>
      </c>
      <c r="CV221" s="142" t="str">
        <f t="shared" si="594"/>
        <v>AAMCB5608A</v>
      </c>
      <c r="CW221" s="142" t="str">
        <f t="shared" si="595"/>
        <v>BEXPS4386H</v>
      </c>
    </row>
    <row r="222" spans="2:101" s="149" customFormat="1" ht="11.85" customHeight="1" x14ac:dyDescent="0.25">
      <c r="B222" s="120" t="str">
        <f t="shared" ref="B222:B226" si="596">"Q" &amp; IF(ROUNDUP(MONTH(D222)/3,0)-1=0,4,ROUNDUP(MONTH(D222)/3,0)-1)</f>
        <v>Q1</v>
      </c>
      <c r="C222" s="121" t="str">
        <f t="shared" ref="C222:C226" si="597">TEXT(AN222,"mmm-yy")</f>
        <v>Jun-26</v>
      </c>
      <c r="D222" s="122">
        <v>46197</v>
      </c>
      <c r="E222" s="123" t="s">
        <v>4068</v>
      </c>
      <c r="F222" s="123" t="s">
        <v>196</v>
      </c>
      <c r="G222" s="123" t="s">
        <v>198</v>
      </c>
      <c r="H222" s="124" t="s">
        <v>4069</v>
      </c>
      <c r="I222" s="122">
        <v>46197</v>
      </c>
      <c r="J222" s="123" t="s">
        <v>4070</v>
      </c>
      <c r="K222" s="122">
        <v>46197</v>
      </c>
      <c r="L222" s="123" t="s">
        <v>199</v>
      </c>
      <c r="M222" s="123" t="s">
        <v>2331</v>
      </c>
      <c r="N222" s="124" t="s">
        <v>268</v>
      </c>
      <c r="O222" s="123">
        <v>1000</v>
      </c>
      <c r="P222" s="124">
        <v>125</v>
      </c>
      <c r="Q222" s="125">
        <f t="shared" ref="Q222:Q228" si="598">O222*P222</f>
        <v>125000</v>
      </c>
      <c r="R222" s="126">
        <v>0</v>
      </c>
      <c r="S222" s="125">
        <f t="shared" ref="S222:S226" si="599">O222-R222</f>
        <v>1000</v>
      </c>
      <c r="T222" s="126">
        <v>0</v>
      </c>
      <c r="U222" s="127">
        <v>0</v>
      </c>
      <c r="V222" s="128">
        <v>0</v>
      </c>
      <c r="W222" s="127">
        <v>0</v>
      </c>
      <c r="X222" s="129">
        <v>0</v>
      </c>
      <c r="Y222" s="127">
        <v>0</v>
      </c>
      <c r="Z222" s="127">
        <v>0</v>
      </c>
      <c r="AA222" s="126">
        <v>0</v>
      </c>
      <c r="AB222" s="130">
        <f t="shared" ref="AB222:AB226" si="600">Y222+AA222+Z222</f>
        <v>0</v>
      </c>
      <c r="AC222" s="129">
        <v>0</v>
      </c>
      <c r="AD222" s="125">
        <f t="shared" ref="AD222:AD226" si="601">Q222/O222</f>
        <v>125</v>
      </c>
      <c r="AE222" s="144">
        <v>0</v>
      </c>
      <c r="AF222" s="127">
        <v>0</v>
      </c>
      <c r="AG222" s="131">
        <v>0</v>
      </c>
      <c r="AH222" s="127">
        <v>0</v>
      </c>
      <c r="AI222" s="128">
        <v>0</v>
      </c>
      <c r="AJ222" s="127">
        <v>0</v>
      </c>
      <c r="AK222" s="127">
        <v>0</v>
      </c>
      <c r="AL222" s="127">
        <v>0</v>
      </c>
      <c r="AM222" s="132">
        <f t="shared" ref="AM222:AM226" si="602">Q222+AB222+AL222+AK222+AJ222+T222+AE222</f>
        <v>125000</v>
      </c>
      <c r="AN222" s="133">
        <v>46197</v>
      </c>
      <c r="AO222" s="134" t="s">
        <v>4082</v>
      </c>
      <c r="AP222" s="135" t="s">
        <v>234</v>
      </c>
      <c r="AQ222" s="136" t="s">
        <v>235</v>
      </c>
      <c r="AR222" s="136" t="s">
        <v>236</v>
      </c>
      <c r="AS222" s="123" t="s">
        <v>237</v>
      </c>
      <c r="AT222" s="137" t="s">
        <v>238</v>
      </c>
      <c r="AU222" s="137" t="s">
        <v>197</v>
      </c>
      <c r="AV222" s="138" t="s">
        <v>329</v>
      </c>
      <c r="AW222" s="136">
        <v>1000</v>
      </c>
      <c r="AX222" s="138">
        <v>130</v>
      </c>
      <c r="AY222" s="136">
        <f t="shared" ref="AY222:AY228" si="603">AW222*AX222</f>
        <v>130000</v>
      </c>
      <c r="AZ222" s="139" t="b">
        <f t="shared" ref="AZ222:AZ228" si="604">AW222=O222</f>
        <v>1</v>
      </c>
      <c r="BA222" s="125">
        <v>0</v>
      </c>
      <c r="BB222" s="140">
        <f t="shared" ref="BB222:BB226" si="605">AW222-BA222</f>
        <v>1000</v>
      </c>
      <c r="BC222" s="141">
        <v>0</v>
      </c>
      <c r="BD222" s="140" t="s">
        <v>107</v>
      </c>
      <c r="BE222" s="141">
        <v>0</v>
      </c>
      <c r="BF222" s="140">
        <v>0</v>
      </c>
      <c r="BG222" s="141">
        <v>0</v>
      </c>
      <c r="BH222" s="127">
        <v>0</v>
      </c>
      <c r="BI222" s="130">
        <v>0</v>
      </c>
      <c r="BJ222" s="128">
        <v>0</v>
      </c>
      <c r="BK222" s="125">
        <v>0</v>
      </c>
      <c r="BL222" s="136">
        <v>0</v>
      </c>
      <c r="BM222" s="127">
        <v>0</v>
      </c>
      <c r="BN222" s="142">
        <f t="shared" ref="BN222:BN226" si="606">AY222*$BN$3</f>
        <v>0</v>
      </c>
      <c r="BO222" s="126">
        <f t="shared" ref="BO222:BO226" si="607">AY222+BL222+BM222+BN222+BC222+BG222</f>
        <v>130000</v>
      </c>
      <c r="BP222" s="132">
        <f t="shared" ref="BP222:BP226" si="608">BO222-AM222</f>
        <v>5000</v>
      </c>
      <c r="BQ222" s="141" t="str">
        <f t="shared" ref="BQ222:BQ226" si="609">IF(BP222&gt;=0,"Positive Margin","Negative Margin")</f>
        <v>Positive Margin</v>
      </c>
      <c r="BR222" s="143" t="s">
        <v>119</v>
      </c>
      <c r="BS222" s="125">
        <f t="shared" ref="BS222:BS228" si="610">AY222-Y222-Q222-AA222-T222+BC222</f>
        <v>5000</v>
      </c>
      <c r="BT222" s="144" t="str">
        <f t="shared" ref="BT222:BT226" si="611">IF(BS222&lt;0, "Negative Margin at Inception", "Positive Margin at Inception")</f>
        <v>Positive Margin at Inception</v>
      </c>
      <c r="BU222" s="145">
        <f t="shared" ref="BU222:BU226" si="612">IFERROR(BP222/BO222,"0")</f>
        <v>3.8461538461538464E-2</v>
      </c>
      <c r="BV222" s="144" t="str">
        <f t="shared" ref="BV222:BV226" si="613">IF(BU222&lt;1%,"Less Than 1%",IF(BU222&gt;2%,"More than 2%",IF(BU222&gt;=1%,"1% - 2%")))</f>
        <v>More than 2%</v>
      </c>
      <c r="BW222" s="125">
        <f t="shared" ref="BW222:BW226" si="614">BM222+BN222</f>
        <v>0</v>
      </c>
      <c r="BX222" s="126">
        <f t="shared" ref="BX222:BX226" si="615">AL222+AK222</f>
        <v>0</v>
      </c>
      <c r="BY222" s="125">
        <f t="shared" ref="BY222:BY226" si="616">BW222-BX222</f>
        <v>0</v>
      </c>
      <c r="BZ222" s="146">
        <f t="shared" ref="BZ222:BZ226" si="617">BM222</f>
        <v>0</v>
      </c>
      <c r="CA222" s="146">
        <f t="shared" ref="CA222:CA226" si="618">AK222</f>
        <v>0</v>
      </c>
      <c r="CB222" s="127">
        <f t="shared" ref="CB222:CB226" si="619">BZ222-CA222</f>
        <v>0</v>
      </c>
      <c r="CC222" s="146" t="s">
        <v>397</v>
      </c>
      <c r="CD222" s="127">
        <v>0</v>
      </c>
      <c r="CE222" s="127" t="str">
        <f t="shared" ref="CE222:CE226" si="620">TEXT(AN222,"mmm-yy")</f>
        <v>Jun-26</v>
      </c>
      <c r="CF222" s="127">
        <f t="shared" ref="CF222:CF226" si="621">AM222-AL222-AA222</f>
        <v>125000</v>
      </c>
      <c r="CG222" s="127">
        <f t="shared" ref="CG222:CG226" si="622">BO222-BN222</f>
        <v>130000</v>
      </c>
      <c r="CH222" s="127">
        <f t="shared" ref="CH222:CH226" si="623">INT((D222- IF(MONTH(D222) &gt;= 4, DATE(YEAR(D222), 4, 1), DATE(YEAR(D222)-1, 4, 1))) / 7) + 1</f>
        <v>13</v>
      </c>
      <c r="CI222" s="147" t="str">
        <f t="shared" ref="CI222:CI226" si="624">IF(F222="BLACK GOLD RECYCLING PRIVATE LIMITED", "BG AHD", "B2B")</f>
        <v>BG AHD</v>
      </c>
      <c r="CJ222" s="127">
        <v>0</v>
      </c>
      <c r="CK222" s="127">
        <v>0</v>
      </c>
      <c r="CL222" s="127">
        <f t="shared" ref="CL222:CL226" si="625">AY222-Q222</f>
        <v>5000</v>
      </c>
      <c r="CM222" s="127">
        <f t="shared" ref="CM222:CM226" si="626">CL222-Y222+Z222</f>
        <v>5000</v>
      </c>
      <c r="CN222" s="127">
        <f t="shared" ref="CN222:CN226" si="627">BO222-AM222</f>
        <v>5000</v>
      </c>
      <c r="CO222" s="127">
        <f t="shared" ref="CO222:CO226" si="628">AY222*118%</f>
        <v>153400</v>
      </c>
      <c r="CP222" s="127">
        <f t="shared" ref="CP222:CP226" si="629">-Q222*118%</f>
        <v>-147500</v>
      </c>
      <c r="CQ222" s="127">
        <f t="shared" ref="CQ222:CQ226" si="630">-BZ222*118%</f>
        <v>0</v>
      </c>
      <c r="CR222" s="127">
        <f t="shared" ref="CR222:CR226" si="631">-CA222*118%</f>
        <v>0</v>
      </c>
      <c r="CS222" s="127">
        <f t="shared" ref="CS222:CS226" si="632">SUM(CO222:CR222)</f>
        <v>5900</v>
      </c>
      <c r="CT222" s="127" t="s">
        <v>361</v>
      </c>
      <c r="CU222" s="127" t="s">
        <v>361</v>
      </c>
      <c r="CV222" s="142" t="str">
        <f t="shared" ref="CV222:CV226" si="633">MID(G222,3,10)</f>
        <v>AAMCB5608A</v>
      </c>
      <c r="CW222" s="142" t="str">
        <f t="shared" ref="CW222:CW226" si="634">MID(AR222,3,10)</f>
        <v>BJHPB3107J</v>
      </c>
    </row>
    <row r="223" spans="2:101" s="149" customFormat="1" ht="11.85" customHeight="1" x14ac:dyDescent="0.25">
      <c r="B223" s="120" t="str">
        <f t="shared" si="596"/>
        <v>Q1</v>
      </c>
      <c r="C223" s="121" t="str">
        <f t="shared" si="597"/>
        <v>Jun-26</v>
      </c>
      <c r="D223" s="122">
        <v>46197</v>
      </c>
      <c r="E223" s="123" t="s">
        <v>4071</v>
      </c>
      <c r="F223" s="123" t="s">
        <v>196</v>
      </c>
      <c r="G223" s="123" t="s">
        <v>198</v>
      </c>
      <c r="H223" s="124" t="s">
        <v>4072</v>
      </c>
      <c r="I223" s="122">
        <v>46197</v>
      </c>
      <c r="J223" s="123" t="s">
        <v>4073</v>
      </c>
      <c r="K223" s="122">
        <v>46197</v>
      </c>
      <c r="L223" s="123" t="s">
        <v>199</v>
      </c>
      <c r="M223" s="123" t="s">
        <v>4074</v>
      </c>
      <c r="N223" s="124" t="s">
        <v>3924</v>
      </c>
      <c r="O223" s="123">
        <v>2470</v>
      </c>
      <c r="P223" s="124">
        <v>21</v>
      </c>
      <c r="Q223" s="125">
        <f t="shared" si="598"/>
        <v>51870</v>
      </c>
      <c r="R223" s="126">
        <v>0</v>
      </c>
      <c r="S223" s="125">
        <f t="shared" si="599"/>
        <v>2470</v>
      </c>
      <c r="T223" s="126">
        <v>0</v>
      </c>
      <c r="U223" s="127">
        <v>0</v>
      </c>
      <c r="V223" s="128">
        <v>0</v>
      </c>
      <c r="W223" s="127">
        <v>0</v>
      </c>
      <c r="X223" s="129">
        <v>0</v>
      </c>
      <c r="Y223" s="127">
        <v>0</v>
      </c>
      <c r="Z223" s="127">
        <v>0</v>
      </c>
      <c r="AA223" s="126">
        <v>0</v>
      </c>
      <c r="AB223" s="130">
        <f t="shared" si="600"/>
        <v>0</v>
      </c>
      <c r="AC223" s="129">
        <v>0</v>
      </c>
      <c r="AD223" s="125">
        <f t="shared" si="601"/>
        <v>21</v>
      </c>
      <c r="AE223" s="144">
        <v>0</v>
      </c>
      <c r="AF223" s="127">
        <v>0</v>
      </c>
      <c r="AG223" s="131">
        <v>0</v>
      </c>
      <c r="AH223" s="127">
        <v>0</v>
      </c>
      <c r="AI223" s="128">
        <v>0</v>
      </c>
      <c r="AJ223" s="127">
        <v>0</v>
      </c>
      <c r="AK223" s="127">
        <v>0</v>
      </c>
      <c r="AL223" s="127">
        <v>0</v>
      </c>
      <c r="AM223" s="132">
        <f t="shared" si="602"/>
        <v>51870</v>
      </c>
      <c r="AN223" s="133">
        <v>46197</v>
      </c>
      <c r="AO223" s="134" t="s">
        <v>4083</v>
      </c>
      <c r="AP223" s="135" t="s">
        <v>3960</v>
      </c>
      <c r="AQ223" s="136" t="s">
        <v>2812</v>
      </c>
      <c r="AR223" s="136" t="s">
        <v>2813</v>
      </c>
      <c r="AS223" s="123" t="s">
        <v>4084</v>
      </c>
      <c r="AT223" s="137" t="s">
        <v>4085</v>
      </c>
      <c r="AU223" s="137" t="s">
        <v>3963</v>
      </c>
      <c r="AV223" s="138" t="s">
        <v>329</v>
      </c>
      <c r="AW223" s="136">
        <v>2470</v>
      </c>
      <c r="AX223" s="138">
        <v>26</v>
      </c>
      <c r="AY223" s="136">
        <f t="shared" si="603"/>
        <v>64220</v>
      </c>
      <c r="AZ223" s="139" t="b">
        <f t="shared" si="604"/>
        <v>1</v>
      </c>
      <c r="BA223" s="125">
        <v>0</v>
      </c>
      <c r="BB223" s="140">
        <f t="shared" si="605"/>
        <v>2470</v>
      </c>
      <c r="BC223" s="141">
        <v>0</v>
      </c>
      <c r="BD223" s="140" t="s">
        <v>107</v>
      </c>
      <c r="BE223" s="141">
        <v>0</v>
      </c>
      <c r="BF223" s="140">
        <v>0</v>
      </c>
      <c r="BG223" s="141">
        <v>0</v>
      </c>
      <c r="BH223" s="127">
        <v>0</v>
      </c>
      <c r="BI223" s="130">
        <v>0</v>
      </c>
      <c r="BJ223" s="128">
        <v>0</v>
      </c>
      <c r="BK223" s="125">
        <v>0</v>
      </c>
      <c r="BL223" s="136">
        <v>0</v>
      </c>
      <c r="BM223" s="127">
        <v>0</v>
      </c>
      <c r="BN223" s="142">
        <f t="shared" si="606"/>
        <v>0</v>
      </c>
      <c r="BO223" s="126">
        <f t="shared" si="607"/>
        <v>64220</v>
      </c>
      <c r="BP223" s="132">
        <f t="shared" si="608"/>
        <v>12350</v>
      </c>
      <c r="BQ223" s="141" t="str">
        <f t="shared" si="609"/>
        <v>Positive Margin</v>
      </c>
      <c r="BR223" s="143" t="s">
        <v>119</v>
      </c>
      <c r="BS223" s="125">
        <f t="shared" si="610"/>
        <v>12350</v>
      </c>
      <c r="BT223" s="144" t="str">
        <f t="shared" si="611"/>
        <v>Positive Margin at Inception</v>
      </c>
      <c r="BU223" s="145">
        <f t="shared" si="612"/>
        <v>0.19230769230769232</v>
      </c>
      <c r="BV223" s="144" t="str">
        <f t="shared" si="613"/>
        <v>More than 2%</v>
      </c>
      <c r="BW223" s="125">
        <f t="shared" si="614"/>
        <v>0</v>
      </c>
      <c r="BX223" s="126">
        <f t="shared" si="615"/>
        <v>0</v>
      </c>
      <c r="BY223" s="125">
        <f t="shared" si="616"/>
        <v>0</v>
      </c>
      <c r="BZ223" s="146">
        <f t="shared" si="617"/>
        <v>0</v>
      </c>
      <c r="CA223" s="146">
        <f t="shared" si="618"/>
        <v>0</v>
      </c>
      <c r="CB223" s="127">
        <f t="shared" si="619"/>
        <v>0</v>
      </c>
      <c r="CC223" s="146" t="s">
        <v>397</v>
      </c>
      <c r="CD223" s="127">
        <v>0</v>
      </c>
      <c r="CE223" s="127" t="str">
        <f t="shared" si="620"/>
        <v>Jun-26</v>
      </c>
      <c r="CF223" s="127">
        <f t="shared" si="621"/>
        <v>51870</v>
      </c>
      <c r="CG223" s="127">
        <f t="shared" si="622"/>
        <v>64220</v>
      </c>
      <c r="CH223" s="127">
        <f t="shared" si="623"/>
        <v>13</v>
      </c>
      <c r="CI223" s="147" t="str">
        <f t="shared" si="624"/>
        <v>BG AHD</v>
      </c>
      <c r="CJ223" s="127">
        <v>0</v>
      </c>
      <c r="CK223" s="127">
        <v>0</v>
      </c>
      <c r="CL223" s="127">
        <f t="shared" si="625"/>
        <v>12350</v>
      </c>
      <c r="CM223" s="127">
        <f t="shared" si="626"/>
        <v>12350</v>
      </c>
      <c r="CN223" s="127">
        <f t="shared" si="627"/>
        <v>12350</v>
      </c>
      <c r="CO223" s="127">
        <f t="shared" si="628"/>
        <v>75779.599999999991</v>
      </c>
      <c r="CP223" s="127">
        <f t="shared" si="629"/>
        <v>-61206.6</v>
      </c>
      <c r="CQ223" s="127">
        <f t="shared" si="630"/>
        <v>0</v>
      </c>
      <c r="CR223" s="127">
        <f t="shared" si="631"/>
        <v>0</v>
      </c>
      <c r="CS223" s="127">
        <f t="shared" si="632"/>
        <v>14572.999999999993</v>
      </c>
      <c r="CT223" s="127" t="s">
        <v>361</v>
      </c>
      <c r="CU223" s="127" t="s">
        <v>361</v>
      </c>
      <c r="CV223" s="142" t="str">
        <f t="shared" si="633"/>
        <v>AAMCB5608A</v>
      </c>
      <c r="CW223" s="142" t="str">
        <f t="shared" si="634"/>
        <v>BEXPS4386H</v>
      </c>
    </row>
    <row r="224" spans="2:101" s="149" customFormat="1" ht="11.85" customHeight="1" x14ac:dyDescent="0.25">
      <c r="B224" s="120" t="str">
        <f t="shared" si="596"/>
        <v>Q1</v>
      </c>
      <c r="C224" s="121" t="str">
        <f t="shared" si="597"/>
        <v>Jun-26</v>
      </c>
      <c r="D224" s="122">
        <v>46197</v>
      </c>
      <c r="E224" s="123" t="s">
        <v>4075</v>
      </c>
      <c r="F224" s="123" t="s">
        <v>196</v>
      </c>
      <c r="G224" s="123" t="s">
        <v>198</v>
      </c>
      <c r="H224" s="124" t="s">
        <v>4076</v>
      </c>
      <c r="I224" s="122">
        <v>46197</v>
      </c>
      <c r="J224" s="123" t="s">
        <v>4077</v>
      </c>
      <c r="K224" s="122">
        <v>46197</v>
      </c>
      <c r="L224" s="123" t="s">
        <v>199</v>
      </c>
      <c r="M224" s="123" t="s">
        <v>4078</v>
      </c>
      <c r="N224" s="124" t="s">
        <v>3384</v>
      </c>
      <c r="O224" s="123">
        <v>3690</v>
      </c>
      <c r="P224" s="124">
        <v>27</v>
      </c>
      <c r="Q224" s="125">
        <f t="shared" si="598"/>
        <v>99630</v>
      </c>
      <c r="R224" s="126">
        <v>0</v>
      </c>
      <c r="S224" s="125">
        <f t="shared" si="599"/>
        <v>3690</v>
      </c>
      <c r="T224" s="126">
        <v>0</v>
      </c>
      <c r="U224" s="127">
        <v>0</v>
      </c>
      <c r="V224" s="128">
        <v>0</v>
      </c>
      <c r="W224" s="127">
        <v>0</v>
      </c>
      <c r="X224" s="129">
        <v>0</v>
      </c>
      <c r="Y224" s="127">
        <v>0</v>
      </c>
      <c r="Z224" s="127">
        <v>0</v>
      </c>
      <c r="AA224" s="126">
        <v>0</v>
      </c>
      <c r="AB224" s="130">
        <f t="shared" si="600"/>
        <v>0</v>
      </c>
      <c r="AC224" s="129">
        <v>0</v>
      </c>
      <c r="AD224" s="125">
        <f t="shared" si="601"/>
        <v>27</v>
      </c>
      <c r="AE224" s="144">
        <v>0</v>
      </c>
      <c r="AF224" s="127">
        <v>0</v>
      </c>
      <c r="AG224" s="131">
        <v>0</v>
      </c>
      <c r="AH224" s="127">
        <v>0</v>
      </c>
      <c r="AI224" s="128">
        <v>0</v>
      </c>
      <c r="AJ224" s="127">
        <v>0</v>
      </c>
      <c r="AK224" s="127">
        <v>0</v>
      </c>
      <c r="AL224" s="127">
        <v>0</v>
      </c>
      <c r="AM224" s="132">
        <f t="shared" si="602"/>
        <v>99630</v>
      </c>
      <c r="AN224" s="133">
        <v>46197</v>
      </c>
      <c r="AO224" s="134" t="s">
        <v>4086</v>
      </c>
      <c r="AP224" s="135" t="s">
        <v>234</v>
      </c>
      <c r="AQ224" s="136" t="s">
        <v>235</v>
      </c>
      <c r="AR224" s="136" t="s">
        <v>236</v>
      </c>
      <c r="AS224" s="123" t="s">
        <v>237</v>
      </c>
      <c r="AT224" s="137" t="s">
        <v>238</v>
      </c>
      <c r="AU224" s="137" t="s">
        <v>197</v>
      </c>
      <c r="AV224" s="138" t="s">
        <v>329</v>
      </c>
      <c r="AW224" s="136">
        <v>3690</v>
      </c>
      <c r="AX224" s="138">
        <v>28</v>
      </c>
      <c r="AY224" s="136">
        <f t="shared" si="603"/>
        <v>103320</v>
      </c>
      <c r="AZ224" s="139" t="b">
        <f t="shared" si="604"/>
        <v>1</v>
      </c>
      <c r="BA224" s="125">
        <v>0</v>
      </c>
      <c r="BB224" s="140">
        <f t="shared" si="605"/>
        <v>3690</v>
      </c>
      <c r="BC224" s="141">
        <v>0</v>
      </c>
      <c r="BD224" s="140" t="s">
        <v>107</v>
      </c>
      <c r="BE224" s="141">
        <v>0</v>
      </c>
      <c r="BF224" s="140">
        <v>0</v>
      </c>
      <c r="BG224" s="141">
        <v>0</v>
      </c>
      <c r="BH224" s="127">
        <v>0</v>
      </c>
      <c r="BI224" s="130">
        <v>0</v>
      </c>
      <c r="BJ224" s="128">
        <v>0</v>
      </c>
      <c r="BK224" s="125">
        <v>0</v>
      </c>
      <c r="BL224" s="136">
        <v>0</v>
      </c>
      <c r="BM224" s="127">
        <v>0</v>
      </c>
      <c r="BN224" s="142">
        <f t="shared" si="606"/>
        <v>0</v>
      </c>
      <c r="BO224" s="126">
        <f t="shared" si="607"/>
        <v>103320</v>
      </c>
      <c r="BP224" s="132">
        <f t="shared" si="608"/>
        <v>3690</v>
      </c>
      <c r="BQ224" s="141" t="str">
        <f t="shared" si="609"/>
        <v>Positive Margin</v>
      </c>
      <c r="BR224" s="143" t="s">
        <v>119</v>
      </c>
      <c r="BS224" s="125">
        <f t="shared" si="610"/>
        <v>3690</v>
      </c>
      <c r="BT224" s="144" t="str">
        <f t="shared" si="611"/>
        <v>Positive Margin at Inception</v>
      </c>
      <c r="BU224" s="145">
        <f t="shared" si="612"/>
        <v>3.5714285714285712E-2</v>
      </c>
      <c r="BV224" s="144" t="str">
        <f t="shared" si="613"/>
        <v>More than 2%</v>
      </c>
      <c r="BW224" s="125">
        <f t="shared" si="614"/>
        <v>0</v>
      </c>
      <c r="BX224" s="126">
        <f t="shared" si="615"/>
        <v>0</v>
      </c>
      <c r="BY224" s="125">
        <f t="shared" si="616"/>
        <v>0</v>
      </c>
      <c r="BZ224" s="146">
        <f t="shared" si="617"/>
        <v>0</v>
      </c>
      <c r="CA224" s="146">
        <f t="shared" si="618"/>
        <v>0</v>
      </c>
      <c r="CB224" s="127">
        <f t="shared" si="619"/>
        <v>0</v>
      </c>
      <c r="CC224" s="146" t="s">
        <v>397</v>
      </c>
      <c r="CD224" s="127">
        <v>0</v>
      </c>
      <c r="CE224" s="127" t="str">
        <f t="shared" si="620"/>
        <v>Jun-26</v>
      </c>
      <c r="CF224" s="127">
        <f t="shared" si="621"/>
        <v>99630</v>
      </c>
      <c r="CG224" s="127">
        <f t="shared" si="622"/>
        <v>103320</v>
      </c>
      <c r="CH224" s="127">
        <f t="shared" si="623"/>
        <v>13</v>
      </c>
      <c r="CI224" s="147" t="str">
        <f t="shared" si="624"/>
        <v>BG AHD</v>
      </c>
      <c r="CJ224" s="127">
        <v>0</v>
      </c>
      <c r="CK224" s="127">
        <v>0</v>
      </c>
      <c r="CL224" s="127">
        <f t="shared" si="625"/>
        <v>3690</v>
      </c>
      <c r="CM224" s="127">
        <f t="shared" si="626"/>
        <v>3690</v>
      </c>
      <c r="CN224" s="127">
        <f t="shared" si="627"/>
        <v>3690</v>
      </c>
      <c r="CO224" s="127">
        <f t="shared" si="628"/>
        <v>121917.59999999999</v>
      </c>
      <c r="CP224" s="127">
        <f t="shared" si="629"/>
        <v>-117563.4</v>
      </c>
      <c r="CQ224" s="127">
        <f t="shared" si="630"/>
        <v>0</v>
      </c>
      <c r="CR224" s="127">
        <f t="shared" si="631"/>
        <v>0</v>
      </c>
      <c r="CS224" s="127">
        <f t="shared" si="632"/>
        <v>4354.1999999999971</v>
      </c>
      <c r="CT224" s="127" t="s">
        <v>361</v>
      </c>
      <c r="CU224" s="127" t="s">
        <v>361</v>
      </c>
      <c r="CV224" s="142" t="str">
        <f t="shared" si="633"/>
        <v>AAMCB5608A</v>
      </c>
      <c r="CW224" s="142" t="str">
        <f t="shared" si="634"/>
        <v>BJHPB3107J</v>
      </c>
    </row>
    <row r="225" spans="2:101" s="149" customFormat="1" ht="11.85" customHeight="1" x14ac:dyDescent="0.25">
      <c r="B225" s="120" t="str">
        <f t="shared" si="596"/>
        <v>Q1</v>
      </c>
      <c r="C225" s="121" t="str">
        <f t="shared" si="597"/>
        <v>Jun-26</v>
      </c>
      <c r="D225" s="122">
        <v>46198</v>
      </c>
      <c r="E225" s="123" t="s">
        <v>4079</v>
      </c>
      <c r="F225" s="123" t="s">
        <v>196</v>
      </c>
      <c r="G225" s="123" t="s">
        <v>198</v>
      </c>
      <c r="H225" s="124" t="s">
        <v>4080</v>
      </c>
      <c r="I225" s="122">
        <v>46198</v>
      </c>
      <c r="J225" s="123" t="s">
        <v>4081</v>
      </c>
      <c r="K225" s="122">
        <v>46198</v>
      </c>
      <c r="L225" s="123" t="s">
        <v>199</v>
      </c>
      <c r="M225" s="123" t="s">
        <v>2331</v>
      </c>
      <c r="N225" s="124" t="s">
        <v>1422</v>
      </c>
      <c r="O225" s="123">
        <v>1720</v>
      </c>
      <c r="P225" s="124">
        <v>13.5</v>
      </c>
      <c r="Q225" s="125">
        <f t="shared" si="598"/>
        <v>23220</v>
      </c>
      <c r="R225" s="126">
        <v>0</v>
      </c>
      <c r="S225" s="125">
        <f t="shared" si="599"/>
        <v>1720</v>
      </c>
      <c r="T225" s="126">
        <v>0</v>
      </c>
      <c r="U225" s="127">
        <v>0</v>
      </c>
      <c r="V225" s="128">
        <v>0</v>
      </c>
      <c r="W225" s="127">
        <v>0</v>
      </c>
      <c r="X225" s="129">
        <v>0</v>
      </c>
      <c r="Y225" s="127">
        <v>0</v>
      </c>
      <c r="Z225" s="127">
        <v>0</v>
      </c>
      <c r="AA225" s="126">
        <v>0</v>
      </c>
      <c r="AB225" s="130">
        <f t="shared" si="600"/>
        <v>0</v>
      </c>
      <c r="AC225" s="129">
        <v>0</v>
      </c>
      <c r="AD225" s="125">
        <f t="shared" si="601"/>
        <v>13.5</v>
      </c>
      <c r="AE225" s="144">
        <v>0</v>
      </c>
      <c r="AF225" s="127">
        <v>0</v>
      </c>
      <c r="AG225" s="131">
        <v>0</v>
      </c>
      <c r="AH225" s="127">
        <v>0</v>
      </c>
      <c r="AI225" s="128">
        <v>0</v>
      </c>
      <c r="AJ225" s="127">
        <v>0</v>
      </c>
      <c r="AK225" s="127">
        <v>0</v>
      </c>
      <c r="AL225" s="127">
        <v>0</v>
      </c>
      <c r="AM225" s="132">
        <f t="shared" si="602"/>
        <v>23220</v>
      </c>
      <c r="AN225" s="133">
        <v>46198</v>
      </c>
      <c r="AO225" s="134" t="s">
        <v>4087</v>
      </c>
      <c r="AP225" s="135" t="s">
        <v>234</v>
      </c>
      <c r="AQ225" s="136" t="s">
        <v>235</v>
      </c>
      <c r="AR225" s="136" t="s">
        <v>236</v>
      </c>
      <c r="AS225" s="123" t="s">
        <v>2005</v>
      </c>
      <c r="AT225" s="137" t="s">
        <v>238</v>
      </c>
      <c r="AU225" s="137" t="s">
        <v>197</v>
      </c>
      <c r="AV225" s="138" t="s">
        <v>329</v>
      </c>
      <c r="AW225" s="136">
        <v>1720</v>
      </c>
      <c r="AX225" s="138">
        <v>17</v>
      </c>
      <c r="AY225" s="136">
        <f t="shared" si="603"/>
        <v>29240</v>
      </c>
      <c r="AZ225" s="139" t="b">
        <f t="shared" si="604"/>
        <v>1</v>
      </c>
      <c r="BA225" s="125">
        <v>0</v>
      </c>
      <c r="BB225" s="140">
        <f t="shared" si="605"/>
        <v>1720</v>
      </c>
      <c r="BC225" s="141">
        <v>0</v>
      </c>
      <c r="BD225" s="140" t="s">
        <v>107</v>
      </c>
      <c r="BE225" s="141">
        <v>0</v>
      </c>
      <c r="BF225" s="140">
        <v>0</v>
      </c>
      <c r="BG225" s="141">
        <v>0</v>
      </c>
      <c r="BH225" s="127">
        <v>0</v>
      </c>
      <c r="BI225" s="130">
        <v>0</v>
      </c>
      <c r="BJ225" s="128">
        <v>0</v>
      </c>
      <c r="BK225" s="125">
        <v>0</v>
      </c>
      <c r="BL225" s="136">
        <v>0</v>
      </c>
      <c r="BM225" s="127">
        <v>0</v>
      </c>
      <c r="BN225" s="142">
        <f t="shared" si="606"/>
        <v>0</v>
      </c>
      <c r="BO225" s="126">
        <f t="shared" si="607"/>
        <v>29240</v>
      </c>
      <c r="BP225" s="132">
        <f t="shared" si="608"/>
        <v>6020</v>
      </c>
      <c r="BQ225" s="141" t="str">
        <f t="shared" si="609"/>
        <v>Positive Margin</v>
      </c>
      <c r="BR225" s="143" t="s">
        <v>119</v>
      </c>
      <c r="BS225" s="125">
        <f t="shared" si="610"/>
        <v>6020</v>
      </c>
      <c r="BT225" s="144" t="str">
        <f t="shared" si="611"/>
        <v>Positive Margin at Inception</v>
      </c>
      <c r="BU225" s="145">
        <f t="shared" si="612"/>
        <v>0.20588235294117646</v>
      </c>
      <c r="BV225" s="144" t="str">
        <f t="shared" si="613"/>
        <v>More than 2%</v>
      </c>
      <c r="BW225" s="125">
        <f t="shared" si="614"/>
        <v>0</v>
      </c>
      <c r="BX225" s="126">
        <f t="shared" si="615"/>
        <v>0</v>
      </c>
      <c r="BY225" s="125">
        <f t="shared" si="616"/>
        <v>0</v>
      </c>
      <c r="BZ225" s="146">
        <f t="shared" si="617"/>
        <v>0</v>
      </c>
      <c r="CA225" s="146">
        <f t="shared" si="618"/>
        <v>0</v>
      </c>
      <c r="CB225" s="127">
        <f t="shared" si="619"/>
        <v>0</v>
      </c>
      <c r="CC225" s="146" t="s">
        <v>397</v>
      </c>
      <c r="CD225" s="127">
        <v>0</v>
      </c>
      <c r="CE225" s="127" t="str">
        <f t="shared" si="620"/>
        <v>Jun-26</v>
      </c>
      <c r="CF225" s="127">
        <f t="shared" si="621"/>
        <v>23220</v>
      </c>
      <c r="CG225" s="127">
        <f t="shared" si="622"/>
        <v>29240</v>
      </c>
      <c r="CH225" s="127">
        <f t="shared" si="623"/>
        <v>13</v>
      </c>
      <c r="CI225" s="147" t="str">
        <f t="shared" si="624"/>
        <v>BG AHD</v>
      </c>
      <c r="CJ225" s="127">
        <v>0</v>
      </c>
      <c r="CK225" s="127">
        <v>0</v>
      </c>
      <c r="CL225" s="127">
        <f t="shared" si="625"/>
        <v>6020</v>
      </c>
      <c r="CM225" s="127">
        <f t="shared" si="626"/>
        <v>6020</v>
      </c>
      <c r="CN225" s="127">
        <f t="shared" si="627"/>
        <v>6020</v>
      </c>
      <c r="CO225" s="127">
        <f t="shared" si="628"/>
        <v>34503.199999999997</v>
      </c>
      <c r="CP225" s="127">
        <f t="shared" si="629"/>
        <v>-27399.599999999999</v>
      </c>
      <c r="CQ225" s="127">
        <f t="shared" si="630"/>
        <v>0</v>
      </c>
      <c r="CR225" s="127">
        <f t="shared" si="631"/>
        <v>0</v>
      </c>
      <c r="CS225" s="127">
        <f t="shared" si="632"/>
        <v>7103.5999999999985</v>
      </c>
      <c r="CT225" s="127" t="s">
        <v>361</v>
      </c>
      <c r="CU225" s="127" t="s">
        <v>361</v>
      </c>
      <c r="CV225" s="142" t="str">
        <f t="shared" si="633"/>
        <v>AAMCB5608A</v>
      </c>
      <c r="CW225" s="142" t="str">
        <f t="shared" si="634"/>
        <v>BJHPB3107J</v>
      </c>
    </row>
    <row r="226" spans="2:101" s="149" customFormat="1" ht="11.85" customHeight="1" x14ac:dyDescent="0.25">
      <c r="B226" s="120" t="str">
        <f t="shared" si="596"/>
        <v>Q1</v>
      </c>
      <c r="C226" s="121" t="str">
        <f t="shared" si="597"/>
        <v>Jun-26</v>
      </c>
      <c r="D226" s="122">
        <v>46198</v>
      </c>
      <c r="E226" s="123" t="s">
        <v>4079</v>
      </c>
      <c r="F226" s="123" t="s">
        <v>196</v>
      </c>
      <c r="G226" s="123" t="s">
        <v>198</v>
      </c>
      <c r="H226" s="124" t="s">
        <v>4080</v>
      </c>
      <c r="I226" s="122">
        <v>46198</v>
      </c>
      <c r="J226" s="123" t="s">
        <v>4081</v>
      </c>
      <c r="K226" s="122">
        <v>46198</v>
      </c>
      <c r="L226" s="123" t="s">
        <v>199</v>
      </c>
      <c r="M226" s="123" t="s">
        <v>2331</v>
      </c>
      <c r="N226" s="124" t="s">
        <v>259</v>
      </c>
      <c r="O226" s="123">
        <v>1460</v>
      </c>
      <c r="P226" s="124">
        <v>11.5</v>
      </c>
      <c r="Q226" s="125">
        <f t="shared" si="598"/>
        <v>16790</v>
      </c>
      <c r="R226" s="126">
        <v>0</v>
      </c>
      <c r="S226" s="125">
        <f t="shared" si="599"/>
        <v>1460</v>
      </c>
      <c r="T226" s="126">
        <v>0</v>
      </c>
      <c r="U226" s="127">
        <v>0</v>
      </c>
      <c r="V226" s="128">
        <v>0</v>
      </c>
      <c r="W226" s="127">
        <v>0</v>
      </c>
      <c r="X226" s="129">
        <v>0</v>
      </c>
      <c r="Y226" s="127">
        <v>0</v>
      </c>
      <c r="Z226" s="127">
        <v>0</v>
      </c>
      <c r="AA226" s="126">
        <v>0</v>
      </c>
      <c r="AB226" s="130">
        <f t="shared" si="600"/>
        <v>0</v>
      </c>
      <c r="AC226" s="129">
        <v>0</v>
      </c>
      <c r="AD226" s="125">
        <f t="shared" si="601"/>
        <v>11.5</v>
      </c>
      <c r="AE226" s="144">
        <v>0</v>
      </c>
      <c r="AF226" s="127">
        <v>0</v>
      </c>
      <c r="AG226" s="131">
        <v>0</v>
      </c>
      <c r="AH226" s="127">
        <v>0</v>
      </c>
      <c r="AI226" s="128">
        <v>0</v>
      </c>
      <c r="AJ226" s="127">
        <v>0</v>
      </c>
      <c r="AK226" s="127">
        <v>0</v>
      </c>
      <c r="AL226" s="127">
        <v>0</v>
      </c>
      <c r="AM226" s="132">
        <f t="shared" si="602"/>
        <v>16790</v>
      </c>
      <c r="AN226" s="133">
        <v>46198</v>
      </c>
      <c r="AO226" s="134" t="s">
        <v>4087</v>
      </c>
      <c r="AP226" s="135" t="s">
        <v>234</v>
      </c>
      <c r="AQ226" s="136" t="s">
        <v>235</v>
      </c>
      <c r="AR226" s="136" t="s">
        <v>236</v>
      </c>
      <c r="AS226" s="123" t="s">
        <v>2005</v>
      </c>
      <c r="AT226" s="137" t="s">
        <v>238</v>
      </c>
      <c r="AU226" s="137" t="s">
        <v>197</v>
      </c>
      <c r="AV226" s="138" t="s">
        <v>329</v>
      </c>
      <c r="AW226" s="136">
        <v>1460</v>
      </c>
      <c r="AX226" s="138">
        <v>14</v>
      </c>
      <c r="AY226" s="136">
        <f t="shared" si="603"/>
        <v>20440</v>
      </c>
      <c r="AZ226" s="139" t="b">
        <f t="shared" si="604"/>
        <v>1</v>
      </c>
      <c r="BA226" s="125">
        <v>0</v>
      </c>
      <c r="BB226" s="140">
        <f t="shared" si="605"/>
        <v>1460</v>
      </c>
      <c r="BC226" s="141">
        <v>0</v>
      </c>
      <c r="BD226" s="140" t="s">
        <v>107</v>
      </c>
      <c r="BE226" s="141">
        <v>0</v>
      </c>
      <c r="BF226" s="140">
        <v>0</v>
      </c>
      <c r="BG226" s="141">
        <v>0</v>
      </c>
      <c r="BH226" s="127">
        <v>0</v>
      </c>
      <c r="BI226" s="130">
        <v>0</v>
      </c>
      <c r="BJ226" s="128">
        <v>0</v>
      </c>
      <c r="BK226" s="125">
        <v>0</v>
      </c>
      <c r="BL226" s="136">
        <v>0</v>
      </c>
      <c r="BM226" s="127">
        <v>0</v>
      </c>
      <c r="BN226" s="142">
        <f t="shared" si="606"/>
        <v>0</v>
      </c>
      <c r="BO226" s="126">
        <f t="shared" si="607"/>
        <v>20440</v>
      </c>
      <c r="BP226" s="132">
        <f t="shared" si="608"/>
        <v>3650</v>
      </c>
      <c r="BQ226" s="141" t="str">
        <f t="shared" si="609"/>
        <v>Positive Margin</v>
      </c>
      <c r="BR226" s="143" t="s">
        <v>119</v>
      </c>
      <c r="BS226" s="125">
        <f t="shared" si="610"/>
        <v>3650</v>
      </c>
      <c r="BT226" s="144" t="str">
        <f t="shared" si="611"/>
        <v>Positive Margin at Inception</v>
      </c>
      <c r="BU226" s="145">
        <f t="shared" si="612"/>
        <v>0.17857142857142858</v>
      </c>
      <c r="BV226" s="144" t="str">
        <f t="shared" si="613"/>
        <v>More than 2%</v>
      </c>
      <c r="BW226" s="125">
        <f t="shared" si="614"/>
        <v>0</v>
      </c>
      <c r="BX226" s="126">
        <f t="shared" si="615"/>
        <v>0</v>
      </c>
      <c r="BY226" s="125">
        <f t="shared" si="616"/>
        <v>0</v>
      </c>
      <c r="BZ226" s="146">
        <f t="shared" si="617"/>
        <v>0</v>
      </c>
      <c r="CA226" s="146">
        <f t="shared" si="618"/>
        <v>0</v>
      </c>
      <c r="CB226" s="127">
        <f t="shared" si="619"/>
        <v>0</v>
      </c>
      <c r="CC226" s="146" t="s">
        <v>397</v>
      </c>
      <c r="CD226" s="127">
        <v>0</v>
      </c>
      <c r="CE226" s="127" t="str">
        <f t="shared" si="620"/>
        <v>Jun-26</v>
      </c>
      <c r="CF226" s="127">
        <f t="shared" si="621"/>
        <v>16790</v>
      </c>
      <c r="CG226" s="127">
        <f t="shared" si="622"/>
        <v>20440</v>
      </c>
      <c r="CH226" s="127">
        <f t="shared" si="623"/>
        <v>13</v>
      </c>
      <c r="CI226" s="147" t="str">
        <f t="shared" si="624"/>
        <v>BG AHD</v>
      </c>
      <c r="CJ226" s="127">
        <v>0</v>
      </c>
      <c r="CK226" s="127">
        <v>0</v>
      </c>
      <c r="CL226" s="127">
        <f t="shared" si="625"/>
        <v>3650</v>
      </c>
      <c r="CM226" s="127">
        <f t="shared" si="626"/>
        <v>3650</v>
      </c>
      <c r="CN226" s="127">
        <f t="shared" si="627"/>
        <v>3650</v>
      </c>
      <c r="CO226" s="127">
        <f t="shared" si="628"/>
        <v>24119.199999999997</v>
      </c>
      <c r="CP226" s="127">
        <f t="shared" si="629"/>
        <v>-19812.2</v>
      </c>
      <c r="CQ226" s="127">
        <f t="shared" si="630"/>
        <v>0</v>
      </c>
      <c r="CR226" s="127">
        <f t="shared" si="631"/>
        <v>0</v>
      </c>
      <c r="CS226" s="127">
        <f t="shared" si="632"/>
        <v>4306.9999999999964</v>
      </c>
      <c r="CT226" s="127" t="s">
        <v>361</v>
      </c>
      <c r="CU226" s="127" t="s">
        <v>361</v>
      </c>
      <c r="CV226" s="142" t="str">
        <f t="shared" si="633"/>
        <v>AAMCB5608A</v>
      </c>
      <c r="CW226" s="142" t="str">
        <f t="shared" si="634"/>
        <v>BJHPB3107J</v>
      </c>
    </row>
    <row r="227" spans="2:101" s="149" customFormat="1" ht="11.85" customHeight="1" x14ac:dyDescent="0.25">
      <c r="B227" s="120" t="str">
        <f t="shared" ref="B227" si="635">"Q" &amp; IF(ROUNDUP(MONTH(D227)/3,0)-1=0,4,ROUNDUP(MONTH(D227)/3,0)-1)</f>
        <v>Q1</v>
      </c>
      <c r="C227" s="121" t="str">
        <f t="shared" ref="C227" si="636">TEXT(AN227,"mmm-yy")</f>
        <v>Jun-26</v>
      </c>
      <c r="D227" s="122">
        <v>46198</v>
      </c>
      <c r="E227" s="123"/>
      <c r="F227" s="123" t="s">
        <v>4097</v>
      </c>
      <c r="G227" s="123"/>
      <c r="H227" s="124"/>
      <c r="I227" s="122"/>
      <c r="J227" s="123"/>
      <c r="K227" s="122"/>
      <c r="L227" s="123"/>
      <c r="M227" s="123"/>
      <c r="N227" s="124"/>
      <c r="O227" s="123">
        <v>1</v>
      </c>
      <c r="P227" s="124">
        <v>10725</v>
      </c>
      <c r="Q227" s="125">
        <f t="shared" si="598"/>
        <v>10725</v>
      </c>
      <c r="R227" s="126">
        <v>0</v>
      </c>
      <c r="S227" s="125">
        <f t="shared" ref="S227" si="637">O227-R227</f>
        <v>1</v>
      </c>
      <c r="T227" s="126">
        <v>0</v>
      </c>
      <c r="U227" s="127">
        <v>0</v>
      </c>
      <c r="V227" s="128">
        <v>0</v>
      </c>
      <c r="W227" s="127">
        <v>0</v>
      </c>
      <c r="X227" s="129">
        <v>0</v>
      </c>
      <c r="Y227" s="127">
        <v>0</v>
      </c>
      <c r="Z227" s="127">
        <v>0</v>
      </c>
      <c r="AA227" s="126">
        <v>0</v>
      </c>
      <c r="AB227" s="130">
        <f t="shared" ref="AB227:AB228" si="638">Y227+AA227+Z227</f>
        <v>0</v>
      </c>
      <c r="AC227" s="129">
        <v>0</v>
      </c>
      <c r="AD227" s="125">
        <f t="shared" ref="AD227:AD228" si="639">Q227/O227</f>
        <v>10725</v>
      </c>
      <c r="AE227" s="144">
        <v>0</v>
      </c>
      <c r="AF227" s="127">
        <v>0</v>
      </c>
      <c r="AG227" s="131">
        <v>0</v>
      </c>
      <c r="AH227" s="127">
        <v>0</v>
      </c>
      <c r="AI227" s="128">
        <v>0</v>
      </c>
      <c r="AJ227" s="127">
        <v>0</v>
      </c>
      <c r="AK227" s="127">
        <v>0</v>
      </c>
      <c r="AL227" s="127">
        <v>0</v>
      </c>
      <c r="AM227" s="132">
        <f t="shared" ref="AM227:AM228" si="640">Q227+AB227+AL227+AK227+AJ227+T227+AE227</f>
        <v>10725</v>
      </c>
      <c r="AN227" s="133">
        <v>46198</v>
      </c>
      <c r="AO227" s="134"/>
      <c r="AP227" s="135"/>
      <c r="AQ227" s="136"/>
      <c r="AR227" s="136"/>
      <c r="AS227" s="123"/>
      <c r="AT227" s="137"/>
      <c r="AU227" s="137"/>
      <c r="AV227" s="138"/>
      <c r="AW227" s="136">
        <v>0</v>
      </c>
      <c r="AX227" s="138">
        <v>0</v>
      </c>
      <c r="AY227" s="136">
        <f t="shared" si="603"/>
        <v>0</v>
      </c>
      <c r="AZ227" s="139" t="b">
        <f t="shared" si="604"/>
        <v>0</v>
      </c>
      <c r="BA227" s="125">
        <v>0</v>
      </c>
      <c r="BB227" s="140">
        <f t="shared" ref="BB227:BB228" si="641">AW227-BA227</f>
        <v>0</v>
      </c>
      <c r="BC227" s="141">
        <v>0</v>
      </c>
      <c r="BD227" s="140" t="s">
        <v>107</v>
      </c>
      <c r="BE227" s="141">
        <v>0</v>
      </c>
      <c r="BF227" s="140">
        <v>0</v>
      </c>
      <c r="BG227" s="141">
        <v>0</v>
      </c>
      <c r="BH227" s="127">
        <v>0</v>
      </c>
      <c r="BI227" s="130">
        <v>0</v>
      </c>
      <c r="BJ227" s="128">
        <v>0</v>
      </c>
      <c r="BK227" s="125">
        <v>0</v>
      </c>
      <c r="BL227" s="136">
        <v>0</v>
      </c>
      <c r="BM227" s="127">
        <v>0</v>
      </c>
      <c r="BN227" s="142">
        <f t="shared" ref="BN227:BN228" si="642">AY227*$BN$3</f>
        <v>0</v>
      </c>
      <c r="BO227" s="126">
        <f t="shared" ref="BO227:BO228" si="643">AY227+BL227+BM227+BN227+BC227+BG227</f>
        <v>0</v>
      </c>
      <c r="BP227" s="132">
        <f t="shared" ref="BP227:BP228" si="644">BO227-AM227</f>
        <v>-10725</v>
      </c>
      <c r="BQ227" s="141" t="str">
        <f t="shared" ref="BQ227:BQ228" si="645">IF(BP227&gt;=0,"Positive Margin","Negative Margin")</f>
        <v>Negative Margin</v>
      </c>
      <c r="BR227" s="143" t="s">
        <v>119</v>
      </c>
      <c r="BS227" s="125">
        <f t="shared" si="610"/>
        <v>-10725</v>
      </c>
      <c r="BT227" s="144" t="str">
        <f t="shared" ref="BT227:BT228" si="646">IF(BS227&lt;0, "Negative Margin at Inception", "Positive Margin at Inception")</f>
        <v>Negative Margin at Inception</v>
      </c>
      <c r="BU227" s="145"/>
      <c r="BV227" s="144" t="str">
        <f t="shared" ref="BV227:BV228" si="647">IF(BU227&lt;1%,"Less Than 1%",IF(BU227&gt;2%,"More than 2%",IF(BU227&gt;=1%,"1% - 2%")))</f>
        <v>Less Than 1%</v>
      </c>
      <c r="BW227" s="125">
        <f t="shared" ref="BW227:BW228" si="648">BM227+BN227</f>
        <v>0</v>
      </c>
      <c r="BX227" s="126">
        <f t="shared" ref="BX227:BX228" si="649">AL227+AK227</f>
        <v>0</v>
      </c>
      <c r="BY227" s="125">
        <f t="shared" ref="BY227:BY228" si="650">BW227-BX227</f>
        <v>0</v>
      </c>
      <c r="BZ227" s="146">
        <f t="shared" ref="BZ227:BZ228" si="651">BM227</f>
        <v>0</v>
      </c>
      <c r="CA227" s="146">
        <f t="shared" ref="CA227:CA228" si="652">AK227</f>
        <v>0</v>
      </c>
      <c r="CB227" s="127">
        <f t="shared" ref="CB227:CB228" si="653">BZ227-CA227</f>
        <v>0</v>
      </c>
      <c r="CC227" s="146" t="s">
        <v>397</v>
      </c>
      <c r="CD227" s="127">
        <v>0</v>
      </c>
      <c r="CE227" s="127" t="str">
        <f t="shared" ref="CE227:CE228" si="654">TEXT(AN227,"mmm-yy")</f>
        <v>Jun-26</v>
      </c>
      <c r="CF227" s="127">
        <f t="shared" ref="CF227:CF228" si="655">AM227-AL227-AA227</f>
        <v>10725</v>
      </c>
      <c r="CG227" s="127">
        <f t="shared" ref="CG227:CG228" si="656">BO227-BN227</f>
        <v>0</v>
      </c>
      <c r="CH227" s="127">
        <f t="shared" ref="CH227:CH228" si="657">INT((D227- IF(MONTH(D227) &gt;= 4, DATE(YEAR(D227), 4, 1), DATE(YEAR(D227)-1, 4, 1))) / 7) + 1</f>
        <v>13</v>
      </c>
      <c r="CI227" s="147" t="str">
        <f t="shared" ref="CI227:CI228" si="658">IF(F227="BLACK GOLD RECYCLING PRIVATE LIMITED", "BG AHD", "B2B")</f>
        <v>B2B</v>
      </c>
      <c r="CJ227" s="127">
        <v>0</v>
      </c>
      <c r="CK227" s="127">
        <v>0</v>
      </c>
      <c r="CL227" s="127">
        <f t="shared" ref="CL227:CL228" si="659">AY227-Q227</f>
        <v>-10725</v>
      </c>
      <c r="CM227" s="127">
        <f t="shared" ref="CM227:CM228" si="660">CL227-Y227+Z227</f>
        <v>-10725</v>
      </c>
      <c r="CN227" s="127">
        <f t="shared" ref="CN227:CN228" si="661">BO227-AM227</f>
        <v>-10725</v>
      </c>
      <c r="CO227" s="127">
        <f t="shared" ref="CO227:CO228" si="662">AY227*118%</f>
        <v>0</v>
      </c>
      <c r="CP227" s="127">
        <f t="shared" ref="CP227:CP228" si="663">-Q227*118%</f>
        <v>-12655.5</v>
      </c>
      <c r="CQ227" s="127">
        <f t="shared" ref="CQ227:CQ228" si="664">-BZ227*118%</f>
        <v>0</v>
      </c>
      <c r="CR227" s="127">
        <f t="shared" ref="CR227:CR228" si="665">-CA227*118%</f>
        <v>0</v>
      </c>
      <c r="CS227" s="127">
        <f t="shared" ref="CS227:CS228" si="666">SUM(CO227:CR227)</f>
        <v>-12655.5</v>
      </c>
      <c r="CT227" s="127" t="s">
        <v>361</v>
      </c>
      <c r="CU227" s="127" t="s">
        <v>361</v>
      </c>
      <c r="CV227" s="142" t="str">
        <f t="shared" ref="CV227:CV228" si="667">MID(G227,3,10)</f>
        <v/>
      </c>
      <c r="CW227" s="142" t="str">
        <f t="shared" ref="CW227:CW228" si="668">MID(AR227,3,10)</f>
        <v/>
      </c>
    </row>
    <row r="228" spans="2:101" s="149" customFormat="1" ht="11.85" customHeight="1" x14ac:dyDescent="0.25">
      <c r="B228" s="120" t="str">
        <f t="shared" ref="B228" si="669">"Q" &amp; IF(ROUNDUP(MONTH(D228)/3,0)-1=0,4,ROUNDUP(MONTH(D228)/3,0)-1)</f>
        <v>Q1</v>
      </c>
      <c r="C228" s="121" t="str">
        <f t="shared" ref="C228" si="670">TEXT(AN228,"mmm-yy")</f>
        <v>Jun-26</v>
      </c>
      <c r="D228" s="122">
        <v>46198</v>
      </c>
      <c r="E228" s="123"/>
      <c r="F228" s="123" t="s">
        <v>4097</v>
      </c>
      <c r="G228" s="123"/>
      <c r="H228" s="124"/>
      <c r="I228" s="122"/>
      <c r="J228" s="123"/>
      <c r="K228" s="122"/>
      <c r="L228" s="123"/>
      <c r="M228" s="123"/>
      <c r="N228" s="124"/>
      <c r="O228" s="123">
        <v>1</v>
      </c>
      <c r="P228" s="124">
        <v>18150</v>
      </c>
      <c r="Q228" s="125">
        <f t="shared" si="598"/>
        <v>18150</v>
      </c>
      <c r="R228" s="126">
        <v>0</v>
      </c>
      <c r="S228" s="125">
        <f t="shared" ref="S228" si="671">O228-R228</f>
        <v>1</v>
      </c>
      <c r="T228" s="126">
        <v>0</v>
      </c>
      <c r="U228" s="127">
        <v>0</v>
      </c>
      <c r="V228" s="128">
        <v>0</v>
      </c>
      <c r="W228" s="127">
        <v>0</v>
      </c>
      <c r="X228" s="129">
        <v>0</v>
      </c>
      <c r="Y228" s="127">
        <v>0</v>
      </c>
      <c r="Z228" s="127">
        <v>0</v>
      </c>
      <c r="AA228" s="126">
        <v>0</v>
      </c>
      <c r="AB228" s="130">
        <f t="shared" si="638"/>
        <v>0</v>
      </c>
      <c r="AC228" s="129">
        <v>0</v>
      </c>
      <c r="AD228" s="125">
        <f t="shared" si="639"/>
        <v>18150</v>
      </c>
      <c r="AE228" s="144">
        <v>0</v>
      </c>
      <c r="AF228" s="127">
        <v>0</v>
      </c>
      <c r="AG228" s="131">
        <v>0</v>
      </c>
      <c r="AH228" s="127">
        <v>0</v>
      </c>
      <c r="AI228" s="128">
        <v>0</v>
      </c>
      <c r="AJ228" s="127">
        <v>0</v>
      </c>
      <c r="AK228" s="127">
        <v>0</v>
      </c>
      <c r="AL228" s="127">
        <v>0</v>
      </c>
      <c r="AM228" s="132">
        <f t="shared" si="640"/>
        <v>18150</v>
      </c>
      <c r="AN228" s="133">
        <v>46198</v>
      </c>
      <c r="AO228" s="134"/>
      <c r="AP228" s="135"/>
      <c r="AQ228" s="136"/>
      <c r="AR228" s="136"/>
      <c r="AS228" s="123"/>
      <c r="AT228" s="137"/>
      <c r="AU228" s="137"/>
      <c r="AV228" s="138"/>
      <c r="AW228" s="136">
        <v>0</v>
      </c>
      <c r="AX228" s="138">
        <v>0</v>
      </c>
      <c r="AY228" s="136">
        <f t="shared" si="603"/>
        <v>0</v>
      </c>
      <c r="AZ228" s="139" t="b">
        <f t="shared" si="604"/>
        <v>0</v>
      </c>
      <c r="BA228" s="125">
        <v>0</v>
      </c>
      <c r="BB228" s="140">
        <f t="shared" si="641"/>
        <v>0</v>
      </c>
      <c r="BC228" s="141">
        <v>0</v>
      </c>
      <c r="BD228" s="140" t="s">
        <v>107</v>
      </c>
      <c r="BE228" s="141">
        <v>0</v>
      </c>
      <c r="BF228" s="140">
        <v>0</v>
      </c>
      <c r="BG228" s="141">
        <v>0</v>
      </c>
      <c r="BH228" s="127">
        <v>0</v>
      </c>
      <c r="BI228" s="130">
        <v>0</v>
      </c>
      <c r="BJ228" s="128">
        <v>0</v>
      </c>
      <c r="BK228" s="125">
        <v>0</v>
      </c>
      <c r="BL228" s="136">
        <v>0</v>
      </c>
      <c r="BM228" s="127">
        <v>0</v>
      </c>
      <c r="BN228" s="142">
        <f t="shared" si="642"/>
        <v>0</v>
      </c>
      <c r="BO228" s="126">
        <f t="shared" si="643"/>
        <v>0</v>
      </c>
      <c r="BP228" s="132">
        <f t="shared" si="644"/>
        <v>-18150</v>
      </c>
      <c r="BQ228" s="141" t="str">
        <f t="shared" si="645"/>
        <v>Negative Margin</v>
      </c>
      <c r="BR228" s="143" t="s">
        <v>119</v>
      </c>
      <c r="BS228" s="125">
        <f t="shared" si="610"/>
        <v>-18150</v>
      </c>
      <c r="BT228" s="144" t="str">
        <f t="shared" si="646"/>
        <v>Negative Margin at Inception</v>
      </c>
      <c r="BU228" s="145"/>
      <c r="BV228" s="144" t="str">
        <f t="shared" si="647"/>
        <v>Less Than 1%</v>
      </c>
      <c r="BW228" s="125">
        <f t="shared" si="648"/>
        <v>0</v>
      </c>
      <c r="BX228" s="126">
        <f t="shared" si="649"/>
        <v>0</v>
      </c>
      <c r="BY228" s="125">
        <f t="shared" si="650"/>
        <v>0</v>
      </c>
      <c r="BZ228" s="146">
        <f t="shared" si="651"/>
        <v>0</v>
      </c>
      <c r="CA228" s="146">
        <f t="shared" si="652"/>
        <v>0</v>
      </c>
      <c r="CB228" s="127">
        <f t="shared" si="653"/>
        <v>0</v>
      </c>
      <c r="CC228" s="146" t="s">
        <v>397</v>
      </c>
      <c r="CD228" s="127">
        <v>0</v>
      </c>
      <c r="CE228" s="127" t="str">
        <f t="shared" si="654"/>
        <v>Jun-26</v>
      </c>
      <c r="CF228" s="127">
        <f t="shared" si="655"/>
        <v>18150</v>
      </c>
      <c r="CG228" s="127">
        <f t="shared" si="656"/>
        <v>0</v>
      </c>
      <c r="CH228" s="127">
        <f t="shared" si="657"/>
        <v>13</v>
      </c>
      <c r="CI228" s="147" t="str">
        <f t="shared" si="658"/>
        <v>B2B</v>
      </c>
      <c r="CJ228" s="127">
        <v>0</v>
      </c>
      <c r="CK228" s="127">
        <v>0</v>
      </c>
      <c r="CL228" s="127">
        <f t="shared" si="659"/>
        <v>-18150</v>
      </c>
      <c r="CM228" s="127">
        <f t="shared" si="660"/>
        <v>-18150</v>
      </c>
      <c r="CN228" s="127">
        <f t="shared" si="661"/>
        <v>-18150</v>
      </c>
      <c r="CO228" s="127">
        <f t="shared" si="662"/>
        <v>0</v>
      </c>
      <c r="CP228" s="127">
        <f t="shared" si="663"/>
        <v>-21417</v>
      </c>
      <c r="CQ228" s="127">
        <f t="shared" si="664"/>
        <v>0</v>
      </c>
      <c r="CR228" s="127">
        <f t="shared" si="665"/>
        <v>0</v>
      </c>
      <c r="CS228" s="127">
        <f t="shared" si="666"/>
        <v>-21417</v>
      </c>
      <c r="CT228" s="127" t="s">
        <v>361</v>
      </c>
      <c r="CU228" s="127" t="s">
        <v>361</v>
      </c>
      <c r="CV228" s="142" t="str">
        <f t="shared" si="667"/>
        <v/>
      </c>
      <c r="CW228" s="142" t="str">
        <f t="shared" si="668"/>
        <v/>
      </c>
    </row>
    <row r="229" spans="2:101" s="149" customFormat="1" ht="11.85" customHeight="1" x14ac:dyDescent="0.25">
      <c r="B229" s="120" t="str">
        <f t="shared" ref="B229:B231" si="672">"Q" &amp; IF(ROUNDUP(MONTH(D229)/3,0)-1=0,4,ROUNDUP(MONTH(D229)/3,0)-1)</f>
        <v>Q1</v>
      </c>
      <c r="C229" s="121" t="str">
        <f t="shared" ref="C229:C231" si="673">TEXT(AN229,"mmm-yy")</f>
        <v>Jun-26</v>
      </c>
      <c r="D229" s="122">
        <v>46199</v>
      </c>
      <c r="E229" s="123" t="s">
        <v>4098</v>
      </c>
      <c r="F229" s="123" t="s">
        <v>196</v>
      </c>
      <c r="G229" s="123" t="s">
        <v>198</v>
      </c>
      <c r="H229" s="124" t="s">
        <v>4099</v>
      </c>
      <c r="I229" s="122">
        <v>46199</v>
      </c>
      <c r="J229" s="123" t="s">
        <v>4100</v>
      </c>
      <c r="K229" s="122">
        <v>46199</v>
      </c>
      <c r="L229" s="123" t="s">
        <v>199</v>
      </c>
      <c r="M229" s="123" t="s">
        <v>3841</v>
      </c>
      <c r="N229" s="124" t="s">
        <v>271</v>
      </c>
      <c r="O229" s="123">
        <v>600</v>
      </c>
      <c r="P229" s="124">
        <v>100</v>
      </c>
      <c r="Q229" s="125">
        <f t="shared" ref="Q229:Q231" si="674">O229*P229</f>
        <v>60000</v>
      </c>
      <c r="R229" s="126">
        <v>0</v>
      </c>
      <c r="S229" s="125">
        <f t="shared" ref="S229:S231" si="675">O229-R229</f>
        <v>600</v>
      </c>
      <c r="T229" s="126">
        <v>0</v>
      </c>
      <c r="U229" s="127">
        <v>0</v>
      </c>
      <c r="V229" s="128">
        <v>0</v>
      </c>
      <c r="W229" s="127">
        <v>0</v>
      </c>
      <c r="X229" s="129">
        <v>0</v>
      </c>
      <c r="Y229" s="127">
        <v>0</v>
      </c>
      <c r="Z229" s="127">
        <v>0</v>
      </c>
      <c r="AA229" s="126">
        <v>0</v>
      </c>
      <c r="AB229" s="130">
        <f t="shared" ref="AB229:AB231" si="676">Y229+AA229+Z229</f>
        <v>0</v>
      </c>
      <c r="AC229" s="129">
        <v>0</v>
      </c>
      <c r="AD229" s="125">
        <f t="shared" ref="AD229:AD231" si="677">Q229/O229</f>
        <v>100</v>
      </c>
      <c r="AE229" s="144">
        <v>0</v>
      </c>
      <c r="AF229" s="127">
        <v>0</v>
      </c>
      <c r="AG229" s="131">
        <v>0</v>
      </c>
      <c r="AH229" s="127">
        <v>0</v>
      </c>
      <c r="AI229" s="128">
        <v>0</v>
      </c>
      <c r="AJ229" s="127">
        <v>0</v>
      </c>
      <c r="AK229" s="127">
        <v>0</v>
      </c>
      <c r="AL229" s="127">
        <v>0</v>
      </c>
      <c r="AM229" s="132">
        <f t="shared" ref="AM229:AM231" si="678">Q229+AB229+AL229+AK229+AJ229+T229+AE229</f>
        <v>60000</v>
      </c>
      <c r="AN229" s="133">
        <v>46199</v>
      </c>
      <c r="AO229" s="134" t="s">
        <v>4104</v>
      </c>
      <c r="AP229" s="135" t="s">
        <v>234</v>
      </c>
      <c r="AQ229" s="136" t="s">
        <v>235</v>
      </c>
      <c r="AR229" s="136" t="s">
        <v>236</v>
      </c>
      <c r="AS229" s="123" t="s">
        <v>237</v>
      </c>
      <c r="AT229" s="137" t="s">
        <v>238</v>
      </c>
      <c r="AU229" s="137" t="s">
        <v>197</v>
      </c>
      <c r="AV229" s="138" t="s">
        <v>329</v>
      </c>
      <c r="AW229" s="136">
        <v>600</v>
      </c>
      <c r="AX229" s="138">
        <v>120</v>
      </c>
      <c r="AY229" s="136">
        <f t="shared" ref="AY229:AY231" si="679">AW229*AX229</f>
        <v>72000</v>
      </c>
      <c r="AZ229" s="139" t="b">
        <f t="shared" ref="AZ229:AZ231" si="680">AW229=O229</f>
        <v>1</v>
      </c>
      <c r="BA229" s="125">
        <v>0</v>
      </c>
      <c r="BB229" s="140">
        <f t="shared" ref="BB229:BB231" si="681">AW229-BA229</f>
        <v>600</v>
      </c>
      <c r="BC229" s="141">
        <v>0</v>
      </c>
      <c r="BD229" s="140" t="s">
        <v>107</v>
      </c>
      <c r="BE229" s="141">
        <v>0</v>
      </c>
      <c r="BF229" s="140">
        <v>0</v>
      </c>
      <c r="BG229" s="141">
        <v>0</v>
      </c>
      <c r="BH229" s="127">
        <v>0</v>
      </c>
      <c r="BI229" s="130">
        <v>0</v>
      </c>
      <c r="BJ229" s="128">
        <v>0</v>
      </c>
      <c r="BK229" s="125">
        <v>0</v>
      </c>
      <c r="BL229" s="136">
        <v>0</v>
      </c>
      <c r="BM229" s="127">
        <v>0</v>
      </c>
      <c r="BN229" s="142">
        <f t="shared" ref="BN229:BN231" si="682">AY229*$BN$3</f>
        <v>0</v>
      </c>
      <c r="BO229" s="126">
        <f t="shared" ref="BO229:BO231" si="683">AY229+BL229+BM229+BN229+BC229+BG229</f>
        <v>72000</v>
      </c>
      <c r="BP229" s="132">
        <f t="shared" ref="BP229:BP231" si="684">BO229-AM229</f>
        <v>12000</v>
      </c>
      <c r="BQ229" s="141" t="str">
        <f t="shared" ref="BQ229:BQ231" si="685">IF(BP229&gt;=0,"Positive Margin","Negative Margin")</f>
        <v>Positive Margin</v>
      </c>
      <c r="BR229" s="143" t="s">
        <v>119</v>
      </c>
      <c r="BS229" s="125">
        <f t="shared" ref="BS229:BS231" si="686">AY229-Y229-Q229-AA229-T229+BC229</f>
        <v>12000</v>
      </c>
      <c r="BT229" s="144" t="str">
        <f t="shared" ref="BT229:BT231" si="687">IF(BS229&lt;0, "Negative Margin at Inception", "Positive Margin at Inception")</f>
        <v>Positive Margin at Inception</v>
      </c>
      <c r="BU229" s="145"/>
      <c r="BV229" s="144" t="str">
        <f t="shared" ref="BV229:BV231" si="688">IF(BU229&lt;1%,"Less Than 1%",IF(BU229&gt;2%,"More than 2%",IF(BU229&gt;=1%,"1% - 2%")))</f>
        <v>Less Than 1%</v>
      </c>
      <c r="BW229" s="125">
        <f t="shared" ref="BW229:BW231" si="689">BM229+BN229</f>
        <v>0</v>
      </c>
      <c r="BX229" s="126">
        <f t="shared" ref="BX229:BX231" si="690">AL229+AK229</f>
        <v>0</v>
      </c>
      <c r="BY229" s="125">
        <f t="shared" ref="BY229:BY231" si="691">BW229-BX229</f>
        <v>0</v>
      </c>
      <c r="BZ229" s="146">
        <f t="shared" ref="BZ229:BZ231" si="692">BM229</f>
        <v>0</v>
      </c>
      <c r="CA229" s="146">
        <f t="shared" ref="CA229:CA231" si="693">AK229</f>
        <v>0</v>
      </c>
      <c r="CB229" s="127">
        <f t="shared" ref="CB229:CB231" si="694">BZ229-CA229</f>
        <v>0</v>
      </c>
      <c r="CC229" s="146" t="s">
        <v>397</v>
      </c>
      <c r="CD229" s="127">
        <v>0</v>
      </c>
      <c r="CE229" s="127" t="str">
        <f t="shared" ref="CE229:CE231" si="695">TEXT(AN229,"mmm-yy")</f>
        <v>Jun-26</v>
      </c>
      <c r="CF229" s="127">
        <f t="shared" ref="CF229:CF231" si="696">AM229-AL229-AA229</f>
        <v>60000</v>
      </c>
      <c r="CG229" s="127">
        <f t="shared" ref="CG229:CG231" si="697">BO229-BN229</f>
        <v>72000</v>
      </c>
      <c r="CH229" s="127">
        <f t="shared" ref="CH229:CH231" si="698">INT((D229- IF(MONTH(D229) &gt;= 4, DATE(YEAR(D229), 4, 1), DATE(YEAR(D229)-1, 4, 1))) / 7) + 1</f>
        <v>13</v>
      </c>
      <c r="CI229" s="147" t="str">
        <f t="shared" ref="CI229:CI231" si="699">IF(F229="BLACK GOLD RECYCLING PRIVATE LIMITED", "BG AHD", "B2B")</f>
        <v>BG AHD</v>
      </c>
      <c r="CJ229" s="127">
        <v>0</v>
      </c>
      <c r="CK229" s="127">
        <v>0</v>
      </c>
      <c r="CL229" s="127">
        <f t="shared" ref="CL229:CL231" si="700">AY229-Q229</f>
        <v>12000</v>
      </c>
      <c r="CM229" s="127">
        <f t="shared" ref="CM229:CM231" si="701">CL229-Y229+Z229</f>
        <v>12000</v>
      </c>
      <c r="CN229" s="127">
        <f t="shared" ref="CN229:CN231" si="702">BO229-AM229</f>
        <v>12000</v>
      </c>
      <c r="CO229" s="127">
        <f t="shared" ref="CO229:CO231" si="703">AY229*118%</f>
        <v>84960</v>
      </c>
      <c r="CP229" s="127">
        <f t="shared" ref="CP229:CP231" si="704">-Q229*118%</f>
        <v>-70800</v>
      </c>
      <c r="CQ229" s="127">
        <f t="shared" ref="CQ229:CQ231" si="705">-BZ229*118%</f>
        <v>0</v>
      </c>
      <c r="CR229" s="127">
        <f t="shared" ref="CR229:CR231" si="706">-CA229*118%</f>
        <v>0</v>
      </c>
      <c r="CS229" s="127">
        <f t="shared" ref="CS229:CS231" si="707">SUM(CO229:CR229)</f>
        <v>14160</v>
      </c>
      <c r="CT229" s="127" t="s">
        <v>361</v>
      </c>
      <c r="CU229" s="127" t="s">
        <v>361</v>
      </c>
      <c r="CV229" s="142" t="str">
        <f t="shared" ref="CV229:CV231" si="708">MID(G229,3,10)</f>
        <v>AAMCB5608A</v>
      </c>
      <c r="CW229" s="142" t="str">
        <f t="shared" ref="CW229:CW231" si="709">MID(AR229,3,10)</f>
        <v>BJHPB3107J</v>
      </c>
    </row>
    <row r="230" spans="2:101" s="149" customFormat="1" ht="11.85" customHeight="1" x14ac:dyDescent="0.25">
      <c r="B230" s="120" t="str">
        <f t="shared" si="672"/>
        <v>Q1</v>
      </c>
      <c r="C230" s="121" t="str">
        <f t="shared" si="673"/>
        <v>Jun-26</v>
      </c>
      <c r="D230" s="122">
        <v>46199</v>
      </c>
      <c r="E230" s="123" t="s">
        <v>4101</v>
      </c>
      <c r="F230" s="123" t="s">
        <v>196</v>
      </c>
      <c r="G230" s="123" t="s">
        <v>198</v>
      </c>
      <c r="H230" s="124" t="s">
        <v>4102</v>
      </c>
      <c r="I230" s="122">
        <v>46199</v>
      </c>
      <c r="J230" s="123" t="s">
        <v>4103</v>
      </c>
      <c r="K230" s="122">
        <v>46199</v>
      </c>
      <c r="L230" s="123" t="s">
        <v>199</v>
      </c>
      <c r="M230" s="123" t="s">
        <v>3822</v>
      </c>
      <c r="N230" s="124" t="s">
        <v>3382</v>
      </c>
      <c r="O230" s="123">
        <v>2040</v>
      </c>
      <c r="P230" s="124">
        <v>82</v>
      </c>
      <c r="Q230" s="125">
        <f t="shared" si="674"/>
        <v>167280</v>
      </c>
      <c r="R230" s="126">
        <v>0</v>
      </c>
      <c r="S230" s="125">
        <f t="shared" si="675"/>
        <v>2040</v>
      </c>
      <c r="T230" s="126">
        <v>0</v>
      </c>
      <c r="U230" s="127">
        <v>0</v>
      </c>
      <c r="V230" s="128">
        <v>0</v>
      </c>
      <c r="W230" s="127">
        <v>0</v>
      </c>
      <c r="X230" s="129">
        <v>0</v>
      </c>
      <c r="Y230" s="127">
        <v>0</v>
      </c>
      <c r="Z230" s="127">
        <v>0</v>
      </c>
      <c r="AA230" s="126">
        <v>0</v>
      </c>
      <c r="AB230" s="130">
        <f t="shared" si="676"/>
        <v>0</v>
      </c>
      <c r="AC230" s="129">
        <v>0</v>
      </c>
      <c r="AD230" s="125">
        <f t="shared" si="677"/>
        <v>82</v>
      </c>
      <c r="AE230" s="144">
        <v>0</v>
      </c>
      <c r="AF230" s="127">
        <v>0</v>
      </c>
      <c r="AG230" s="131">
        <v>0</v>
      </c>
      <c r="AH230" s="127">
        <v>0</v>
      </c>
      <c r="AI230" s="128">
        <v>0</v>
      </c>
      <c r="AJ230" s="127">
        <v>0</v>
      </c>
      <c r="AK230" s="127">
        <v>0</v>
      </c>
      <c r="AL230" s="127">
        <v>0</v>
      </c>
      <c r="AM230" s="132">
        <f t="shared" si="678"/>
        <v>167280</v>
      </c>
      <c r="AN230" s="133">
        <v>46199</v>
      </c>
      <c r="AO230" s="134" t="s">
        <v>4105</v>
      </c>
      <c r="AP230" s="135" t="s">
        <v>234</v>
      </c>
      <c r="AQ230" s="136" t="s">
        <v>235</v>
      </c>
      <c r="AR230" s="136" t="s">
        <v>236</v>
      </c>
      <c r="AS230" s="123" t="s">
        <v>239</v>
      </c>
      <c r="AT230" s="137" t="s">
        <v>238</v>
      </c>
      <c r="AU230" s="137" t="s">
        <v>197</v>
      </c>
      <c r="AV230" s="138" t="s">
        <v>329</v>
      </c>
      <c r="AW230" s="136">
        <v>2040</v>
      </c>
      <c r="AX230" s="138">
        <v>87</v>
      </c>
      <c r="AY230" s="136">
        <f t="shared" si="679"/>
        <v>177480</v>
      </c>
      <c r="AZ230" s="139" t="b">
        <f t="shared" si="680"/>
        <v>1</v>
      </c>
      <c r="BA230" s="125">
        <v>0</v>
      </c>
      <c r="BB230" s="140">
        <f t="shared" si="681"/>
        <v>2040</v>
      </c>
      <c r="BC230" s="141">
        <v>0</v>
      </c>
      <c r="BD230" s="140" t="s">
        <v>107</v>
      </c>
      <c r="BE230" s="141">
        <v>0</v>
      </c>
      <c r="BF230" s="140">
        <v>0</v>
      </c>
      <c r="BG230" s="141">
        <v>0</v>
      </c>
      <c r="BH230" s="127">
        <v>0</v>
      </c>
      <c r="BI230" s="130">
        <v>0</v>
      </c>
      <c r="BJ230" s="128">
        <v>0</v>
      </c>
      <c r="BK230" s="125">
        <v>0</v>
      </c>
      <c r="BL230" s="136">
        <v>0</v>
      </c>
      <c r="BM230" s="127">
        <v>0</v>
      </c>
      <c r="BN230" s="142">
        <f t="shared" si="682"/>
        <v>0</v>
      </c>
      <c r="BO230" s="126">
        <f t="shared" si="683"/>
        <v>177480</v>
      </c>
      <c r="BP230" s="132">
        <f t="shared" si="684"/>
        <v>10200</v>
      </c>
      <c r="BQ230" s="141" t="str">
        <f t="shared" si="685"/>
        <v>Positive Margin</v>
      </c>
      <c r="BR230" s="143" t="s">
        <v>119</v>
      </c>
      <c r="BS230" s="125">
        <f t="shared" si="686"/>
        <v>10200</v>
      </c>
      <c r="BT230" s="144" t="str">
        <f t="shared" si="687"/>
        <v>Positive Margin at Inception</v>
      </c>
      <c r="BU230" s="145"/>
      <c r="BV230" s="144" t="str">
        <f t="shared" si="688"/>
        <v>Less Than 1%</v>
      </c>
      <c r="BW230" s="125">
        <f t="shared" si="689"/>
        <v>0</v>
      </c>
      <c r="BX230" s="126">
        <f t="shared" si="690"/>
        <v>0</v>
      </c>
      <c r="BY230" s="125">
        <f t="shared" si="691"/>
        <v>0</v>
      </c>
      <c r="BZ230" s="146">
        <f t="shared" si="692"/>
        <v>0</v>
      </c>
      <c r="CA230" s="146">
        <f t="shared" si="693"/>
        <v>0</v>
      </c>
      <c r="CB230" s="127">
        <f t="shared" si="694"/>
        <v>0</v>
      </c>
      <c r="CC230" s="146" t="s">
        <v>397</v>
      </c>
      <c r="CD230" s="127">
        <v>0</v>
      </c>
      <c r="CE230" s="127" t="str">
        <f t="shared" si="695"/>
        <v>Jun-26</v>
      </c>
      <c r="CF230" s="127">
        <f t="shared" si="696"/>
        <v>167280</v>
      </c>
      <c r="CG230" s="127">
        <f t="shared" si="697"/>
        <v>177480</v>
      </c>
      <c r="CH230" s="127">
        <f t="shared" si="698"/>
        <v>13</v>
      </c>
      <c r="CI230" s="147" t="str">
        <f t="shared" si="699"/>
        <v>BG AHD</v>
      </c>
      <c r="CJ230" s="127">
        <v>0</v>
      </c>
      <c r="CK230" s="127">
        <v>0</v>
      </c>
      <c r="CL230" s="127">
        <f t="shared" si="700"/>
        <v>10200</v>
      </c>
      <c r="CM230" s="127">
        <f t="shared" si="701"/>
        <v>10200</v>
      </c>
      <c r="CN230" s="127">
        <f t="shared" si="702"/>
        <v>10200</v>
      </c>
      <c r="CO230" s="127">
        <f t="shared" si="703"/>
        <v>209426.4</v>
      </c>
      <c r="CP230" s="127">
        <f t="shared" si="704"/>
        <v>-197390.4</v>
      </c>
      <c r="CQ230" s="127">
        <f t="shared" si="705"/>
        <v>0</v>
      </c>
      <c r="CR230" s="127">
        <f t="shared" si="706"/>
        <v>0</v>
      </c>
      <c r="CS230" s="127">
        <f t="shared" si="707"/>
        <v>12036</v>
      </c>
      <c r="CT230" s="127" t="s">
        <v>361</v>
      </c>
      <c r="CU230" s="127" t="s">
        <v>361</v>
      </c>
      <c r="CV230" s="142" t="str">
        <f t="shared" si="708"/>
        <v>AAMCB5608A</v>
      </c>
      <c r="CW230" s="142" t="str">
        <f t="shared" si="709"/>
        <v>BJHPB3107J</v>
      </c>
    </row>
    <row r="231" spans="2:101" s="149" customFormat="1" ht="11.85" customHeight="1" x14ac:dyDescent="0.25">
      <c r="B231" s="120" t="str">
        <f t="shared" si="672"/>
        <v>Q1</v>
      </c>
      <c r="C231" s="121" t="str">
        <f t="shared" si="673"/>
        <v>Jun-26</v>
      </c>
      <c r="D231" s="122">
        <v>46199</v>
      </c>
      <c r="E231" s="123" t="s">
        <v>4101</v>
      </c>
      <c r="F231" s="123" t="s">
        <v>196</v>
      </c>
      <c r="G231" s="123" t="s">
        <v>198</v>
      </c>
      <c r="H231" s="124" t="s">
        <v>4102</v>
      </c>
      <c r="I231" s="122">
        <v>46199</v>
      </c>
      <c r="J231" s="123" t="s">
        <v>4103</v>
      </c>
      <c r="K231" s="122">
        <v>46199</v>
      </c>
      <c r="L231" s="123" t="s">
        <v>199</v>
      </c>
      <c r="M231" s="123" t="s">
        <v>3822</v>
      </c>
      <c r="N231" s="124" t="s">
        <v>3384</v>
      </c>
      <c r="O231" s="123">
        <v>2870</v>
      </c>
      <c r="P231" s="124">
        <v>27</v>
      </c>
      <c r="Q231" s="125">
        <f t="shared" si="674"/>
        <v>77490</v>
      </c>
      <c r="R231" s="126">
        <v>0</v>
      </c>
      <c r="S231" s="125">
        <f t="shared" si="675"/>
        <v>2870</v>
      </c>
      <c r="T231" s="126">
        <v>0</v>
      </c>
      <c r="U231" s="127">
        <v>0</v>
      </c>
      <c r="V231" s="128">
        <v>0</v>
      </c>
      <c r="W231" s="127">
        <v>0</v>
      </c>
      <c r="X231" s="129">
        <v>0</v>
      </c>
      <c r="Y231" s="127">
        <v>0</v>
      </c>
      <c r="Z231" s="127">
        <v>0</v>
      </c>
      <c r="AA231" s="126">
        <v>0</v>
      </c>
      <c r="AB231" s="130">
        <f t="shared" si="676"/>
        <v>0</v>
      </c>
      <c r="AC231" s="129">
        <v>0</v>
      </c>
      <c r="AD231" s="125">
        <f t="shared" si="677"/>
        <v>27</v>
      </c>
      <c r="AE231" s="144">
        <v>0</v>
      </c>
      <c r="AF231" s="127">
        <v>0</v>
      </c>
      <c r="AG231" s="131">
        <v>0</v>
      </c>
      <c r="AH231" s="127">
        <v>0</v>
      </c>
      <c r="AI231" s="128">
        <v>0</v>
      </c>
      <c r="AJ231" s="127">
        <v>0</v>
      </c>
      <c r="AK231" s="127">
        <v>0</v>
      </c>
      <c r="AL231" s="127">
        <v>0</v>
      </c>
      <c r="AM231" s="132">
        <f t="shared" si="678"/>
        <v>77490</v>
      </c>
      <c r="AN231" s="133">
        <v>46199</v>
      </c>
      <c r="AO231" s="134" t="s">
        <v>4105</v>
      </c>
      <c r="AP231" s="135" t="s">
        <v>234</v>
      </c>
      <c r="AQ231" s="136" t="s">
        <v>235</v>
      </c>
      <c r="AR231" s="136" t="s">
        <v>236</v>
      </c>
      <c r="AS231" s="123" t="s">
        <v>239</v>
      </c>
      <c r="AT231" s="137" t="s">
        <v>238</v>
      </c>
      <c r="AU231" s="137" t="s">
        <v>197</v>
      </c>
      <c r="AV231" s="138" t="s">
        <v>329</v>
      </c>
      <c r="AW231" s="136">
        <v>2870</v>
      </c>
      <c r="AX231" s="138">
        <v>28</v>
      </c>
      <c r="AY231" s="136">
        <f t="shared" si="679"/>
        <v>80360</v>
      </c>
      <c r="AZ231" s="139" t="b">
        <f t="shared" si="680"/>
        <v>1</v>
      </c>
      <c r="BA231" s="125">
        <v>0</v>
      </c>
      <c r="BB231" s="140">
        <f t="shared" si="681"/>
        <v>2870</v>
      </c>
      <c r="BC231" s="141">
        <v>0</v>
      </c>
      <c r="BD231" s="140" t="s">
        <v>107</v>
      </c>
      <c r="BE231" s="141">
        <v>0</v>
      </c>
      <c r="BF231" s="140">
        <v>0</v>
      </c>
      <c r="BG231" s="141">
        <v>0</v>
      </c>
      <c r="BH231" s="127">
        <v>0</v>
      </c>
      <c r="BI231" s="130">
        <v>0</v>
      </c>
      <c r="BJ231" s="128">
        <v>0</v>
      </c>
      <c r="BK231" s="125">
        <v>0</v>
      </c>
      <c r="BL231" s="136">
        <v>0</v>
      </c>
      <c r="BM231" s="127">
        <v>0</v>
      </c>
      <c r="BN231" s="142">
        <f t="shared" si="682"/>
        <v>0</v>
      </c>
      <c r="BO231" s="126">
        <f t="shared" si="683"/>
        <v>80360</v>
      </c>
      <c r="BP231" s="132">
        <f t="shared" si="684"/>
        <v>2870</v>
      </c>
      <c r="BQ231" s="141" t="str">
        <f t="shared" si="685"/>
        <v>Positive Margin</v>
      </c>
      <c r="BR231" s="143" t="s">
        <v>119</v>
      </c>
      <c r="BS231" s="125">
        <f t="shared" si="686"/>
        <v>2870</v>
      </c>
      <c r="BT231" s="144" t="str">
        <f t="shared" si="687"/>
        <v>Positive Margin at Inception</v>
      </c>
      <c r="BU231" s="145"/>
      <c r="BV231" s="144" t="str">
        <f t="shared" si="688"/>
        <v>Less Than 1%</v>
      </c>
      <c r="BW231" s="125">
        <f t="shared" si="689"/>
        <v>0</v>
      </c>
      <c r="BX231" s="126">
        <f t="shared" si="690"/>
        <v>0</v>
      </c>
      <c r="BY231" s="125">
        <f t="shared" si="691"/>
        <v>0</v>
      </c>
      <c r="BZ231" s="146">
        <f t="shared" si="692"/>
        <v>0</v>
      </c>
      <c r="CA231" s="146">
        <f t="shared" si="693"/>
        <v>0</v>
      </c>
      <c r="CB231" s="127">
        <f t="shared" si="694"/>
        <v>0</v>
      </c>
      <c r="CC231" s="146" t="s">
        <v>397</v>
      </c>
      <c r="CD231" s="127">
        <v>0</v>
      </c>
      <c r="CE231" s="127" t="str">
        <f t="shared" si="695"/>
        <v>Jun-26</v>
      </c>
      <c r="CF231" s="127">
        <f t="shared" si="696"/>
        <v>77490</v>
      </c>
      <c r="CG231" s="127">
        <f t="shared" si="697"/>
        <v>80360</v>
      </c>
      <c r="CH231" s="127">
        <f t="shared" si="698"/>
        <v>13</v>
      </c>
      <c r="CI231" s="147" t="str">
        <f t="shared" si="699"/>
        <v>BG AHD</v>
      </c>
      <c r="CJ231" s="127">
        <v>0</v>
      </c>
      <c r="CK231" s="127">
        <v>0</v>
      </c>
      <c r="CL231" s="127">
        <f t="shared" si="700"/>
        <v>2870</v>
      </c>
      <c r="CM231" s="127">
        <f t="shared" si="701"/>
        <v>2870</v>
      </c>
      <c r="CN231" s="127">
        <f t="shared" si="702"/>
        <v>2870</v>
      </c>
      <c r="CO231" s="127">
        <f t="shared" si="703"/>
        <v>94824.799999999988</v>
      </c>
      <c r="CP231" s="127">
        <f t="shared" si="704"/>
        <v>-91438.2</v>
      </c>
      <c r="CQ231" s="127">
        <f t="shared" si="705"/>
        <v>0</v>
      </c>
      <c r="CR231" s="127">
        <f t="shared" si="706"/>
        <v>0</v>
      </c>
      <c r="CS231" s="127">
        <f t="shared" si="707"/>
        <v>3386.5999999999913</v>
      </c>
      <c r="CT231" s="127" t="s">
        <v>361</v>
      </c>
      <c r="CU231" s="127" t="s">
        <v>361</v>
      </c>
      <c r="CV231" s="142" t="str">
        <f t="shared" si="708"/>
        <v>AAMCB5608A</v>
      </c>
      <c r="CW231" s="142" t="str">
        <f t="shared" si="709"/>
        <v>BJHPB3107J</v>
      </c>
    </row>
    <row r="232" spans="2:101" s="149" customFormat="1" ht="11.85" customHeight="1" x14ac:dyDescent="0.25">
      <c r="B232" s="120" t="str">
        <f t="shared" ref="B232:B241" si="710">"Q" &amp; IF(ROUNDUP(MONTH(D232)/3,0)-1=0,4,ROUNDUP(MONTH(D232)/3,0)-1)</f>
        <v>Q1</v>
      </c>
      <c r="C232" s="121" t="str">
        <f t="shared" ref="C232:C241" si="711">TEXT(AN232,"mmm-yy")</f>
        <v>Jun-26</v>
      </c>
      <c r="D232" s="122">
        <v>46199</v>
      </c>
      <c r="E232" s="123" t="s">
        <v>4114</v>
      </c>
      <c r="F232" s="123" t="s">
        <v>196</v>
      </c>
      <c r="G232" s="123" t="s">
        <v>198</v>
      </c>
      <c r="H232" s="124" t="s">
        <v>4115</v>
      </c>
      <c r="I232" s="122">
        <v>46199</v>
      </c>
      <c r="J232" s="123" t="s">
        <v>4116</v>
      </c>
      <c r="K232" s="122">
        <v>46202</v>
      </c>
      <c r="L232" s="123" t="s">
        <v>199</v>
      </c>
      <c r="M232" s="123" t="s">
        <v>3864</v>
      </c>
      <c r="N232" s="124" t="s">
        <v>204</v>
      </c>
      <c r="O232" s="123">
        <v>8070</v>
      </c>
      <c r="P232" s="124">
        <v>10</v>
      </c>
      <c r="Q232" s="125">
        <f t="shared" ref="Q232:Q241" si="712">O232*P232</f>
        <v>80700</v>
      </c>
      <c r="R232" s="126">
        <v>0</v>
      </c>
      <c r="S232" s="125">
        <f t="shared" ref="S232:S241" si="713">O232-R232</f>
        <v>8070</v>
      </c>
      <c r="T232" s="126">
        <v>0</v>
      </c>
      <c r="U232" s="127">
        <v>0</v>
      </c>
      <c r="V232" s="128">
        <v>0</v>
      </c>
      <c r="W232" s="127">
        <v>0</v>
      </c>
      <c r="X232" s="129">
        <v>0</v>
      </c>
      <c r="Y232" s="127">
        <v>0</v>
      </c>
      <c r="Z232" s="127">
        <v>0</v>
      </c>
      <c r="AA232" s="126">
        <v>0</v>
      </c>
      <c r="AB232" s="130">
        <f t="shared" ref="AB232:AB241" si="714">Y232+AA232+Z232</f>
        <v>0</v>
      </c>
      <c r="AC232" s="129">
        <v>0</v>
      </c>
      <c r="AD232" s="125">
        <f t="shared" ref="AD232:AD241" si="715">Q232/O232</f>
        <v>10</v>
      </c>
      <c r="AE232" s="144">
        <v>0</v>
      </c>
      <c r="AF232" s="127">
        <v>0</v>
      </c>
      <c r="AG232" s="131">
        <v>0</v>
      </c>
      <c r="AH232" s="127">
        <v>0</v>
      </c>
      <c r="AI232" s="128">
        <v>0</v>
      </c>
      <c r="AJ232" s="127">
        <v>0</v>
      </c>
      <c r="AK232" s="127">
        <v>0</v>
      </c>
      <c r="AL232" s="127">
        <v>0</v>
      </c>
      <c r="AM232" s="132">
        <f t="shared" ref="AM232:AM241" si="716">Q232+AB232+AL232+AK232+AJ232+T232+AE232</f>
        <v>80700</v>
      </c>
      <c r="AN232" s="133">
        <v>46202</v>
      </c>
      <c r="AO232" s="134" t="s">
        <v>4132</v>
      </c>
      <c r="AP232" s="135" t="s">
        <v>234</v>
      </c>
      <c r="AQ232" s="136" t="s">
        <v>235</v>
      </c>
      <c r="AR232" s="136" t="s">
        <v>236</v>
      </c>
      <c r="AS232" s="123" t="s">
        <v>237</v>
      </c>
      <c r="AT232" s="137" t="s">
        <v>238</v>
      </c>
      <c r="AU232" s="137" t="s">
        <v>197</v>
      </c>
      <c r="AV232" s="138" t="s">
        <v>329</v>
      </c>
      <c r="AW232" s="136">
        <v>8070</v>
      </c>
      <c r="AX232" s="138">
        <v>11</v>
      </c>
      <c r="AY232" s="136">
        <f t="shared" ref="AY232:AY241" si="717">AW232*AX232</f>
        <v>88770</v>
      </c>
      <c r="AZ232" s="139" t="b">
        <f t="shared" ref="AZ232:AZ241" si="718">AW232=O232</f>
        <v>1</v>
      </c>
      <c r="BA232" s="125">
        <v>0</v>
      </c>
      <c r="BB232" s="140">
        <f t="shared" ref="BB232:BB241" si="719">AW232-BA232</f>
        <v>8070</v>
      </c>
      <c r="BC232" s="141">
        <v>0</v>
      </c>
      <c r="BD232" s="140" t="s">
        <v>107</v>
      </c>
      <c r="BE232" s="141">
        <v>0</v>
      </c>
      <c r="BF232" s="140">
        <v>0</v>
      </c>
      <c r="BG232" s="141">
        <v>0</v>
      </c>
      <c r="BH232" s="127">
        <v>0</v>
      </c>
      <c r="BI232" s="130">
        <v>0</v>
      </c>
      <c r="BJ232" s="128">
        <v>0</v>
      </c>
      <c r="BK232" s="125">
        <v>0</v>
      </c>
      <c r="BL232" s="136">
        <v>0</v>
      </c>
      <c r="BM232" s="127">
        <v>0</v>
      </c>
      <c r="BN232" s="142">
        <f t="shared" ref="BN232:BN241" si="720">AY232*$BN$3</f>
        <v>0</v>
      </c>
      <c r="BO232" s="126">
        <f t="shared" ref="BO232:BO241" si="721">AY232+BL232+BM232+BN232+BC232+BG232</f>
        <v>88770</v>
      </c>
      <c r="BP232" s="132">
        <f t="shared" ref="BP232:BP241" si="722">BO232-AM232</f>
        <v>8070</v>
      </c>
      <c r="BQ232" s="141" t="str">
        <f t="shared" ref="BQ232:BQ241" si="723">IF(BP232&gt;=0,"Positive Margin","Negative Margin")</f>
        <v>Positive Margin</v>
      </c>
      <c r="BR232" s="143" t="s">
        <v>119</v>
      </c>
      <c r="BS232" s="125">
        <f t="shared" ref="BS232:BS241" si="724">AY232-Y232-Q232-AA232-T232+BC232</f>
        <v>8070</v>
      </c>
      <c r="BT232" s="144" t="str">
        <f t="shared" ref="BT232:BT241" si="725">IF(BS232&lt;0, "Negative Margin at Inception", "Positive Margin at Inception")</f>
        <v>Positive Margin at Inception</v>
      </c>
      <c r="BU232" s="145"/>
      <c r="BV232" s="144" t="str">
        <f t="shared" ref="BV232:BV241" si="726">IF(BU232&lt;1%,"Less Than 1%",IF(BU232&gt;2%,"More than 2%",IF(BU232&gt;=1%,"1% - 2%")))</f>
        <v>Less Than 1%</v>
      </c>
      <c r="BW232" s="125">
        <f t="shared" ref="BW232:BW241" si="727">BM232+BN232</f>
        <v>0</v>
      </c>
      <c r="BX232" s="126">
        <f t="shared" ref="BX232:BX241" si="728">AL232+AK232</f>
        <v>0</v>
      </c>
      <c r="BY232" s="125">
        <f t="shared" ref="BY232:BY241" si="729">BW232-BX232</f>
        <v>0</v>
      </c>
      <c r="BZ232" s="146">
        <f t="shared" ref="BZ232:BZ241" si="730">BM232</f>
        <v>0</v>
      </c>
      <c r="CA232" s="146">
        <f t="shared" ref="CA232:CA241" si="731">AK232</f>
        <v>0</v>
      </c>
      <c r="CB232" s="127">
        <f t="shared" ref="CB232:CB241" si="732">BZ232-CA232</f>
        <v>0</v>
      </c>
      <c r="CC232" s="146" t="s">
        <v>397</v>
      </c>
      <c r="CD232" s="127">
        <v>0</v>
      </c>
      <c r="CE232" s="127" t="str">
        <f t="shared" ref="CE232:CE241" si="733">TEXT(AN232,"mmm-yy")</f>
        <v>Jun-26</v>
      </c>
      <c r="CF232" s="127">
        <f t="shared" ref="CF232:CF241" si="734">AM232-AL232-AA232</f>
        <v>80700</v>
      </c>
      <c r="CG232" s="127">
        <f t="shared" ref="CG232:CG241" si="735">BO232-BN232</f>
        <v>88770</v>
      </c>
      <c r="CH232" s="127">
        <f t="shared" ref="CH232:CH241" si="736">INT((D232- IF(MONTH(D232) &gt;= 4, DATE(YEAR(D232), 4, 1), DATE(YEAR(D232)-1, 4, 1))) / 7) + 1</f>
        <v>13</v>
      </c>
      <c r="CI232" s="147" t="str">
        <f t="shared" ref="CI232:CI241" si="737">IF(F232="BLACK GOLD RECYCLING PRIVATE LIMITED", "BG AHD", "B2B")</f>
        <v>BG AHD</v>
      </c>
      <c r="CJ232" s="127">
        <v>0</v>
      </c>
      <c r="CK232" s="127">
        <v>0</v>
      </c>
      <c r="CL232" s="127">
        <f t="shared" ref="CL232:CL241" si="738">AY232-Q232</f>
        <v>8070</v>
      </c>
      <c r="CM232" s="127">
        <f t="shared" ref="CM232:CM241" si="739">CL232-Y232+Z232</f>
        <v>8070</v>
      </c>
      <c r="CN232" s="127">
        <f t="shared" ref="CN232:CN241" si="740">BO232-AM232</f>
        <v>8070</v>
      </c>
      <c r="CO232" s="127">
        <f t="shared" ref="CO232:CO241" si="741">AY232*118%</f>
        <v>104748.59999999999</v>
      </c>
      <c r="CP232" s="127">
        <f t="shared" ref="CP232:CP241" si="742">-Q232*118%</f>
        <v>-95226</v>
      </c>
      <c r="CQ232" s="127">
        <f t="shared" ref="CQ232:CQ241" si="743">-BZ232*118%</f>
        <v>0</v>
      </c>
      <c r="CR232" s="127">
        <f t="shared" ref="CR232:CR241" si="744">-CA232*118%</f>
        <v>0</v>
      </c>
      <c r="CS232" s="127">
        <f t="shared" ref="CS232:CS241" si="745">SUM(CO232:CR232)</f>
        <v>9522.5999999999913</v>
      </c>
      <c r="CT232" s="127" t="s">
        <v>361</v>
      </c>
      <c r="CU232" s="127" t="s">
        <v>361</v>
      </c>
      <c r="CV232" s="142" t="str">
        <f t="shared" ref="CV232:CV241" si="746">MID(G232,3,10)</f>
        <v>AAMCB5608A</v>
      </c>
      <c r="CW232" s="142" t="str">
        <f t="shared" ref="CW232:CW241" si="747">MID(AR232,3,10)</f>
        <v>BJHPB3107J</v>
      </c>
    </row>
    <row r="233" spans="2:101" s="149" customFormat="1" ht="11.85" customHeight="1" x14ac:dyDescent="0.25">
      <c r="B233" s="120" t="str">
        <f t="shared" si="710"/>
        <v>Q1</v>
      </c>
      <c r="C233" s="121" t="str">
        <f t="shared" si="711"/>
        <v>Jun-26</v>
      </c>
      <c r="D233" s="122">
        <v>46202</v>
      </c>
      <c r="E233" s="123" t="s">
        <v>4117</v>
      </c>
      <c r="F233" s="123" t="s">
        <v>196</v>
      </c>
      <c r="G233" s="123" t="s">
        <v>198</v>
      </c>
      <c r="H233" s="124" t="s">
        <v>4118</v>
      </c>
      <c r="I233" s="122">
        <v>46202</v>
      </c>
      <c r="J233" s="123" t="s">
        <v>4119</v>
      </c>
      <c r="K233" s="122">
        <v>46202</v>
      </c>
      <c r="L233" s="123" t="s">
        <v>199</v>
      </c>
      <c r="M233" s="123" t="s">
        <v>244</v>
      </c>
      <c r="N233" s="124" t="s">
        <v>241</v>
      </c>
      <c r="O233" s="123">
        <v>1300</v>
      </c>
      <c r="P233" s="124">
        <v>30</v>
      </c>
      <c r="Q233" s="125">
        <f t="shared" si="712"/>
        <v>39000</v>
      </c>
      <c r="R233" s="126">
        <v>0</v>
      </c>
      <c r="S233" s="125">
        <f t="shared" si="713"/>
        <v>1300</v>
      </c>
      <c r="T233" s="126">
        <v>0</v>
      </c>
      <c r="U233" s="127">
        <v>0</v>
      </c>
      <c r="V233" s="128">
        <v>0</v>
      </c>
      <c r="W233" s="127">
        <v>0</v>
      </c>
      <c r="X233" s="129">
        <v>0</v>
      </c>
      <c r="Y233" s="127">
        <v>0</v>
      </c>
      <c r="Z233" s="127">
        <v>0</v>
      </c>
      <c r="AA233" s="126">
        <v>0</v>
      </c>
      <c r="AB233" s="130">
        <f t="shared" si="714"/>
        <v>0</v>
      </c>
      <c r="AC233" s="129">
        <v>0</v>
      </c>
      <c r="AD233" s="125">
        <f t="shared" si="715"/>
        <v>30</v>
      </c>
      <c r="AE233" s="144">
        <v>0</v>
      </c>
      <c r="AF233" s="127">
        <v>0</v>
      </c>
      <c r="AG233" s="131">
        <v>0</v>
      </c>
      <c r="AH233" s="127">
        <v>0</v>
      </c>
      <c r="AI233" s="128">
        <v>0</v>
      </c>
      <c r="AJ233" s="127">
        <v>0</v>
      </c>
      <c r="AK233" s="127">
        <v>0</v>
      </c>
      <c r="AL233" s="127">
        <v>0</v>
      </c>
      <c r="AM233" s="132">
        <f t="shared" si="716"/>
        <v>39000</v>
      </c>
      <c r="AN233" s="133">
        <v>46202</v>
      </c>
      <c r="AO233" s="134" t="s">
        <v>4135</v>
      </c>
      <c r="AP233" s="135" t="s">
        <v>234</v>
      </c>
      <c r="AQ233" s="136" t="s">
        <v>235</v>
      </c>
      <c r="AR233" s="136" t="s">
        <v>236</v>
      </c>
      <c r="AS233" s="123" t="s">
        <v>2006</v>
      </c>
      <c r="AT233" s="137" t="s">
        <v>238</v>
      </c>
      <c r="AU233" s="137" t="s">
        <v>197</v>
      </c>
      <c r="AV233" s="138" t="s">
        <v>329</v>
      </c>
      <c r="AW233" s="136">
        <v>1300</v>
      </c>
      <c r="AX233" s="138">
        <v>35</v>
      </c>
      <c r="AY233" s="136">
        <f t="shared" si="717"/>
        <v>45500</v>
      </c>
      <c r="AZ233" s="139" t="b">
        <f t="shared" si="718"/>
        <v>1</v>
      </c>
      <c r="BA233" s="125">
        <v>0</v>
      </c>
      <c r="BB233" s="140">
        <f t="shared" si="719"/>
        <v>1300</v>
      </c>
      <c r="BC233" s="141">
        <v>0</v>
      </c>
      <c r="BD233" s="140" t="s">
        <v>107</v>
      </c>
      <c r="BE233" s="141">
        <v>0</v>
      </c>
      <c r="BF233" s="140">
        <v>0</v>
      </c>
      <c r="BG233" s="141">
        <v>0</v>
      </c>
      <c r="BH233" s="127">
        <v>0</v>
      </c>
      <c r="BI233" s="130">
        <v>0</v>
      </c>
      <c r="BJ233" s="128">
        <v>0</v>
      </c>
      <c r="BK233" s="125">
        <v>0</v>
      </c>
      <c r="BL233" s="136">
        <v>0</v>
      </c>
      <c r="BM233" s="127">
        <v>0</v>
      </c>
      <c r="BN233" s="142">
        <f t="shared" si="720"/>
        <v>0</v>
      </c>
      <c r="BO233" s="126">
        <f t="shared" si="721"/>
        <v>45500</v>
      </c>
      <c r="BP233" s="132">
        <f t="shared" si="722"/>
        <v>6500</v>
      </c>
      <c r="BQ233" s="141" t="str">
        <f t="shared" si="723"/>
        <v>Positive Margin</v>
      </c>
      <c r="BR233" s="143" t="s">
        <v>119</v>
      </c>
      <c r="BS233" s="125">
        <f t="shared" si="724"/>
        <v>6500</v>
      </c>
      <c r="BT233" s="144" t="str">
        <f t="shared" si="725"/>
        <v>Positive Margin at Inception</v>
      </c>
      <c r="BU233" s="145"/>
      <c r="BV233" s="144" t="str">
        <f t="shared" si="726"/>
        <v>Less Than 1%</v>
      </c>
      <c r="BW233" s="125">
        <f t="shared" si="727"/>
        <v>0</v>
      </c>
      <c r="BX233" s="126">
        <f t="shared" si="728"/>
        <v>0</v>
      </c>
      <c r="BY233" s="125">
        <f t="shared" si="729"/>
        <v>0</v>
      </c>
      <c r="BZ233" s="146">
        <f t="shared" si="730"/>
        <v>0</v>
      </c>
      <c r="CA233" s="146">
        <f t="shared" si="731"/>
        <v>0</v>
      </c>
      <c r="CB233" s="127">
        <f t="shared" si="732"/>
        <v>0</v>
      </c>
      <c r="CC233" s="146" t="s">
        <v>397</v>
      </c>
      <c r="CD233" s="127">
        <v>0</v>
      </c>
      <c r="CE233" s="127" t="str">
        <f t="shared" si="733"/>
        <v>Jun-26</v>
      </c>
      <c r="CF233" s="127">
        <f t="shared" si="734"/>
        <v>39000</v>
      </c>
      <c r="CG233" s="127">
        <f t="shared" si="735"/>
        <v>45500</v>
      </c>
      <c r="CH233" s="127">
        <f t="shared" si="736"/>
        <v>13</v>
      </c>
      <c r="CI233" s="147" t="str">
        <f t="shared" si="737"/>
        <v>BG AHD</v>
      </c>
      <c r="CJ233" s="127">
        <v>0</v>
      </c>
      <c r="CK233" s="127">
        <v>0</v>
      </c>
      <c r="CL233" s="127">
        <f t="shared" si="738"/>
        <v>6500</v>
      </c>
      <c r="CM233" s="127">
        <f t="shared" si="739"/>
        <v>6500</v>
      </c>
      <c r="CN233" s="127">
        <f t="shared" si="740"/>
        <v>6500</v>
      </c>
      <c r="CO233" s="127">
        <f t="shared" si="741"/>
        <v>53690</v>
      </c>
      <c r="CP233" s="127">
        <f t="shared" si="742"/>
        <v>-46020</v>
      </c>
      <c r="CQ233" s="127">
        <f t="shared" si="743"/>
        <v>0</v>
      </c>
      <c r="CR233" s="127">
        <f t="shared" si="744"/>
        <v>0</v>
      </c>
      <c r="CS233" s="127">
        <f t="shared" si="745"/>
        <v>7670</v>
      </c>
      <c r="CT233" s="127" t="s">
        <v>361</v>
      </c>
      <c r="CU233" s="127" t="s">
        <v>361</v>
      </c>
      <c r="CV233" s="142" t="str">
        <f t="shared" si="746"/>
        <v>AAMCB5608A</v>
      </c>
      <c r="CW233" s="142" t="str">
        <f t="shared" si="747"/>
        <v>BJHPB3107J</v>
      </c>
    </row>
    <row r="234" spans="2:101" s="149" customFormat="1" ht="11.85" customHeight="1" x14ac:dyDescent="0.25">
      <c r="B234" s="120" t="str">
        <f t="shared" si="710"/>
        <v>Q1</v>
      </c>
      <c r="C234" s="121" t="str">
        <f t="shared" si="711"/>
        <v>Jun-26</v>
      </c>
      <c r="D234" s="122">
        <v>46202</v>
      </c>
      <c r="E234" s="123" t="s">
        <v>4120</v>
      </c>
      <c r="F234" s="123" t="s">
        <v>196</v>
      </c>
      <c r="G234" s="123" t="s">
        <v>198</v>
      </c>
      <c r="H234" s="124" t="s">
        <v>4121</v>
      </c>
      <c r="I234" s="122">
        <v>46202</v>
      </c>
      <c r="J234" s="123" t="s">
        <v>4122</v>
      </c>
      <c r="K234" s="122">
        <v>46202</v>
      </c>
      <c r="L234" s="123" t="s">
        <v>199</v>
      </c>
      <c r="M234" s="123" t="s">
        <v>3462</v>
      </c>
      <c r="N234" s="124" t="s">
        <v>243</v>
      </c>
      <c r="O234" s="123">
        <v>310</v>
      </c>
      <c r="P234" s="124">
        <v>60</v>
      </c>
      <c r="Q234" s="125">
        <f t="shared" si="712"/>
        <v>18600</v>
      </c>
      <c r="R234" s="126">
        <v>0</v>
      </c>
      <c r="S234" s="125">
        <f t="shared" si="713"/>
        <v>310</v>
      </c>
      <c r="T234" s="126">
        <v>0</v>
      </c>
      <c r="U234" s="127">
        <v>0</v>
      </c>
      <c r="V234" s="128">
        <v>0</v>
      </c>
      <c r="W234" s="127">
        <v>0</v>
      </c>
      <c r="X234" s="129">
        <v>0</v>
      </c>
      <c r="Y234" s="127">
        <v>0</v>
      </c>
      <c r="Z234" s="127">
        <v>0</v>
      </c>
      <c r="AA234" s="126">
        <v>0</v>
      </c>
      <c r="AB234" s="130">
        <f t="shared" si="714"/>
        <v>0</v>
      </c>
      <c r="AC234" s="129">
        <v>0</v>
      </c>
      <c r="AD234" s="125">
        <f t="shared" si="715"/>
        <v>60</v>
      </c>
      <c r="AE234" s="144">
        <v>0</v>
      </c>
      <c r="AF234" s="127">
        <v>0</v>
      </c>
      <c r="AG234" s="131">
        <v>0</v>
      </c>
      <c r="AH234" s="127">
        <v>0</v>
      </c>
      <c r="AI234" s="128">
        <v>0</v>
      </c>
      <c r="AJ234" s="127">
        <v>0</v>
      </c>
      <c r="AK234" s="127">
        <v>0</v>
      </c>
      <c r="AL234" s="127">
        <v>0</v>
      </c>
      <c r="AM234" s="132">
        <f t="shared" si="716"/>
        <v>18600</v>
      </c>
      <c r="AN234" s="133">
        <v>46202</v>
      </c>
      <c r="AO234" s="134" t="s">
        <v>4133</v>
      </c>
      <c r="AP234" s="135" t="s">
        <v>234</v>
      </c>
      <c r="AQ234" s="136" t="s">
        <v>235</v>
      </c>
      <c r="AR234" s="136" t="s">
        <v>236</v>
      </c>
      <c r="AS234" s="123" t="s">
        <v>237</v>
      </c>
      <c r="AT234" s="137" t="s">
        <v>238</v>
      </c>
      <c r="AU234" s="137" t="s">
        <v>197</v>
      </c>
      <c r="AV234" s="138" t="s">
        <v>329</v>
      </c>
      <c r="AW234" s="136">
        <v>310</v>
      </c>
      <c r="AX234" s="138">
        <v>80</v>
      </c>
      <c r="AY234" s="136">
        <f t="shared" si="717"/>
        <v>24800</v>
      </c>
      <c r="AZ234" s="139" t="b">
        <f t="shared" si="718"/>
        <v>1</v>
      </c>
      <c r="BA234" s="125">
        <v>0</v>
      </c>
      <c r="BB234" s="140">
        <f t="shared" si="719"/>
        <v>310</v>
      </c>
      <c r="BC234" s="141">
        <v>0</v>
      </c>
      <c r="BD234" s="140" t="s">
        <v>107</v>
      </c>
      <c r="BE234" s="141">
        <v>0</v>
      </c>
      <c r="BF234" s="140">
        <v>0</v>
      </c>
      <c r="BG234" s="141">
        <v>0</v>
      </c>
      <c r="BH234" s="127">
        <v>0</v>
      </c>
      <c r="BI234" s="130">
        <v>0</v>
      </c>
      <c r="BJ234" s="128">
        <v>0</v>
      </c>
      <c r="BK234" s="125">
        <v>0</v>
      </c>
      <c r="BL234" s="136">
        <v>0</v>
      </c>
      <c r="BM234" s="127">
        <v>0</v>
      </c>
      <c r="BN234" s="142">
        <f t="shared" si="720"/>
        <v>0</v>
      </c>
      <c r="BO234" s="126">
        <f t="shared" si="721"/>
        <v>24800</v>
      </c>
      <c r="BP234" s="132">
        <f t="shared" si="722"/>
        <v>6200</v>
      </c>
      <c r="BQ234" s="141" t="str">
        <f t="shared" si="723"/>
        <v>Positive Margin</v>
      </c>
      <c r="BR234" s="143" t="s">
        <v>119</v>
      </c>
      <c r="BS234" s="125">
        <f t="shared" si="724"/>
        <v>6200</v>
      </c>
      <c r="BT234" s="144" t="str">
        <f t="shared" si="725"/>
        <v>Positive Margin at Inception</v>
      </c>
      <c r="BU234" s="145"/>
      <c r="BV234" s="144" t="str">
        <f t="shared" si="726"/>
        <v>Less Than 1%</v>
      </c>
      <c r="BW234" s="125">
        <f t="shared" si="727"/>
        <v>0</v>
      </c>
      <c r="BX234" s="126">
        <f t="shared" si="728"/>
        <v>0</v>
      </c>
      <c r="BY234" s="125">
        <f t="shared" si="729"/>
        <v>0</v>
      </c>
      <c r="BZ234" s="146">
        <f t="shared" si="730"/>
        <v>0</v>
      </c>
      <c r="CA234" s="146">
        <f t="shared" si="731"/>
        <v>0</v>
      </c>
      <c r="CB234" s="127">
        <f t="shared" si="732"/>
        <v>0</v>
      </c>
      <c r="CC234" s="146" t="s">
        <v>397</v>
      </c>
      <c r="CD234" s="127">
        <v>0</v>
      </c>
      <c r="CE234" s="127" t="str">
        <f t="shared" si="733"/>
        <v>Jun-26</v>
      </c>
      <c r="CF234" s="127">
        <f t="shared" si="734"/>
        <v>18600</v>
      </c>
      <c r="CG234" s="127">
        <f t="shared" si="735"/>
        <v>24800</v>
      </c>
      <c r="CH234" s="127">
        <f t="shared" si="736"/>
        <v>13</v>
      </c>
      <c r="CI234" s="147" t="str">
        <f t="shared" si="737"/>
        <v>BG AHD</v>
      </c>
      <c r="CJ234" s="127">
        <v>0</v>
      </c>
      <c r="CK234" s="127">
        <v>0</v>
      </c>
      <c r="CL234" s="127">
        <f t="shared" si="738"/>
        <v>6200</v>
      </c>
      <c r="CM234" s="127">
        <f t="shared" si="739"/>
        <v>6200</v>
      </c>
      <c r="CN234" s="127">
        <f t="shared" si="740"/>
        <v>6200</v>
      </c>
      <c r="CO234" s="127">
        <f t="shared" si="741"/>
        <v>29264</v>
      </c>
      <c r="CP234" s="127">
        <f t="shared" si="742"/>
        <v>-21948</v>
      </c>
      <c r="CQ234" s="127">
        <f t="shared" si="743"/>
        <v>0</v>
      </c>
      <c r="CR234" s="127">
        <f t="shared" si="744"/>
        <v>0</v>
      </c>
      <c r="CS234" s="127">
        <f t="shared" si="745"/>
        <v>7316</v>
      </c>
      <c r="CT234" s="127" t="s">
        <v>361</v>
      </c>
      <c r="CU234" s="127" t="s">
        <v>361</v>
      </c>
      <c r="CV234" s="142" t="str">
        <f t="shared" si="746"/>
        <v>AAMCB5608A</v>
      </c>
      <c r="CW234" s="142" t="str">
        <f t="shared" si="747"/>
        <v>BJHPB3107J</v>
      </c>
    </row>
    <row r="235" spans="2:101" s="149" customFormat="1" ht="11.85" customHeight="1" x14ac:dyDescent="0.25">
      <c r="B235" s="120" t="str">
        <f t="shared" si="710"/>
        <v>Q1</v>
      </c>
      <c r="C235" s="121" t="str">
        <f t="shared" si="711"/>
        <v>Jun-26</v>
      </c>
      <c r="D235" s="122">
        <v>46202</v>
      </c>
      <c r="E235" s="123" t="s">
        <v>4120</v>
      </c>
      <c r="F235" s="123" t="s">
        <v>196</v>
      </c>
      <c r="G235" s="123" t="s">
        <v>198</v>
      </c>
      <c r="H235" s="124" t="s">
        <v>4121</v>
      </c>
      <c r="I235" s="122">
        <v>46202</v>
      </c>
      <c r="J235" s="123" t="s">
        <v>4122</v>
      </c>
      <c r="K235" s="122">
        <v>46202</v>
      </c>
      <c r="L235" s="123" t="s">
        <v>199</v>
      </c>
      <c r="M235" s="123" t="s">
        <v>3462</v>
      </c>
      <c r="N235" s="124" t="s">
        <v>206</v>
      </c>
      <c r="O235" s="123">
        <v>400</v>
      </c>
      <c r="P235" s="124">
        <v>50</v>
      </c>
      <c r="Q235" s="125">
        <f t="shared" si="712"/>
        <v>20000</v>
      </c>
      <c r="R235" s="126">
        <v>0</v>
      </c>
      <c r="S235" s="125">
        <f t="shared" si="713"/>
        <v>400</v>
      </c>
      <c r="T235" s="126">
        <v>0</v>
      </c>
      <c r="U235" s="127">
        <v>0</v>
      </c>
      <c r="V235" s="128">
        <v>0</v>
      </c>
      <c r="W235" s="127">
        <v>0</v>
      </c>
      <c r="X235" s="129">
        <v>0</v>
      </c>
      <c r="Y235" s="127">
        <v>0</v>
      </c>
      <c r="Z235" s="127">
        <v>0</v>
      </c>
      <c r="AA235" s="126">
        <v>0</v>
      </c>
      <c r="AB235" s="130">
        <f t="shared" si="714"/>
        <v>0</v>
      </c>
      <c r="AC235" s="129">
        <v>0</v>
      </c>
      <c r="AD235" s="125">
        <f t="shared" si="715"/>
        <v>50</v>
      </c>
      <c r="AE235" s="144">
        <v>0</v>
      </c>
      <c r="AF235" s="127">
        <v>0</v>
      </c>
      <c r="AG235" s="131">
        <v>0</v>
      </c>
      <c r="AH235" s="127">
        <v>0</v>
      </c>
      <c r="AI235" s="128">
        <v>0</v>
      </c>
      <c r="AJ235" s="127">
        <v>0</v>
      </c>
      <c r="AK235" s="127">
        <v>0</v>
      </c>
      <c r="AL235" s="127">
        <v>0</v>
      </c>
      <c r="AM235" s="132">
        <f t="shared" si="716"/>
        <v>20000</v>
      </c>
      <c r="AN235" s="133">
        <v>46202</v>
      </c>
      <c r="AO235" s="134" t="s">
        <v>4133</v>
      </c>
      <c r="AP235" s="135" t="s">
        <v>234</v>
      </c>
      <c r="AQ235" s="136" t="s">
        <v>235</v>
      </c>
      <c r="AR235" s="136" t="s">
        <v>236</v>
      </c>
      <c r="AS235" s="123" t="s">
        <v>237</v>
      </c>
      <c r="AT235" s="137" t="s">
        <v>238</v>
      </c>
      <c r="AU235" s="137" t="s">
        <v>197</v>
      </c>
      <c r="AV235" s="138" t="s">
        <v>329</v>
      </c>
      <c r="AW235" s="136">
        <v>400</v>
      </c>
      <c r="AX235" s="138">
        <v>70</v>
      </c>
      <c r="AY235" s="136">
        <f t="shared" si="717"/>
        <v>28000</v>
      </c>
      <c r="AZ235" s="139" t="b">
        <f t="shared" si="718"/>
        <v>1</v>
      </c>
      <c r="BA235" s="125">
        <v>0</v>
      </c>
      <c r="BB235" s="140">
        <f t="shared" si="719"/>
        <v>400</v>
      </c>
      <c r="BC235" s="141">
        <v>0</v>
      </c>
      <c r="BD235" s="140" t="s">
        <v>107</v>
      </c>
      <c r="BE235" s="141">
        <v>0</v>
      </c>
      <c r="BF235" s="140">
        <v>0</v>
      </c>
      <c r="BG235" s="141">
        <v>0</v>
      </c>
      <c r="BH235" s="127">
        <v>0</v>
      </c>
      <c r="BI235" s="130">
        <v>0</v>
      </c>
      <c r="BJ235" s="128">
        <v>0</v>
      </c>
      <c r="BK235" s="125">
        <v>0</v>
      </c>
      <c r="BL235" s="136">
        <v>0</v>
      </c>
      <c r="BM235" s="127">
        <v>0</v>
      </c>
      <c r="BN235" s="142">
        <f t="shared" si="720"/>
        <v>0</v>
      </c>
      <c r="BO235" s="126">
        <f t="shared" si="721"/>
        <v>28000</v>
      </c>
      <c r="BP235" s="132">
        <f t="shared" si="722"/>
        <v>8000</v>
      </c>
      <c r="BQ235" s="141" t="str">
        <f t="shared" si="723"/>
        <v>Positive Margin</v>
      </c>
      <c r="BR235" s="143" t="s">
        <v>119</v>
      </c>
      <c r="BS235" s="125">
        <f t="shared" si="724"/>
        <v>8000</v>
      </c>
      <c r="BT235" s="144" t="str">
        <f t="shared" si="725"/>
        <v>Positive Margin at Inception</v>
      </c>
      <c r="BU235" s="145"/>
      <c r="BV235" s="144" t="str">
        <f t="shared" si="726"/>
        <v>Less Than 1%</v>
      </c>
      <c r="BW235" s="125">
        <f t="shared" si="727"/>
        <v>0</v>
      </c>
      <c r="BX235" s="126">
        <f t="shared" si="728"/>
        <v>0</v>
      </c>
      <c r="BY235" s="125">
        <f t="shared" si="729"/>
        <v>0</v>
      </c>
      <c r="BZ235" s="146">
        <f t="shared" si="730"/>
        <v>0</v>
      </c>
      <c r="CA235" s="146">
        <f t="shared" si="731"/>
        <v>0</v>
      </c>
      <c r="CB235" s="127">
        <f t="shared" si="732"/>
        <v>0</v>
      </c>
      <c r="CC235" s="146" t="s">
        <v>397</v>
      </c>
      <c r="CD235" s="127">
        <v>0</v>
      </c>
      <c r="CE235" s="127" t="str">
        <f t="shared" si="733"/>
        <v>Jun-26</v>
      </c>
      <c r="CF235" s="127">
        <f t="shared" si="734"/>
        <v>20000</v>
      </c>
      <c r="CG235" s="127">
        <f t="shared" si="735"/>
        <v>28000</v>
      </c>
      <c r="CH235" s="127">
        <f t="shared" si="736"/>
        <v>13</v>
      </c>
      <c r="CI235" s="147" t="str">
        <f t="shared" si="737"/>
        <v>BG AHD</v>
      </c>
      <c r="CJ235" s="127">
        <v>0</v>
      </c>
      <c r="CK235" s="127">
        <v>0</v>
      </c>
      <c r="CL235" s="127">
        <f t="shared" si="738"/>
        <v>8000</v>
      </c>
      <c r="CM235" s="127">
        <f t="shared" si="739"/>
        <v>8000</v>
      </c>
      <c r="CN235" s="127">
        <f t="shared" si="740"/>
        <v>8000</v>
      </c>
      <c r="CO235" s="127">
        <f t="shared" si="741"/>
        <v>33040</v>
      </c>
      <c r="CP235" s="127">
        <f t="shared" si="742"/>
        <v>-23600</v>
      </c>
      <c r="CQ235" s="127">
        <f t="shared" si="743"/>
        <v>0</v>
      </c>
      <c r="CR235" s="127">
        <f t="shared" si="744"/>
        <v>0</v>
      </c>
      <c r="CS235" s="127">
        <f t="shared" si="745"/>
        <v>9440</v>
      </c>
      <c r="CT235" s="127" t="s">
        <v>361</v>
      </c>
      <c r="CU235" s="127" t="s">
        <v>361</v>
      </c>
      <c r="CV235" s="142" t="str">
        <f t="shared" si="746"/>
        <v>AAMCB5608A</v>
      </c>
      <c r="CW235" s="142" t="str">
        <f t="shared" si="747"/>
        <v>BJHPB3107J</v>
      </c>
    </row>
    <row r="236" spans="2:101" s="149" customFormat="1" ht="11.85" customHeight="1" x14ac:dyDescent="0.25">
      <c r="B236" s="120" t="str">
        <f t="shared" si="710"/>
        <v>Q1</v>
      </c>
      <c r="C236" s="121" t="str">
        <f t="shared" si="711"/>
        <v>Jun-26</v>
      </c>
      <c r="D236" s="122">
        <v>46202</v>
      </c>
      <c r="E236" s="123" t="s">
        <v>4123</v>
      </c>
      <c r="F236" s="123" t="s">
        <v>196</v>
      </c>
      <c r="G236" s="123" t="s">
        <v>198</v>
      </c>
      <c r="H236" s="124" t="s">
        <v>4124</v>
      </c>
      <c r="I236" s="122">
        <v>46202</v>
      </c>
      <c r="J236" s="123" t="s">
        <v>4125</v>
      </c>
      <c r="K236" s="122">
        <v>46202</v>
      </c>
      <c r="L236" s="123" t="s">
        <v>199</v>
      </c>
      <c r="M236" s="123" t="s">
        <v>3167</v>
      </c>
      <c r="N236" s="124" t="s">
        <v>204</v>
      </c>
      <c r="O236" s="123">
        <v>4450</v>
      </c>
      <c r="P236" s="124">
        <v>10</v>
      </c>
      <c r="Q236" s="125">
        <f t="shared" si="712"/>
        <v>44500</v>
      </c>
      <c r="R236" s="126">
        <v>0</v>
      </c>
      <c r="S236" s="125">
        <f t="shared" si="713"/>
        <v>4450</v>
      </c>
      <c r="T236" s="126">
        <v>0</v>
      </c>
      <c r="U236" s="127">
        <v>0</v>
      </c>
      <c r="V236" s="128">
        <v>0</v>
      </c>
      <c r="W236" s="127">
        <v>0</v>
      </c>
      <c r="X236" s="129">
        <v>0</v>
      </c>
      <c r="Y236" s="127">
        <v>0</v>
      </c>
      <c r="Z236" s="127">
        <v>0</v>
      </c>
      <c r="AA236" s="126">
        <v>0</v>
      </c>
      <c r="AB236" s="130">
        <f t="shared" si="714"/>
        <v>0</v>
      </c>
      <c r="AC236" s="129">
        <v>0</v>
      </c>
      <c r="AD236" s="125">
        <f t="shared" si="715"/>
        <v>10</v>
      </c>
      <c r="AE236" s="144">
        <v>0</v>
      </c>
      <c r="AF236" s="127">
        <v>0</v>
      </c>
      <c r="AG236" s="131">
        <v>0</v>
      </c>
      <c r="AH236" s="127">
        <v>0</v>
      </c>
      <c r="AI236" s="128">
        <v>0</v>
      </c>
      <c r="AJ236" s="127">
        <v>0</v>
      </c>
      <c r="AK236" s="127">
        <v>0</v>
      </c>
      <c r="AL236" s="127">
        <v>0</v>
      </c>
      <c r="AM236" s="132">
        <f t="shared" si="716"/>
        <v>44500</v>
      </c>
      <c r="AN236" s="133">
        <v>46202</v>
      </c>
      <c r="AO236" s="134" t="s">
        <v>4134</v>
      </c>
      <c r="AP236" s="135" t="s">
        <v>234</v>
      </c>
      <c r="AQ236" s="136" t="s">
        <v>235</v>
      </c>
      <c r="AR236" s="136" t="s">
        <v>236</v>
      </c>
      <c r="AS236" s="123" t="s">
        <v>239</v>
      </c>
      <c r="AT236" s="137" t="s">
        <v>238</v>
      </c>
      <c r="AU236" s="137" t="s">
        <v>197</v>
      </c>
      <c r="AV236" s="138" t="s">
        <v>329</v>
      </c>
      <c r="AW236" s="136">
        <v>4450</v>
      </c>
      <c r="AX236" s="138">
        <v>11</v>
      </c>
      <c r="AY236" s="136">
        <f t="shared" si="717"/>
        <v>48950</v>
      </c>
      <c r="AZ236" s="139" t="b">
        <f t="shared" si="718"/>
        <v>1</v>
      </c>
      <c r="BA236" s="125">
        <v>0</v>
      </c>
      <c r="BB236" s="140">
        <f t="shared" si="719"/>
        <v>4450</v>
      </c>
      <c r="BC236" s="141">
        <v>0</v>
      </c>
      <c r="BD236" s="140" t="s">
        <v>107</v>
      </c>
      <c r="BE236" s="141">
        <v>0</v>
      </c>
      <c r="BF236" s="140">
        <v>0</v>
      </c>
      <c r="BG236" s="141">
        <v>0</v>
      </c>
      <c r="BH236" s="127">
        <v>0</v>
      </c>
      <c r="BI236" s="130">
        <v>0</v>
      </c>
      <c r="BJ236" s="128">
        <v>0</v>
      </c>
      <c r="BK236" s="125">
        <v>0</v>
      </c>
      <c r="BL236" s="136">
        <v>0</v>
      </c>
      <c r="BM236" s="127">
        <v>0</v>
      </c>
      <c r="BN236" s="142">
        <f t="shared" si="720"/>
        <v>0</v>
      </c>
      <c r="BO236" s="126">
        <f t="shared" si="721"/>
        <v>48950</v>
      </c>
      <c r="BP236" s="132">
        <f t="shared" si="722"/>
        <v>4450</v>
      </c>
      <c r="BQ236" s="141" t="str">
        <f t="shared" si="723"/>
        <v>Positive Margin</v>
      </c>
      <c r="BR236" s="143" t="s">
        <v>119</v>
      </c>
      <c r="BS236" s="125">
        <f t="shared" si="724"/>
        <v>4450</v>
      </c>
      <c r="BT236" s="144" t="str">
        <f t="shared" si="725"/>
        <v>Positive Margin at Inception</v>
      </c>
      <c r="BU236" s="145"/>
      <c r="BV236" s="144" t="str">
        <f t="shared" si="726"/>
        <v>Less Than 1%</v>
      </c>
      <c r="BW236" s="125">
        <f t="shared" si="727"/>
        <v>0</v>
      </c>
      <c r="BX236" s="126">
        <f t="shared" si="728"/>
        <v>0</v>
      </c>
      <c r="BY236" s="125">
        <f t="shared" si="729"/>
        <v>0</v>
      </c>
      <c r="BZ236" s="146">
        <f t="shared" si="730"/>
        <v>0</v>
      </c>
      <c r="CA236" s="146">
        <f t="shared" si="731"/>
        <v>0</v>
      </c>
      <c r="CB236" s="127">
        <f t="shared" si="732"/>
        <v>0</v>
      </c>
      <c r="CC236" s="146" t="s">
        <v>397</v>
      </c>
      <c r="CD236" s="127">
        <v>0</v>
      </c>
      <c r="CE236" s="127" t="str">
        <f t="shared" si="733"/>
        <v>Jun-26</v>
      </c>
      <c r="CF236" s="127">
        <f t="shared" si="734"/>
        <v>44500</v>
      </c>
      <c r="CG236" s="127">
        <f t="shared" si="735"/>
        <v>48950</v>
      </c>
      <c r="CH236" s="127">
        <f t="shared" si="736"/>
        <v>13</v>
      </c>
      <c r="CI236" s="147" t="str">
        <f t="shared" si="737"/>
        <v>BG AHD</v>
      </c>
      <c r="CJ236" s="127">
        <v>0</v>
      </c>
      <c r="CK236" s="127">
        <v>0</v>
      </c>
      <c r="CL236" s="127">
        <f t="shared" si="738"/>
        <v>4450</v>
      </c>
      <c r="CM236" s="127">
        <f t="shared" si="739"/>
        <v>4450</v>
      </c>
      <c r="CN236" s="127">
        <f t="shared" si="740"/>
        <v>4450</v>
      </c>
      <c r="CO236" s="127">
        <f t="shared" si="741"/>
        <v>57761</v>
      </c>
      <c r="CP236" s="127">
        <f t="shared" si="742"/>
        <v>-52510</v>
      </c>
      <c r="CQ236" s="127">
        <f t="shared" si="743"/>
        <v>0</v>
      </c>
      <c r="CR236" s="127">
        <f t="shared" si="744"/>
        <v>0</v>
      </c>
      <c r="CS236" s="127">
        <f t="shared" si="745"/>
        <v>5251</v>
      </c>
      <c r="CT236" s="127" t="s">
        <v>361</v>
      </c>
      <c r="CU236" s="127" t="s">
        <v>361</v>
      </c>
      <c r="CV236" s="142" t="str">
        <f t="shared" si="746"/>
        <v>AAMCB5608A</v>
      </c>
      <c r="CW236" s="142" t="str">
        <f t="shared" si="747"/>
        <v>BJHPB3107J</v>
      </c>
    </row>
    <row r="237" spans="2:101" s="149" customFormat="1" ht="11.85" customHeight="1" x14ac:dyDescent="0.25">
      <c r="B237" s="120" t="str">
        <f t="shared" si="710"/>
        <v>Q1</v>
      </c>
      <c r="C237" s="121" t="str">
        <f t="shared" si="711"/>
        <v>Jun-26</v>
      </c>
      <c r="D237" s="122">
        <v>46202</v>
      </c>
      <c r="E237" s="123" t="s">
        <v>4123</v>
      </c>
      <c r="F237" s="123" t="s">
        <v>196</v>
      </c>
      <c r="G237" s="123" t="s">
        <v>198</v>
      </c>
      <c r="H237" s="124" t="s">
        <v>4124</v>
      </c>
      <c r="I237" s="122">
        <v>46202</v>
      </c>
      <c r="J237" s="123" t="s">
        <v>4125</v>
      </c>
      <c r="K237" s="122">
        <v>46202</v>
      </c>
      <c r="L237" s="123" t="s">
        <v>199</v>
      </c>
      <c r="M237" s="123" t="s">
        <v>3167</v>
      </c>
      <c r="N237" s="124" t="s">
        <v>207</v>
      </c>
      <c r="O237" s="123">
        <v>3420</v>
      </c>
      <c r="P237" s="124">
        <v>6.5</v>
      </c>
      <c r="Q237" s="125">
        <f t="shared" si="712"/>
        <v>22230</v>
      </c>
      <c r="R237" s="126">
        <v>0</v>
      </c>
      <c r="S237" s="125">
        <f t="shared" si="713"/>
        <v>3420</v>
      </c>
      <c r="T237" s="126">
        <v>0</v>
      </c>
      <c r="U237" s="127">
        <v>0</v>
      </c>
      <c r="V237" s="128">
        <v>0</v>
      </c>
      <c r="W237" s="127">
        <v>0</v>
      </c>
      <c r="X237" s="129">
        <v>0</v>
      </c>
      <c r="Y237" s="127">
        <v>0</v>
      </c>
      <c r="Z237" s="127">
        <v>0</v>
      </c>
      <c r="AA237" s="126">
        <v>0</v>
      </c>
      <c r="AB237" s="130">
        <f t="shared" si="714"/>
        <v>0</v>
      </c>
      <c r="AC237" s="129">
        <v>0</v>
      </c>
      <c r="AD237" s="125">
        <f t="shared" si="715"/>
        <v>6.5</v>
      </c>
      <c r="AE237" s="144">
        <v>0</v>
      </c>
      <c r="AF237" s="127">
        <v>0</v>
      </c>
      <c r="AG237" s="131">
        <v>0</v>
      </c>
      <c r="AH237" s="127">
        <v>0</v>
      </c>
      <c r="AI237" s="128">
        <v>0</v>
      </c>
      <c r="AJ237" s="127">
        <v>0</v>
      </c>
      <c r="AK237" s="127">
        <v>0</v>
      </c>
      <c r="AL237" s="127">
        <v>0</v>
      </c>
      <c r="AM237" s="132">
        <f t="shared" si="716"/>
        <v>22230</v>
      </c>
      <c r="AN237" s="133">
        <v>46202</v>
      </c>
      <c r="AO237" s="134" t="s">
        <v>4134</v>
      </c>
      <c r="AP237" s="135" t="s">
        <v>234</v>
      </c>
      <c r="AQ237" s="136" t="s">
        <v>235</v>
      </c>
      <c r="AR237" s="136" t="s">
        <v>236</v>
      </c>
      <c r="AS237" s="123" t="s">
        <v>239</v>
      </c>
      <c r="AT237" s="137" t="s">
        <v>238</v>
      </c>
      <c r="AU237" s="137" t="s">
        <v>197</v>
      </c>
      <c r="AV237" s="138" t="s">
        <v>329</v>
      </c>
      <c r="AW237" s="136">
        <v>3420</v>
      </c>
      <c r="AX237" s="138">
        <v>8</v>
      </c>
      <c r="AY237" s="136">
        <f t="shared" si="717"/>
        <v>27360</v>
      </c>
      <c r="AZ237" s="139" t="b">
        <f t="shared" si="718"/>
        <v>1</v>
      </c>
      <c r="BA237" s="125">
        <v>0</v>
      </c>
      <c r="BB237" s="140">
        <f t="shared" si="719"/>
        <v>3420</v>
      </c>
      <c r="BC237" s="141">
        <v>0</v>
      </c>
      <c r="BD237" s="140" t="s">
        <v>107</v>
      </c>
      <c r="BE237" s="141">
        <v>0</v>
      </c>
      <c r="BF237" s="140">
        <v>0</v>
      </c>
      <c r="BG237" s="141">
        <v>0</v>
      </c>
      <c r="BH237" s="127">
        <v>0</v>
      </c>
      <c r="BI237" s="130">
        <v>0</v>
      </c>
      <c r="BJ237" s="128">
        <v>0</v>
      </c>
      <c r="BK237" s="125">
        <v>0</v>
      </c>
      <c r="BL237" s="136">
        <v>0</v>
      </c>
      <c r="BM237" s="127">
        <v>0</v>
      </c>
      <c r="BN237" s="142">
        <f t="shared" si="720"/>
        <v>0</v>
      </c>
      <c r="BO237" s="126">
        <f t="shared" si="721"/>
        <v>27360</v>
      </c>
      <c r="BP237" s="132">
        <f t="shared" si="722"/>
        <v>5130</v>
      </c>
      <c r="BQ237" s="141" t="str">
        <f t="shared" si="723"/>
        <v>Positive Margin</v>
      </c>
      <c r="BR237" s="143" t="s">
        <v>119</v>
      </c>
      <c r="BS237" s="125">
        <f t="shared" si="724"/>
        <v>5130</v>
      </c>
      <c r="BT237" s="144" t="str">
        <f t="shared" si="725"/>
        <v>Positive Margin at Inception</v>
      </c>
      <c r="BU237" s="145"/>
      <c r="BV237" s="144" t="str">
        <f t="shared" si="726"/>
        <v>Less Than 1%</v>
      </c>
      <c r="BW237" s="125">
        <f t="shared" si="727"/>
        <v>0</v>
      </c>
      <c r="BX237" s="126">
        <f t="shared" si="728"/>
        <v>0</v>
      </c>
      <c r="BY237" s="125">
        <f t="shared" si="729"/>
        <v>0</v>
      </c>
      <c r="BZ237" s="146">
        <f t="shared" si="730"/>
        <v>0</v>
      </c>
      <c r="CA237" s="146">
        <f t="shared" si="731"/>
        <v>0</v>
      </c>
      <c r="CB237" s="127">
        <f t="shared" si="732"/>
        <v>0</v>
      </c>
      <c r="CC237" s="146" t="s">
        <v>397</v>
      </c>
      <c r="CD237" s="127">
        <v>0</v>
      </c>
      <c r="CE237" s="127" t="str">
        <f t="shared" si="733"/>
        <v>Jun-26</v>
      </c>
      <c r="CF237" s="127">
        <f t="shared" si="734"/>
        <v>22230</v>
      </c>
      <c r="CG237" s="127">
        <f t="shared" si="735"/>
        <v>27360</v>
      </c>
      <c r="CH237" s="127">
        <f t="shared" si="736"/>
        <v>13</v>
      </c>
      <c r="CI237" s="147" t="str">
        <f t="shared" si="737"/>
        <v>BG AHD</v>
      </c>
      <c r="CJ237" s="127">
        <v>0</v>
      </c>
      <c r="CK237" s="127">
        <v>0</v>
      </c>
      <c r="CL237" s="127">
        <f t="shared" si="738"/>
        <v>5130</v>
      </c>
      <c r="CM237" s="127">
        <f t="shared" si="739"/>
        <v>5130</v>
      </c>
      <c r="CN237" s="127">
        <f t="shared" si="740"/>
        <v>5130</v>
      </c>
      <c r="CO237" s="127">
        <f t="shared" si="741"/>
        <v>32284.799999999999</v>
      </c>
      <c r="CP237" s="127">
        <f t="shared" si="742"/>
        <v>-26231.399999999998</v>
      </c>
      <c r="CQ237" s="127">
        <f t="shared" si="743"/>
        <v>0</v>
      </c>
      <c r="CR237" s="127">
        <f t="shared" si="744"/>
        <v>0</v>
      </c>
      <c r="CS237" s="127">
        <f t="shared" si="745"/>
        <v>6053.4000000000015</v>
      </c>
      <c r="CT237" s="127" t="s">
        <v>361</v>
      </c>
      <c r="CU237" s="127" t="s">
        <v>361</v>
      </c>
      <c r="CV237" s="142" t="str">
        <f t="shared" si="746"/>
        <v>AAMCB5608A</v>
      </c>
      <c r="CW237" s="142" t="str">
        <f t="shared" si="747"/>
        <v>BJHPB3107J</v>
      </c>
    </row>
    <row r="238" spans="2:101" s="149" customFormat="1" ht="11.85" customHeight="1" x14ac:dyDescent="0.25">
      <c r="B238" s="120" t="str">
        <f t="shared" si="710"/>
        <v>Q1</v>
      </c>
      <c r="C238" s="121" t="str">
        <f t="shared" si="711"/>
        <v>Jun-26</v>
      </c>
      <c r="D238" s="122">
        <v>46202</v>
      </c>
      <c r="E238" s="123" t="s">
        <v>4126</v>
      </c>
      <c r="F238" s="123" t="s">
        <v>3635</v>
      </c>
      <c r="G238" s="123" t="s">
        <v>3636</v>
      </c>
      <c r="H238" s="124" t="s">
        <v>4127</v>
      </c>
      <c r="I238" s="122">
        <v>46202</v>
      </c>
      <c r="J238" s="123" t="s">
        <v>4128</v>
      </c>
      <c r="K238" s="122">
        <v>46202</v>
      </c>
      <c r="L238" s="123" t="s">
        <v>199</v>
      </c>
      <c r="M238" s="123" t="s">
        <v>3896</v>
      </c>
      <c r="N238" s="124" t="s">
        <v>257</v>
      </c>
      <c r="O238" s="123">
        <v>2970</v>
      </c>
      <c r="P238" s="124">
        <v>27.3</v>
      </c>
      <c r="Q238" s="125">
        <f t="shared" si="712"/>
        <v>81081</v>
      </c>
      <c r="R238" s="126">
        <v>0</v>
      </c>
      <c r="S238" s="125">
        <f t="shared" si="713"/>
        <v>2970</v>
      </c>
      <c r="T238" s="126">
        <v>0</v>
      </c>
      <c r="U238" s="127">
        <v>0</v>
      </c>
      <c r="V238" s="128">
        <v>0</v>
      </c>
      <c r="W238" s="127">
        <v>0</v>
      </c>
      <c r="X238" s="129">
        <v>0</v>
      </c>
      <c r="Y238" s="127">
        <v>0</v>
      </c>
      <c r="Z238" s="127">
        <v>0</v>
      </c>
      <c r="AA238" s="126">
        <v>0</v>
      </c>
      <c r="AB238" s="130">
        <f t="shared" si="714"/>
        <v>0</v>
      </c>
      <c r="AC238" s="129">
        <v>0</v>
      </c>
      <c r="AD238" s="125">
        <f t="shared" si="715"/>
        <v>27.3</v>
      </c>
      <c r="AE238" s="144">
        <v>0</v>
      </c>
      <c r="AF238" s="127">
        <v>0</v>
      </c>
      <c r="AG238" s="131">
        <v>0</v>
      </c>
      <c r="AH238" s="127">
        <v>0</v>
      </c>
      <c r="AI238" s="128">
        <v>0</v>
      </c>
      <c r="AJ238" s="127">
        <v>0</v>
      </c>
      <c r="AK238" s="127">
        <v>0</v>
      </c>
      <c r="AL238" s="127">
        <v>0</v>
      </c>
      <c r="AM238" s="132">
        <f t="shared" si="716"/>
        <v>81081</v>
      </c>
      <c r="AN238" s="133">
        <v>46202</v>
      </c>
      <c r="AO238" s="134" t="s">
        <v>4137</v>
      </c>
      <c r="AP238" s="135" t="s">
        <v>1937</v>
      </c>
      <c r="AQ238" s="136" t="s">
        <v>1938</v>
      </c>
      <c r="AR238" s="136" t="s">
        <v>1939</v>
      </c>
      <c r="AS238" s="123" t="s">
        <v>3683</v>
      </c>
      <c r="AT238" s="137" t="s">
        <v>1940</v>
      </c>
      <c r="AU238" s="137" t="s">
        <v>197</v>
      </c>
      <c r="AV238" s="138" t="s">
        <v>4138</v>
      </c>
      <c r="AW238" s="136">
        <v>2970</v>
      </c>
      <c r="AX238" s="138">
        <v>27.9</v>
      </c>
      <c r="AY238" s="136">
        <f t="shared" si="717"/>
        <v>82863</v>
      </c>
      <c r="AZ238" s="139" t="b">
        <f t="shared" si="718"/>
        <v>1</v>
      </c>
      <c r="BA238" s="125">
        <v>0</v>
      </c>
      <c r="BB238" s="140">
        <f t="shared" si="719"/>
        <v>2970</v>
      </c>
      <c r="BC238" s="141">
        <v>0</v>
      </c>
      <c r="BD238" s="140" t="s">
        <v>107</v>
      </c>
      <c r="BE238" s="141">
        <v>0</v>
      </c>
      <c r="BF238" s="140">
        <v>0</v>
      </c>
      <c r="BG238" s="141">
        <v>0</v>
      </c>
      <c r="BH238" s="127">
        <v>0</v>
      </c>
      <c r="BI238" s="130">
        <v>0</v>
      </c>
      <c r="BJ238" s="128">
        <v>0</v>
      </c>
      <c r="BK238" s="125">
        <v>0</v>
      </c>
      <c r="BL238" s="136">
        <v>0</v>
      </c>
      <c r="BM238" s="127">
        <v>0</v>
      </c>
      <c r="BN238" s="142">
        <f t="shared" si="720"/>
        <v>0</v>
      </c>
      <c r="BO238" s="126">
        <f t="shared" si="721"/>
        <v>82863</v>
      </c>
      <c r="BP238" s="132">
        <f t="shared" si="722"/>
        <v>1782</v>
      </c>
      <c r="BQ238" s="141" t="str">
        <f t="shared" si="723"/>
        <v>Positive Margin</v>
      </c>
      <c r="BR238" s="143" t="s">
        <v>119</v>
      </c>
      <c r="BS238" s="125">
        <f t="shared" si="724"/>
        <v>1782</v>
      </c>
      <c r="BT238" s="144" t="str">
        <f t="shared" si="725"/>
        <v>Positive Margin at Inception</v>
      </c>
      <c r="BU238" s="145"/>
      <c r="BV238" s="144" t="str">
        <f t="shared" si="726"/>
        <v>Less Than 1%</v>
      </c>
      <c r="BW238" s="125">
        <f t="shared" si="727"/>
        <v>0</v>
      </c>
      <c r="BX238" s="126">
        <f t="shared" si="728"/>
        <v>0</v>
      </c>
      <c r="BY238" s="125">
        <f t="shared" si="729"/>
        <v>0</v>
      </c>
      <c r="BZ238" s="146">
        <f t="shared" si="730"/>
        <v>0</v>
      </c>
      <c r="CA238" s="146">
        <f t="shared" si="731"/>
        <v>0</v>
      </c>
      <c r="CB238" s="127">
        <f t="shared" si="732"/>
        <v>0</v>
      </c>
      <c r="CC238" s="146" t="s">
        <v>397</v>
      </c>
      <c r="CD238" s="127">
        <v>0</v>
      </c>
      <c r="CE238" s="127" t="str">
        <f t="shared" si="733"/>
        <v>Jun-26</v>
      </c>
      <c r="CF238" s="127">
        <f t="shared" si="734"/>
        <v>81081</v>
      </c>
      <c r="CG238" s="127">
        <f t="shared" si="735"/>
        <v>82863</v>
      </c>
      <c r="CH238" s="127">
        <f t="shared" si="736"/>
        <v>13</v>
      </c>
      <c r="CI238" s="147" t="str">
        <f t="shared" si="737"/>
        <v>B2B</v>
      </c>
      <c r="CJ238" s="127">
        <v>0</v>
      </c>
      <c r="CK238" s="127">
        <v>0</v>
      </c>
      <c r="CL238" s="127">
        <f t="shared" si="738"/>
        <v>1782</v>
      </c>
      <c r="CM238" s="127">
        <f t="shared" si="739"/>
        <v>1782</v>
      </c>
      <c r="CN238" s="127">
        <f t="shared" si="740"/>
        <v>1782</v>
      </c>
      <c r="CO238" s="127">
        <f t="shared" si="741"/>
        <v>97778.34</v>
      </c>
      <c r="CP238" s="127">
        <f t="shared" si="742"/>
        <v>-95675.58</v>
      </c>
      <c r="CQ238" s="127">
        <f t="shared" si="743"/>
        <v>0</v>
      </c>
      <c r="CR238" s="127">
        <f t="shared" si="744"/>
        <v>0</v>
      </c>
      <c r="CS238" s="127">
        <f t="shared" si="745"/>
        <v>2102.7599999999948</v>
      </c>
      <c r="CT238" s="127" t="s">
        <v>361</v>
      </c>
      <c r="CU238" s="127" t="s">
        <v>361</v>
      </c>
      <c r="CV238" s="142" t="str">
        <f t="shared" si="746"/>
        <v>AAHCR8445C</v>
      </c>
      <c r="CW238" s="142" t="str">
        <f t="shared" si="747"/>
        <v>AFDPY5902R</v>
      </c>
    </row>
    <row r="239" spans="2:101" s="149" customFormat="1" ht="11.85" customHeight="1" x14ac:dyDescent="0.25">
      <c r="B239" s="120" t="str">
        <f t="shared" si="710"/>
        <v>Q1</v>
      </c>
      <c r="C239" s="121" t="str">
        <f t="shared" si="711"/>
        <v>Jun-26</v>
      </c>
      <c r="D239" s="122">
        <v>46203</v>
      </c>
      <c r="E239" s="123" t="s">
        <v>4129</v>
      </c>
      <c r="F239" s="123" t="s">
        <v>196</v>
      </c>
      <c r="G239" s="123" t="s">
        <v>198</v>
      </c>
      <c r="H239" s="124" t="s">
        <v>4130</v>
      </c>
      <c r="I239" s="122">
        <v>46203</v>
      </c>
      <c r="J239" s="123" t="s">
        <v>4131</v>
      </c>
      <c r="K239" s="122">
        <v>46203</v>
      </c>
      <c r="L239" s="123" t="s">
        <v>199</v>
      </c>
      <c r="M239" s="123" t="s">
        <v>2331</v>
      </c>
      <c r="N239" s="124" t="s">
        <v>3585</v>
      </c>
      <c r="O239" s="123">
        <v>1370</v>
      </c>
      <c r="P239" s="124">
        <v>14</v>
      </c>
      <c r="Q239" s="125">
        <f t="shared" si="712"/>
        <v>19180</v>
      </c>
      <c r="R239" s="126">
        <v>0</v>
      </c>
      <c r="S239" s="125">
        <f t="shared" si="713"/>
        <v>1370</v>
      </c>
      <c r="T239" s="126">
        <v>0</v>
      </c>
      <c r="U239" s="127">
        <v>0</v>
      </c>
      <c r="V239" s="128">
        <v>0</v>
      </c>
      <c r="W239" s="127">
        <v>0</v>
      </c>
      <c r="X239" s="129">
        <v>0</v>
      </c>
      <c r="Y239" s="127">
        <v>0</v>
      </c>
      <c r="Z239" s="127">
        <v>0</v>
      </c>
      <c r="AA239" s="126">
        <v>0</v>
      </c>
      <c r="AB239" s="130">
        <f t="shared" si="714"/>
        <v>0</v>
      </c>
      <c r="AC239" s="129">
        <v>0</v>
      </c>
      <c r="AD239" s="125">
        <f t="shared" si="715"/>
        <v>14</v>
      </c>
      <c r="AE239" s="144">
        <v>0</v>
      </c>
      <c r="AF239" s="127">
        <v>0</v>
      </c>
      <c r="AG239" s="131">
        <v>0</v>
      </c>
      <c r="AH239" s="127">
        <v>0</v>
      </c>
      <c r="AI239" s="128">
        <v>0</v>
      </c>
      <c r="AJ239" s="127">
        <v>0</v>
      </c>
      <c r="AK239" s="127">
        <v>0</v>
      </c>
      <c r="AL239" s="127">
        <v>0</v>
      </c>
      <c r="AM239" s="132">
        <f t="shared" si="716"/>
        <v>19180</v>
      </c>
      <c r="AN239" s="133">
        <v>46203</v>
      </c>
      <c r="AO239" s="134" t="s">
        <v>4136</v>
      </c>
      <c r="AP239" s="135" t="s">
        <v>234</v>
      </c>
      <c r="AQ239" s="136" t="s">
        <v>235</v>
      </c>
      <c r="AR239" s="136" t="s">
        <v>236</v>
      </c>
      <c r="AS239" s="123" t="s">
        <v>239</v>
      </c>
      <c r="AT239" s="137" t="s">
        <v>238</v>
      </c>
      <c r="AU239" s="137" t="s">
        <v>197</v>
      </c>
      <c r="AV239" s="138" t="s">
        <v>329</v>
      </c>
      <c r="AW239" s="136">
        <v>1370</v>
      </c>
      <c r="AX239" s="138">
        <v>16</v>
      </c>
      <c r="AY239" s="136">
        <f t="shared" si="717"/>
        <v>21920</v>
      </c>
      <c r="AZ239" s="139" t="b">
        <f t="shared" si="718"/>
        <v>1</v>
      </c>
      <c r="BA239" s="125">
        <v>0</v>
      </c>
      <c r="BB239" s="140">
        <f t="shared" si="719"/>
        <v>1370</v>
      </c>
      <c r="BC239" s="141">
        <v>0</v>
      </c>
      <c r="BD239" s="140" t="s">
        <v>107</v>
      </c>
      <c r="BE239" s="141">
        <v>0</v>
      </c>
      <c r="BF239" s="140">
        <v>0</v>
      </c>
      <c r="BG239" s="141">
        <v>0</v>
      </c>
      <c r="BH239" s="127">
        <v>0</v>
      </c>
      <c r="BI239" s="130">
        <v>0</v>
      </c>
      <c r="BJ239" s="128">
        <v>0</v>
      </c>
      <c r="BK239" s="125">
        <v>0</v>
      </c>
      <c r="BL239" s="136">
        <v>0</v>
      </c>
      <c r="BM239" s="127">
        <v>0</v>
      </c>
      <c r="BN239" s="142">
        <f t="shared" si="720"/>
        <v>0</v>
      </c>
      <c r="BO239" s="126">
        <f t="shared" si="721"/>
        <v>21920</v>
      </c>
      <c r="BP239" s="132">
        <f t="shared" si="722"/>
        <v>2740</v>
      </c>
      <c r="BQ239" s="141" t="str">
        <f t="shared" si="723"/>
        <v>Positive Margin</v>
      </c>
      <c r="BR239" s="143" t="s">
        <v>119</v>
      </c>
      <c r="BS239" s="125">
        <f t="shared" si="724"/>
        <v>2740</v>
      </c>
      <c r="BT239" s="144" t="str">
        <f t="shared" si="725"/>
        <v>Positive Margin at Inception</v>
      </c>
      <c r="BU239" s="145"/>
      <c r="BV239" s="144" t="str">
        <f t="shared" si="726"/>
        <v>Less Than 1%</v>
      </c>
      <c r="BW239" s="125">
        <f t="shared" si="727"/>
        <v>0</v>
      </c>
      <c r="BX239" s="126">
        <f t="shared" si="728"/>
        <v>0</v>
      </c>
      <c r="BY239" s="125">
        <f t="shared" si="729"/>
        <v>0</v>
      </c>
      <c r="BZ239" s="146">
        <f t="shared" si="730"/>
        <v>0</v>
      </c>
      <c r="CA239" s="146">
        <f t="shared" si="731"/>
        <v>0</v>
      </c>
      <c r="CB239" s="127">
        <f t="shared" si="732"/>
        <v>0</v>
      </c>
      <c r="CC239" s="146" t="s">
        <v>397</v>
      </c>
      <c r="CD239" s="127">
        <v>0</v>
      </c>
      <c r="CE239" s="127" t="str">
        <f t="shared" si="733"/>
        <v>Jun-26</v>
      </c>
      <c r="CF239" s="127">
        <f t="shared" si="734"/>
        <v>19180</v>
      </c>
      <c r="CG239" s="127">
        <f t="shared" si="735"/>
        <v>21920</v>
      </c>
      <c r="CH239" s="127">
        <f t="shared" si="736"/>
        <v>13</v>
      </c>
      <c r="CI239" s="147" t="str">
        <f t="shared" si="737"/>
        <v>BG AHD</v>
      </c>
      <c r="CJ239" s="127">
        <v>0</v>
      </c>
      <c r="CK239" s="127">
        <v>0</v>
      </c>
      <c r="CL239" s="127">
        <f t="shared" si="738"/>
        <v>2740</v>
      </c>
      <c r="CM239" s="127">
        <f t="shared" si="739"/>
        <v>2740</v>
      </c>
      <c r="CN239" s="127">
        <f t="shared" si="740"/>
        <v>2740</v>
      </c>
      <c r="CO239" s="127">
        <f t="shared" si="741"/>
        <v>25865.599999999999</v>
      </c>
      <c r="CP239" s="127">
        <f t="shared" si="742"/>
        <v>-22632.399999999998</v>
      </c>
      <c r="CQ239" s="127">
        <f t="shared" si="743"/>
        <v>0</v>
      </c>
      <c r="CR239" s="127">
        <f t="shared" si="744"/>
        <v>0</v>
      </c>
      <c r="CS239" s="127">
        <f t="shared" si="745"/>
        <v>3233.2000000000007</v>
      </c>
      <c r="CT239" s="127" t="s">
        <v>361</v>
      </c>
      <c r="CU239" s="127" t="s">
        <v>361</v>
      </c>
      <c r="CV239" s="142" t="str">
        <f t="shared" si="746"/>
        <v>AAMCB5608A</v>
      </c>
      <c r="CW239" s="142" t="str">
        <f t="shared" si="747"/>
        <v>BJHPB3107J</v>
      </c>
    </row>
    <row r="240" spans="2:101" s="149" customFormat="1" ht="11.85" customHeight="1" x14ac:dyDescent="0.25">
      <c r="B240" s="120" t="str">
        <f t="shared" si="710"/>
        <v>Q1</v>
      </c>
      <c r="C240" s="121" t="str">
        <f t="shared" si="711"/>
        <v>Jun-26</v>
      </c>
      <c r="D240" s="122">
        <v>46203</v>
      </c>
      <c r="E240" s="123" t="s">
        <v>4129</v>
      </c>
      <c r="F240" s="123" t="s">
        <v>196</v>
      </c>
      <c r="G240" s="123" t="s">
        <v>198</v>
      </c>
      <c r="H240" s="124" t="s">
        <v>4130</v>
      </c>
      <c r="I240" s="122">
        <v>46203</v>
      </c>
      <c r="J240" s="123" t="s">
        <v>4131</v>
      </c>
      <c r="K240" s="122">
        <v>46203</v>
      </c>
      <c r="L240" s="123" t="s">
        <v>199</v>
      </c>
      <c r="M240" s="123" t="s">
        <v>2331</v>
      </c>
      <c r="N240" s="124" t="s">
        <v>205</v>
      </c>
      <c r="O240" s="123">
        <v>430</v>
      </c>
      <c r="P240" s="124">
        <v>12</v>
      </c>
      <c r="Q240" s="125">
        <f t="shared" si="712"/>
        <v>5160</v>
      </c>
      <c r="R240" s="126">
        <v>0</v>
      </c>
      <c r="S240" s="125">
        <f t="shared" si="713"/>
        <v>430</v>
      </c>
      <c r="T240" s="126">
        <v>0</v>
      </c>
      <c r="U240" s="127">
        <v>0</v>
      </c>
      <c r="V240" s="128">
        <v>0</v>
      </c>
      <c r="W240" s="127">
        <v>0</v>
      </c>
      <c r="X240" s="129">
        <v>0</v>
      </c>
      <c r="Y240" s="127">
        <v>0</v>
      </c>
      <c r="Z240" s="127">
        <v>0</v>
      </c>
      <c r="AA240" s="126">
        <v>0</v>
      </c>
      <c r="AB240" s="130">
        <f t="shared" si="714"/>
        <v>0</v>
      </c>
      <c r="AC240" s="129">
        <v>0</v>
      </c>
      <c r="AD240" s="125">
        <f t="shared" si="715"/>
        <v>12</v>
      </c>
      <c r="AE240" s="144">
        <v>0</v>
      </c>
      <c r="AF240" s="127">
        <v>0</v>
      </c>
      <c r="AG240" s="131">
        <v>0</v>
      </c>
      <c r="AH240" s="127">
        <v>0</v>
      </c>
      <c r="AI240" s="128">
        <v>0</v>
      </c>
      <c r="AJ240" s="127">
        <v>0</v>
      </c>
      <c r="AK240" s="127">
        <v>0</v>
      </c>
      <c r="AL240" s="127">
        <v>0</v>
      </c>
      <c r="AM240" s="132">
        <f t="shared" si="716"/>
        <v>5160</v>
      </c>
      <c r="AN240" s="133">
        <v>46203</v>
      </c>
      <c r="AO240" s="134" t="s">
        <v>4136</v>
      </c>
      <c r="AP240" s="135" t="s">
        <v>234</v>
      </c>
      <c r="AQ240" s="136" t="s">
        <v>235</v>
      </c>
      <c r="AR240" s="136" t="s">
        <v>236</v>
      </c>
      <c r="AS240" s="123" t="s">
        <v>239</v>
      </c>
      <c r="AT240" s="137" t="s">
        <v>238</v>
      </c>
      <c r="AU240" s="137" t="s">
        <v>197</v>
      </c>
      <c r="AV240" s="138" t="s">
        <v>329</v>
      </c>
      <c r="AW240" s="136">
        <v>430</v>
      </c>
      <c r="AX240" s="138">
        <v>14</v>
      </c>
      <c r="AY240" s="136">
        <f t="shared" si="717"/>
        <v>6020</v>
      </c>
      <c r="AZ240" s="139" t="b">
        <f t="shared" si="718"/>
        <v>1</v>
      </c>
      <c r="BA240" s="125">
        <v>0</v>
      </c>
      <c r="BB240" s="140">
        <f t="shared" si="719"/>
        <v>430</v>
      </c>
      <c r="BC240" s="141">
        <v>0</v>
      </c>
      <c r="BD240" s="140" t="s">
        <v>107</v>
      </c>
      <c r="BE240" s="141">
        <v>0</v>
      </c>
      <c r="BF240" s="140">
        <v>0</v>
      </c>
      <c r="BG240" s="141">
        <v>0</v>
      </c>
      <c r="BH240" s="127">
        <v>0</v>
      </c>
      <c r="BI240" s="130">
        <v>0</v>
      </c>
      <c r="BJ240" s="128">
        <v>0</v>
      </c>
      <c r="BK240" s="125">
        <v>0</v>
      </c>
      <c r="BL240" s="136">
        <v>0</v>
      </c>
      <c r="BM240" s="127">
        <v>0</v>
      </c>
      <c r="BN240" s="142">
        <f t="shared" si="720"/>
        <v>0</v>
      </c>
      <c r="BO240" s="126">
        <f t="shared" si="721"/>
        <v>6020</v>
      </c>
      <c r="BP240" s="132">
        <f t="shared" si="722"/>
        <v>860</v>
      </c>
      <c r="BQ240" s="141" t="str">
        <f t="shared" si="723"/>
        <v>Positive Margin</v>
      </c>
      <c r="BR240" s="143" t="s">
        <v>119</v>
      </c>
      <c r="BS240" s="125">
        <f t="shared" si="724"/>
        <v>860</v>
      </c>
      <c r="BT240" s="144" t="str">
        <f t="shared" si="725"/>
        <v>Positive Margin at Inception</v>
      </c>
      <c r="BU240" s="145"/>
      <c r="BV240" s="144" t="str">
        <f t="shared" si="726"/>
        <v>Less Than 1%</v>
      </c>
      <c r="BW240" s="125">
        <f t="shared" si="727"/>
        <v>0</v>
      </c>
      <c r="BX240" s="126">
        <f t="shared" si="728"/>
        <v>0</v>
      </c>
      <c r="BY240" s="125">
        <f t="shared" si="729"/>
        <v>0</v>
      </c>
      <c r="BZ240" s="146">
        <f t="shared" si="730"/>
        <v>0</v>
      </c>
      <c r="CA240" s="146">
        <f t="shared" si="731"/>
        <v>0</v>
      </c>
      <c r="CB240" s="127">
        <f t="shared" si="732"/>
        <v>0</v>
      </c>
      <c r="CC240" s="146" t="s">
        <v>397</v>
      </c>
      <c r="CD240" s="127">
        <v>0</v>
      </c>
      <c r="CE240" s="127" t="str">
        <f t="shared" si="733"/>
        <v>Jun-26</v>
      </c>
      <c r="CF240" s="127">
        <f t="shared" si="734"/>
        <v>5160</v>
      </c>
      <c r="CG240" s="127">
        <f t="shared" si="735"/>
        <v>6020</v>
      </c>
      <c r="CH240" s="127">
        <f t="shared" si="736"/>
        <v>13</v>
      </c>
      <c r="CI240" s="147" t="str">
        <f t="shared" si="737"/>
        <v>BG AHD</v>
      </c>
      <c r="CJ240" s="127">
        <v>0</v>
      </c>
      <c r="CK240" s="127">
        <v>0</v>
      </c>
      <c r="CL240" s="127">
        <f t="shared" si="738"/>
        <v>860</v>
      </c>
      <c r="CM240" s="127">
        <f t="shared" si="739"/>
        <v>860</v>
      </c>
      <c r="CN240" s="127">
        <f t="shared" si="740"/>
        <v>860</v>
      </c>
      <c r="CO240" s="127">
        <f t="shared" si="741"/>
        <v>7103.5999999999995</v>
      </c>
      <c r="CP240" s="127">
        <f t="shared" si="742"/>
        <v>-6088.7999999999993</v>
      </c>
      <c r="CQ240" s="127">
        <f t="shared" si="743"/>
        <v>0</v>
      </c>
      <c r="CR240" s="127">
        <f t="shared" si="744"/>
        <v>0</v>
      </c>
      <c r="CS240" s="127">
        <f t="shared" si="745"/>
        <v>1014.8000000000002</v>
      </c>
      <c r="CT240" s="127" t="s">
        <v>361</v>
      </c>
      <c r="CU240" s="127" t="s">
        <v>361</v>
      </c>
      <c r="CV240" s="142" t="str">
        <f t="shared" si="746"/>
        <v>AAMCB5608A</v>
      </c>
      <c r="CW240" s="142" t="str">
        <f t="shared" si="747"/>
        <v>BJHPB3107J</v>
      </c>
    </row>
    <row r="241" spans="2:101" s="149" customFormat="1" ht="11.85" customHeight="1" x14ac:dyDescent="0.25">
      <c r="B241" s="120" t="str">
        <f t="shared" si="710"/>
        <v>Q1</v>
      </c>
      <c r="C241" s="121" t="str">
        <f t="shared" si="711"/>
        <v>Jun-26</v>
      </c>
      <c r="D241" s="122">
        <v>46203</v>
      </c>
      <c r="E241" s="123" t="s">
        <v>4129</v>
      </c>
      <c r="F241" s="123" t="s">
        <v>196</v>
      </c>
      <c r="G241" s="123" t="s">
        <v>198</v>
      </c>
      <c r="H241" s="124" t="s">
        <v>4130</v>
      </c>
      <c r="I241" s="122">
        <v>46203</v>
      </c>
      <c r="J241" s="123" t="s">
        <v>4131</v>
      </c>
      <c r="K241" s="122">
        <v>46203</v>
      </c>
      <c r="L241" s="123" t="s">
        <v>199</v>
      </c>
      <c r="M241" s="123" t="s">
        <v>2331</v>
      </c>
      <c r="N241" s="124" t="s">
        <v>207</v>
      </c>
      <c r="O241" s="123">
        <v>100</v>
      </c>
      <c r="P241" s="124">
        <v>6.5</v>
      </c>
      <c r="Q241" s="125">
        <f t="shared" si="712"/>
        <v>650</v>
      </c>
      <c r="R241" s="126">
        <v>0</v>
      </c>
      <c r="S241" s="125">
        <f t="shared" si="713"/>
        <v>100</v>
      </c>
      <c r="T241" s="126">
        <v>0</v>
      </c>
      <c r="U241" s="127">
        <v>0</v>
      </c>
      <c r="V241" s="128">
        <v>0</v>
      </c>
      <c r="W241" s="127">
        <v>0</v>
      </c>
      <c r="X241" s="129">
        <v>0</v>
      </c>
      <c r="Y241" s="127">
        <v>0</v>
      </c>
      <c r="Z241" s="127">
        <v>0</v>
      </c>
      <c r="AA241" s="126">
        <v>0</v>
      </c>
      <c r="AB241" s="130">
        <f t="shared" si="714"/>
        <v>0</v>
      </c>
      <c r="AC241" s="129">
        <v>0</v>
      </c>
      <c r="AD241" s="125">
        <f t="shared" si="715"/>
        <v>6.5</v>
      </c>
      <c r="AE241" s="144">
        <v>0</v>
      </c>
      <c r="AF241" s="127">
        <v>0</v>
      </c>
      <c r="AG241" s="131">
        <v>0</v>
      </c>
      <c r="AH241" s="127">
        <v>0</v>
      </c>
      <c r="AI241" s="128">
        <v>0</v>
      </c>
      <c r="AJ241" s="127">
        <v>0</v>
      </c>
      <c r="AK241" s="127">
        <v>0</v>
      </c>
      <c r="AL241" s="127">
        <v>0</v>
      </c>
      <c r="AM241" s="132">
        <f t="shared" si="716"/>
        <v>650</v>
      </c>
      <c r="AN241" s="133">
        <v>46203</v>
      </c>
      <c r="AO241" s="134" t="s">
        <v>4136</v>
      </c>
      <c r="AP241" s="135" t="s">
        <v>234</v>
      </c>
      <c r="AQ241" s="136" t="s">
        <v>235</v>
      </c>
      <c r="AR241" s="136" t="s">
        <v>236</v>
      </c>
      <c r="AS241" s="123" t="s">
        <v>239</v>
      </c>
      <c r="AT241" s="137" t="s">
        <v>238</v>
      </c>
      <c r="AU241" s="137" t="s">
        <v>197</v>
      </c>
      <c r="AV241" s="138" t="s">
        <v>329</v>
      </c>
      <c r="AW241" s="136">
        <v>100</v>
      </c>
      <c r="AX241" s="138">
        <v>8</v>
      </c>
      <c r="AY241" s="136">
        <f t="shared" si="717"/>
        <v>800</v>
      </c>
      <c r="AZ241" s="139" t="b">
        <f t="shared" si="718"/>
        <v>1</v>
      </c>
      <c r="BA241" s="125">
        <v>0</v>
      </c>
      <c r="BB241" s="140">
        <f t="shared" si="719"/>
        <v>100</v>
      </c>
      <c r="BC241" s="141">
        <v>0</v>
      </c>
      <c r="BD241" s="140" t="s">
        <v>107</v>
      </c>
      <c r="BE241" s="141">
        <v>0</v>
      </c>
      <c r="BF241" s="140">
        <v>0</v>
      </c>
      <c r="BG241" s="141">
        <v>0</v>
      </c>
      <c r="BH241" s="127">
        <v>0</v>
      </c>
      <c r="BI241" s="130">
        <v>0</v>
      </c>
      <c r="BJ241" s="128">
        <v>0</v>
      </c>
      <c r="BK241" s="125">
        <v>0</v>
      </c>
      <c r="BL241" s="136">
        <v>0</v>
      </c>
      <c r="BM241" s="127">
        <v>0</v>
      </c>
      <c r="BN241" s="142">
        <f t="shared" si="720"/>
        <v>0</v>
      </c>
      <c r="BO241" s="126">
        <f t="shared" si="721"/>
        <v>800</v>
      </c>
      <c r="BP241" s="132">
        <f t="shared" si="722"/>
        <v>150</v>
      </c>
      <c r="BQ241" s="141" t="str">
        <f t="shared" si="723"/>
        <v>Positive Margin</v>
      </c>
      <c r="BR241" s="143" t="s">
        <v>119</v>
      </c>
      <c r="BS241" s="125">
        <f t="shared" si="724"/>
        <v>150</v>
      </c>
      <c r="BT241" s="144" t="str">
        <f t="shared" si="725"/>
        <v>Positive Margin at Inception</v>
      </c>
      <c r="BU241" s="145"/>
      <c r="BV241" s="144" t="str">
        <f t="shared" si="726"/>
        <v>Less Than 1%</v>
      </c>
      <c r="BW241" s="125">
        <f t="shared" si="727"/>
        <v>0</v>
      </c>
      <c r="BX241" s="126">
        <f t="shared" si="728"/>
        <v>0</v>
      </c>
      <c r="BY241" s="125">
        <f t="shared" si="729"/>
        <v>0</v>
      </c>
      <c r="BZ241" s="146">
        <f t="shared" si="730"/>
        <v>0</v>
      </c>
      <c r="CA241" s="146">
        <f t="shared" si="731"/>
        <v>0</v>
      </c>
      <c r="CB241" s="127">
        <f t="shared" si="732"/>
        <v>0</v>
      </c>
      <c r="CC241" s="146" t="s">
        <v>397</v>
      </c>
      <c r="CD241" s="127">
        <v>0</v>
      </c>
      <c r="CE241" s="127" t="str">
        <f t="shared" si="733"/>
        <v>Jun-26</v>
      </c>
      <c r="CF241" s="127">
        <f t="shared" si="734"/>
        <v>650</v>
      </c>
      <c r="CG241" s="127">
        <f t="shared" si="735"/>
        <v>800</v>
      </c>
      <c r="CH241" s="127">
        <f t="shared" si="736"/>
        <v>13</v>
      </c>
      <c r="CI241" s="147" t="str">
        <f t="shared" si="737"/>
        <v>BG AHD</v>
      </c>
      <c r="CJ241" s="127">
        <v>0</v>
      </c>
      <c r="CK241" s="127">
        <v>0</v>
      </c>
      <c r="CL241" s="127">
        <f t="shared" si="738"/>
        <v>150</v>
      </c>
      <c r="CM241" s="127">
        <f t="shared" si="739"/>
        <v>150</v>
      </c>
      <c r="CN241" s="127">
        <f t="shared" si="740"/>
        <v>150</v>
      </c>
      <c r="CO241" s="127">
        <f t="shared" si="741"/>
        <v>944</v>
      </c>
      <c r="CP241" s="127">
        <f t="shared" si="742"/>
        <v>-767</v>
      </c>
      <c r="CQ241" s="127">
        <f t="shared" si="743"/>
        <v>0</v>
      </c>
      <c r="CR241" s="127">
        <f t="shared" si="744"/>
        <v>0</v>
      </c>
      <c r="CS241" s="127">
        <f t="shared" si="745"/>
        <v>177</v>
      </c>
      <c r="CT241" s="127" t="s">
        <v>361</v>
      </c>
      <c r="CU241" s="127" t="s">
        <v>361</v>
      </c>
      <c r="CV241" s="142" t="str">
        <f t="shared" si="746"/>
        <v>AAMCB5608A</v>
      </c>
      <c r="CW241" s="142" t="str">
        <f t="shared" si="747"/>
        <v>BJHPB3107J</v>
      </c>
    </row>
    <row r="242" spans="2:101" s="149" customFormat="1" ht="11.85" customHeight="1" x14ac:dyDescent="0.25">
      <c r="B242" s="120"/>
      <c r="C242" s="121"/>
      <c r="D242" s="122"/>
      <c r="E242" s="123"/>
      <c r="F242" s="123"/>
      <c r="G242" s="123"/>
      <c r="H242" s="124"/>
      <c r="I242" s="122"/>
      <c r="J242" s="123"/>
      <c r="K242" s="122"/>
      <c r="L242" s="123"/>
      <c r="M242" s="123"/>
      <c r="N242" s="124"/>
      <c r="O242" s="123"/>
      <c r="P242" s="124"/>
      <c r="Q242" s="125"/>
      <c r="R242" s="126"/>
      <c r="S242" s="125"/>
      <c r="T242" s="126"/>
      <c r="U242" s="127"/>
      <c r="V242" s="128"/>
      <c r="W242" s="127"/>
      <c r="X242" s="129"/>
      <c r="Y242" s="127"/>
      <c r="Z242" s="127"/>
      <c r="AA242" s="126"/>
      <c r="AB242" s="130"/>
      <c r="AC242" s="129"/>
      <c r="AD242" s="558"/>
      <c r="AE242" s="144"/>
      <c r="AF242" s="127"/>
      <c r="AG242" s="131"/>
      <c r="AH242" s="127"/>
      <c r="AI242" s="128"/>
      <c r="AJ242" s="127"/>
      <c r="AK242" s="127"/>
      <c r="AL242" s="127"/>
      <c r="AM242" s="132"/>
      <c r="AN242" s="133"/>
      <c r="AO242" s="134"/>
      <c r="AP242" s="135"/>
      <c r="AQ242" s="136"/>
      <c r="AR242" s="136"/>
      <c r="AS242" s="123"/>
      <c r="AT242" s="137"/>
      <c r="AU242" s="137"/>
      <c r="AV242" s="138"/>
      <c r="AW242" s="136"/>
      <c r="AX242" s="138"/>
      <c r="AY242" s="136"/>
      <c r="AZ242" s="139"/>
      <c r="BA242" s="125"/>
      <c r="BB242" s="140"/>
      <c r="BC242" s="141"/>
      <c r="BD242" s="140"/>
      <c r="BE242" s="141"/>
      <c r="BF242" s="140"/>
      <c r="BG242" s="141"/>
      <c r="BH242" s="127"/>
      <c r="BI242" s="130"/>
      <c r="BJ242" s="128"/>
      <c r="BK242" s="125"/>
      <c r="BL242" s="136"/>
      <c r="BM242" s="136"/>
      <c r="BN242" s="153"/>
      <c r="BO242" s="126"/>
      <c r="BP242" s="132"/>
      <c r="BQ242" s="141"/>
      <c r="BR242" s="143"/>
      <c r="BS242" s="125"/>
      <c r="BT242" s="144"/>
      <c r="BU242" s="145"/>
      <c r="BV242" s="144"/>
      <c r="BW242" s="125"/>
      <c r="BX242" s="126"/>
      <c r="BY242" s="125"/>
      <c r="BZ242" s="146"/>
      <c r="CA242" s="146"/>
      <c r="CB242" s="127"/>
      <c r="CC242" s="146"/>
      <c r="CD242" s="127"/>
      <c r="CE242" s="127"/>
      <c r="CF242" s="127"/>
      <c r="CG242" s="127"/>
      <c r="CH242" s="127"/>
      <c r="CI242" s="147"/>
      <c r="CJ242" s="127"/>
      <c r="CK242" s="127"/>
      <c r="CL242" s="127"/>
      <c r="CM242" s="127"/>
      <c r="CN242" s="127"/>
      <c r="CO242" s="127"/>
      <c r="CP242" s="127"/>
      <c r="CQ242" s="127"/>
      <c r="CR242" s="127"/>
      <c r="CS242" s="127"/>
      <c r="CT242" s="127"/>
      <c r="CU242" s="127"/>
      <c r="CV242" s="142"/>
      <c r="CW242" s="142"/>
    </row>
    <row r="243" spans="2:101" s="149" customFormat="1" ht="11.85" customHeight="1" thickBot="1" x14ac:dyDescent="0.3">
      <c r="B243" s="120"/>
      <c r="C243" s="121"/>
      <c r="D243" s="122"/>
      <c r="E243" s="123"/>
      <c r="F243" s="123"/>
      <c r="G243" s="123"/>
      <c r="H243" s="124"/>
      <c r="I243" s="150"/>
      <c r="J243" s="151"/>
      <c r="K243" s="150"/>
      <c r="L243" s="151"/>
      <c r="M243" s="123"/>
      <c r="N243" s="124"/>
      <c r="O243" s="151" t="s">
        <v>2340</v>
      </c>
      <c r="P243" s="124"/>
      <c r="Q243" s="125"/>
      <c r="R243" s="126"/>
      <c r="S243" s="125"/>
      <c r="T243" s="126"/>
      <c r="U243" s="127"/>
      <c r="V243" s="128"/>
      <c r="W243" s="127"/>
      <c r="X243" s="129"/>
      <c r="Y243" s="127"/>
      <c r="Z243" s="127"/>
      <c r="AA243" s="126"/>
      <c r="AB243" s="125"/>
      <c r="AC243" s="126"/>
      <c r="AD243" s="244"/>
      <c r="AE243" s="144"/>
      <c r="AF243" s="127"/>
      <c r="AG243" s="127"/>
      <c r="AH243" s="127"/>
      <c r="AI243" s="128"/>
      <c r="AJ243" s="127"/>
      <c r="AK243" s="127"/>
      <c r="AL243" s="127"/>
      <c r="AM243" s="132"/>
      <c r="AN243" s="133"/>
      <c r="AO243" s="134"/>
      <c r="AP243" s="135"/>
      <c r="AQ243" s="152"/>
      <c r="AR243" s="136"/>
      <c r="AS243" s="123"/>
      <c r="AT243" s="137"/>
      <c r="AU243" s="137"/>
      <c r="AV243" s="138"/>
      <c r="AW243" s="136"/>
      <c r="AX243" s="138"/>
      <c r="AY243" s="136"/>
      <c r="AZ243" s="139"/>
      <c r="BA243" s="125"/>
      <c r="BB243" s="140"/>
      <c r="BC243" s="141"/>
      <c r="BD243" s="140"/>
      <c r="BE243" s="141"/>
      <c r="BF243" s="140"/>
      <c r="BG243" s="141"/>
      <c r="BH243" s="127"/>
      <c r="BI243" s="130"/>
      <c r="BJ243" s="128"/>
      <c r="BK243" s="125"/>
      <c r="BL243" s="136"/>
      <c r="BM243" s="152"/>
      <c r="BN243" s="153"/>
      <c r="BO243" s="126"/>
      <c r="BP243" s="132"/>
      <c r="BQ243" s="141"/>
      <c r="BR243" s="143"/>
      <c r="BS243" s="125"/>
      <c r="BT243" s="144"/>
      <c r="BU243" s="145"/>
      <c r="BV243" s="144"/>
      <c r="BW243" s="125"/>
      <c r="BX243" s="126"/>
      <c r="BY243" s="125"/>
      <c r="BZ243" s="146"/>
      <c r="CA243" s="146"/>
      <c r="CB243" s="127"/>
      <c r="CC243" s="146"/>
      <c r="CD243" s="127"/>
      <c r="CE243" s="127"/>
      <c r="CF243" s="127"/>
      <c r="CG243" s="127"/>
      <c r="CH243" s="127"/>
      <c r="CI243" s="147"/>
      <c r="CJ243" s="127"/>
      <c r="CK243" s="127"/>
      <c r="CL243" s="127"/>
      <c r="CM243" s="127"/>
      <c r="CN243" s="127"/>
      <c r="CO243" s="127"/>
      <c r="CP243" s="127"/>
      <c r="CQ243" s="127"/>
      <c r="CR243" s="127"/>
      <c r="CS243" s="127"/>
      <c r="CT243" s="127"/>
      <c r="CU243" s="127"/>
      <c r="CV243" s="142"/>
      <c r="CW243" s="142"/>
    </row>
    <row r="244" spans="2:101" s="167" customFormat="1" ht="12.6" thickBot="1" x14ac:dyDescent="0.3">
      <c r="B244" s="154"/>
      <c r="C244" s="155"/>
      <c r="D244" s="155"/>
      <c r="E244" s="155"/>
      <c r="F244" s="156" t="s">
        <v>58</v>
      </c>
      <c r="G244" s="155"/>
      <c r="H244" s="155"/>
      <c r="I244" s="157"/>
      <c r="J244" s="155"/>
      <c r="K244" s="157"/>
      <c r="L244" s="156"/>
      <c r="M244" s="158"/>
      <c r="N244" s="159"/>
      <c r="O244" s="160">
        <f>SUBTOTAL(9,O5:O243)</f>
        <v>578063</v>
      </c>
      <c r="P244" s="161"/>
      <c r="Q244" s="160">
        <f>SUBTOTAL(9,Q5:Q243)</f>
        <v>9345491</v>
      </c>
      <c r="R244" s="160"/>
      <c r="S244" s="160">
        <f>SUBTOTAL(9,S5:S243)</f>
        <v>578063</v>
      </c>
      <c r="T244" s="160">
        <f>SUBTOTAL(9,T5:T243)</f>
        <v>0</v>
      </c>
      <c r="U244" s="162"/>
      <c r="V244" s="162"/>
      <c r="W244" s="163"/>
      <c r="X244" s="163"/>
      <c r="Y244" s="160">
        <f>SUBTOTAL(9,Y5:Y243)</f>
        <v>0</v>
      </c>
      <c r="Z244" s="160">
        <f>SUBTOTAL(9,Z5:Z243)</f>
        <v>0</v>
      </c>
      <c r="AA244" s="160">
        <f>SUBTOTAL(9,AA5:AA243)</f>
        <v>0</v>
      </c>
      <c r="AB244" s="160">
        <f>SUBTOTAL(9,AB5:AB243)</f>
        <v>0</v>
      </c>
      <c r="AC244" s="160">
        <f>SUBTOTAL(9,AC5:AC243)</f>
        <v>0</v>
      </c>
      <c r="AD244" s="160">
        <f>SUBTOTAL(1,AD5:AD243)</f>
        <v>154.10165822784813</v>
      </c>
      <c r="AE244" s="160">
        <f>SUBTOTAL(9,AE5:AE243)</f>
        <v>0</v>
      </c>
      <c r="AF244" s="155"/>
      <c r="AG244" s="155"/>
      <c r="AH244" s="164"/>
      <c r="AI244" s="164"/>
      <c r="AJ244" s="160">
        <f>SUBTOTAL(9,AJ5:AJ243)</f>
        <v>0</v>
      </c>
      <c r="AK244" s="160">
        <f>SUBTOTAL(9,AK5:AK243)</f>
        <v>0</v>
      </c>
      <c r="AL244" s="160">
        <f>SUBTOTAL(9,AL5:AL243)</f>
        <v>0</v>
      </c>
      <c r="AM244" s="160">
        <f>SUBTOTAL(9,AM5:AM243)</f>
        <v>9345491</v>
      </c>
      <c r="AN244" s="161"/>
      <c r="AO244" s="161"/>
      <c r="AP244" s="161"/>
      <c r="AQ244" s="160"/>
      <c r="AR244" s="160"/>
      <c r="AS244" s="158"/>
      <c r="AT244" s="160"/>
      <c r="AU244" s="161"/>
      <c r="AV244" s="161"/>
      <c r="AW244" s="160">
        <f>SUBTOTAL(9,AW5:AW243)</f>
        <v>578061</v>
      </c>
      <c r="AX244" s="160">
        <f>SUBTOTAL(101,AX5:AX243)</f>
        <v>38.707383966244734</v>
      </c>
      <c r="AY244" s="160">
        <f>SUBTOTAL(9,AY5:AY243)</f>
        <v>10677335.5</v>
      </c>
      <c r="AZ244" s="160"/>
      <c r="BA244" s="160">
        <f>SUBTOTAL(9,BA5:BA243)</f>
        <v>0</v>
      </c>
      <c r="BB244" s="160">
        <f>SUBTOTAL(9,BB5:BB243)</f>
        <v>578061</v>
      </c>
      <c r="BC244" s="160">
        <f>SUBTOTAL(9,BC5:BC243)</f>
        <v>0</v>
      </c>
      <c r="BD244" s="160"/>
      <c r="BE244" s="160"/>
      <c r="BF244" s="160"/>
      <c r="BG244" s="160">
        <f>SUBTOTAL(9,BG5:BG243)</f>
        <v>0</v>
      </c>
      <c r="BH244" s="161"/>
      <c r="BI244" s="161"/>
      <c r="BJ244" s="161"/>
      <c r="BK244" s="161"/>
      <c r="BL244" s="160">
        <f>SUBTOTAL(9,BL5:BL243)</f>
        <v>0</v>
      </c>
      <c r="BM244" s="160">
        <f>SUBTOTAL(9,BM5:BM243)</f>
        <v>0</v>
      </c>
      <c r="BN244" s="160">
        <f>SUBTOTAL(9,BN5:BN243)</f>
        <v>0</v>
      </c>
      <c r="BO244" s="160">
        <f>SUBTOTAL(9,BO5:BO243)</f>
        <v>10677335.5</v>
      </c>
      <c r="BP244" s="160">
        <f>SUBTOTAL(9,BP5:BP243)</f>
        <v>1331844.5</v>
      </c>
      <c r="BQ244" s="160"/>
      <c r="BR244" s="160"/>
      <c r="BS244" s="160">
        <f>SUBTOTAL(9,BS5:BS243)</f>
        <v>1331844.5</v>
      </c>
      <c r="BT244" s="160"/>
      <c r="BU244" s="160"/>
      <c r="BV244" s="155"/>
      <c r="BW244" s="160">
        <f t="shared" ref="BW244:CB244" si="748">SUBTOTAL(9,BW1:BW243)</f>
        <v>0</v>
      </c>
      <c r="BX244" s="160">
        <f t="shared" si="748"/>
        <v>0</v>
      </c>
      <c r="BY244" s="160">
        <f t="shared" si="748"/>
        <v>0</v>
      </c>
      <c r="BZ244" s="160">
        <f t="shared" si="748"/>
        <v>0</v>
      </c>
      <c r="CA244" s="160">
        <f t="shared" si="748"/>
        <v>0</v>
      </c>
      <c r="CB244" s="165">
        <f t="shared" si="748"/>
        <v>0</v>
      </c>
      <c r="CC244" s="156"/>
      <c r="CD244" s="165"/>
      <c r="CE244" s="165"/>
      <c r="CF244" s="165">
        <f>SUBTOTAL(9,CF1:CF243)</f>
        <v>9345491</v>
      </c>
      <c r="CG244" s="165">
        <f>SUBTOTAL(9,CG1:CG243)</f>
        <v>10677335.5</v>
      </c>
      <c r="CH244" s="165"/>
      <c r="CI244" s="166"/>
      <c r="CJ244" s="165"/>
      <c r="CK244" s="165"/>
      <c r="CL244" s="165">
        <f t="shared" ref="CL244:CS244" si="749">SUBTOTAL(9,CL1:CL243)</f>
        <v>1331844.5</v>
      </c>
      <c r="CM244" s="165">
        <f t="shared" si="749"/>
        <v>1331844.5</v>
      </c>
      <c r="CN244" s="165">
        <f t="shared" si="749"/>
        <v>1331844.5</v>
      </c>
      <c r="CO244" s="165">
        <f t="shared" si="749"/>
        <v>12599255.890000001</v>
      </c>
      <c r="CP244" s="165">
        <f t="shared" si="749"/>
        <v>-11027679.379999995</v>
      </c>
      <c r="CQ244" s="165">
        <f t="shared" si="749"/>
        <v>0</v>
      </c>
      <c r="CR244" s="165">
        <f t="shared" si="749"/>
        <v>0</v>
      </c>
      <c r="CS244" s="165">
        <f t="shared" si="749"/>
        <v>1571576.5100000005</v>
      </c>
      <c r="CT244" s="165"/>
      <c r="CU244" s="165"/>
      <c r="CV244" s="165"/>
      <c r="CW244" s="165"/>
    </row>
    <row r="245" spans="2:101" s="168" customFormat="1" ht="12.6" thickBot="1" x14ac:dyDescent="0.3">
      <c r="D245" s="149"/>
      <c r="E245" s="169"/>
      <c r="F245" s="170"/>
      <c r="G245" s="169"/>
      <c r="H245" s="169"/>
      <c r="I245" s="171"/>
      <c r="J245" s="149"/>
      <c r="K245" s="171"/>
      <c r="L245" s="172"/>
      <c r="M245" s="172"/>
      <c r="N245" s="173">
        <f>O244-AW244</f>
        <v>2</v>
      </c>
      <c r="O245" s="174"/>
      <c r="P245" s="175">
        <f>Q244+AK244+AJ244+AL244+T244+AE244</f>
        <v>9345491</v>
      </c>
      <c r="Q245" s="176">
        <v>44453350</v>
      </c>
      <c r="R245" s="176"/>
      <c r="S245" s="176"/>
      <c r="T245" s="176"/>
      <c r="U245" s="172"/>
      <c r="V245" s="148"/>
      <c r="W245" s="148"/>
      <c r="X245" s="170"/>
      <c r="Y245" s="176"/>
      <c r="Z245" s="176"/>
      <c r="AA245" s="176">
        <f>AB244/AY244</f>
        <v>0</v>
      </c>
      <c r="AB245" s="176"/>
      <c r="AC245" s="176"/>
      <c r="AD245" s="185">
        <f>+AL244+AK244</f>
        <v>0</v>
      </c>
      <c r="AE245" s="177"/>
      <c r="AF245" s="177"/>
      <c r="AG245" s="178"/>
      <c r="AH245" s="178"/>
      <c r="AI245" s="170"/>
      <c r="AJ245" s="176">
        <v>-18570</v>
      </c>
      <c r="AK245" s="149">
        <f>AK244+AJ244</f>
        <v>0</v>
      </c>
      <c r="AL245" s="184" t="s">
        <v>149</v>
      </c>
      <c r="AM245" s="149"/>
      <c r="AN245" s="177"/>
      <c r="AO245" s="149"/>
      <c r="AP245" s="149"/>
      <c r="AQ245" s="149"/>
      <c r="AR245" s="149"/>
      <c r="AS245" s="179"/>
      <c r="AT245" s="149"/>
      <c r="AU245" s="149"/>
      <c r="AV245" s="149"/>
      <c r="AW245" s="149"/>
      <c r="AX245" s="149"/>
      <c r="AY245" s="317">
        <f>AY244/AW244</f>
        <v>18.470949432672331</v>
      </c>
      <c r="AZ245" s="149"/>
      <c r="BA245" s="149"/>
      <c r="BB245" s="149"/>
      <c r="BC245" s="149"/>
      <c r="BD245" s="149"/>
      <c r="BE245" s="149"/>
      <c r="BF245" s="149"/>
      <c r="BG245" s="149"/>
      <c r="BH245" s="149"/>
      <c r="BI245" s="184" t="s">
        <v>190</v>
      </c>
      <c r="BJ245" s="184">
        <f>BL244+BM244+BC244</f>
        <v>0</v>
      </c>
      <c r="BK245" s="149"/>
      <c r="BL245" s="180">
        <f>BJ245/AY244</f>
        <v>0</v>
      </c>
      <c r="BM245" s="180"/>
      <c r="BN245" s="149"/>
      <c r="BO245" s="181">
        <f>BP244/BO244</f>
        <v>0.12473566087719169</v>
      </c>
      <c r="BP245" s="176"/>
      <c r="BQ245" s="149"/>
      <c r="BR245" s="170"/>
      <c r="BS245" s="182">
        <f>BS244/AY244</f>
        <v>0.12473566087719169</v>
      </c>
      <c r="BT245" s="176"/>
      <c r="BW245" s="149"/>
      <c r="BX245" s="176"/>
      <c r="BY245" s="216" t="e">
        <f>BX244/BW244</f>
        <v>#DIV/0!</v>
      </c>
      <c r="BZ245" s="149"/>
      <c r="CA245" s="149"/>
      <c r="CB245" s="217">
        <f>IFERROR(CA244/BZ244,0)</f>
        <v>0</v>
      </c>
      <c r="CC245" s="169"/>
      <c r="CD245" s="184"/>
      <c r="CE245" s="184" t="s">
        <v>163</v>
      </c>
      <c r="CF245" s="218">
        <f>CF244*118%</f>
        <v>11027679.379999999</v>
      </c>
      <c r="CG245" s="218">
        <f>CG244*118%</f>
        <v>12599255.889999999</v>
      </c>
      <c r="CI245" s="170"/>
    </row>
    <row r="246" spans="2:101" s="168" customFormat="1" ht="12" x14ac:dyDescent="0.25">
      <c r="D246" s="169"/>
      <c r="E246" s="169"/>
      <c r="F246" s="170"/>
      <c r="G246" s="169"/>
      <c r="H246" s="169"/>
      <c r="I246" s="171"/>
      <c r="J246" s="149"/>
      <c r="K246" s="171"/>
      <c r="L246" s="172"/>
      <c r="M246" s="170"/>
      <c r="N246" s="174"/>
      <c r="O246" s="174"/>
      <c r="P246" s="175"/>
      <c r="Q246" s="176"/>
      <c r="R246" s="176"/>
      <c r="S246" s="176"/>
      <c r="T246" s="176"/>
      <c r="U246" s="172"/>
      <c r="V246" s="148"/>
      <c r="W246" s="148"/>
      <c r="X246" s="170"/>
      <c r="Y246" s="176"/>
      <c r="Z246" s="176"/>
      <c r="AA246" s="149"/>
      <c r="AB246" s="149"/>
      <c r="AC246" s="149"/>
      <c r="AE246" s="177"/>
      <c r="AF246" s="177"/>
      <c r="AG246" s="178"/>
      <c r="AH246" s="178"/>
      <c r="AI246" s="170"/>
      <c r="AJ246" s="176"/>
      <c r="AK246" s="177">
        <f>-'Last year''s'!F47</f>
        <v>0</v>
      </c>
      <c r="AL246" s="184" t="s">
        <v>156</v>
      </c>
      <c r="AM246" s="149"/>
      <c r="AN246" s="177"/>
      <c r="AO246" s="149"/>
      <c r="AP246" s="149"/>
      <c r="AQ246" s="149"/>
      <c r="AR246" s="149"/>
      <c r="AS246" s="187"/>
      <c r="AT246" s="149"/>
      <c r="AU246" s="149"/>
      <c r="AV246" s="149"/>
      <c r="AW246" s="149"/>
      <c r="AX246" s="149"/>
      <c r="AY246" s="149"/>
      <c r="AZ246" s="149"/>
      <c r="BA246" s="149"/>
      <c r="BB246" s="149"/>
      <c r="BC246" s="149"/>
      <c r="BD246" s="149"/>
      <c r="BE246" s="149"/>
      <c r="BF246" s="149"/>
      <c r="BG246" s="149"/>
      <c r="BH246" s="149"/>
      <c r="BI246" s="184" t="s">
        <v>191</v>
      </c>
      <c r="BJ246" s="149">
        <f>-'Last year''s'!L68</f>
        <v>0</v>
      </c>
      <c r="BM246" s="188"/>
      <c r="BN246" s="189"/>
      <c r="BO246" s="176"/>
      <c r="BP246" s="176"/>
      <c r="BQ246" s="149"/>
      <c r="BR246" s="170"/>
      <c r="BS246" s="190"/>
      <c r="BT246" s="176"/>
      <c r="BW246" s="149"/>
      <c r="BX246" s="176"/>
      <c r="BY246" s="170"/>
      <c r="BZ246" s="149"/>
      <c r="CA246" s="149"/>
      <c r="CB246" s="149"/>
      <c r="CC246" s="169"/>
      <c r="CD246" s="149"/>
      <c r="CE246" s="149"/>
      <c r="CI246" s="170"/>
    </row>
    <row r="247" spans="2:101" s="168" customFormat="1" ht="12.6" thickBot="1" x14ac:dyDescent="0.3">
      <c r="D247" s="169"/>
      <c r="E247" s="169"/>
      <c r="F247" s="170"/>
      <c r="G247" s="169"/>
      <c r="H247" s="169"/>
      <c r="I247" s="171"/>
      <c r="J247" s="149"/>
      <c r="K247" s="171"/>
      <c r="L247" s="172"/>
      <c r="M247" s="170"/>
      <c r="N247" s="174"/>
      <c r="O247" s="174"/>
      <c r="P247" s="175"/>
      <c r="Q247" s="176"/>
      <c r="R247" s="176"/>
      <c r="S247" s="176"/>
      <c r="T247" s="176"/>
      <c r="U247" s="172"/>
      <c r="V247" s="148"/>
      <c r="W247" s="148"/>
      <c r="X247" s="170"/>
      <c r="Y247" s="176"/>
      <c r="Z247" s="176"/>
      <c r="AA247" s="149"/>
      <c r="AB247" s="149"/>
      <c r="AC247" s="149"/>
      <c r="AE247" s="177"/>
      <c r="AF247" s="177"/>
      <c r="AG247" s="178"/>
      <c r="AH247" s="178"/>
      <c r="AI247" s="170"/>
      <c r="AJ247" s="176"/>
      <c r="AK247" s="177"/>
      <c r="AL247" s="184"/>
      <c r="AM247" s="149"/>
      <c r="AN247" s="177"/>
      <c r="AO247" s="149"/>
      <c r="AP247" s="149"/>
      <c r="AQ247" s="149"/>
      <c r="AR247" s="149"/>
      <c r="AS247" s="187"/>
      <c r="AT247" s="149"/>
      <c r="AU247" s="149"/>
      <c r="AV247" s="149"/>
      <c r="AW247" s="149"/>
      <c r="AX247" s="149"/>
      <c r="AY247" s="149"/>
      <c r="AZ247" s="149"/>
      <c r="BA247" s="149"/>
      <c r="BB247" s="149"/>
      <c r="BC247" s="149"/>
      <c r="BD247" s="149"/>
      <c r="BE247" s="149"/>
      <c r="BF247" s="149"/>
      <c r="BG247" s="149"/>
      <c r="BH247" s="149"/>
      <c r="BI247" s="184"/>
      <c r="BJ247" s="149"/>
      <c r="BM247" s="188"/>
      <c r="BN247" s="189"/>
      <c r="BO247" s="176"/>
      <c r="BP247" s="176"/>
      <c r="BQ247" s="149"/>
      <c r="BR247" s="170"/>
      <c r="BS247" s="190"/>
      <c r="BT247" s="176"/>
      <c r="BW247" s="149"/>
      <c r="BX247" s="176"/>
      <c r="BY247" s="170"/>
      <c r="BZ247" s="149"/>
      <c r="CA247" s="149"/>
      <c r="CB247" s="149"/>
      <c r="CC247" s="169"/>
      <c r="CD247" s="149"/>
      <c r="CE247" s="149"/>
      <c r="CI247" s="170"/>
    </row>
    <row r="248" spans="2:101" s="168" customFormat="1" ht="14.4" thickBot="1" x14ac:dyDescent="0.3">
      <c r="B248" s="112" t="s">
        <v>16</v>
      </c>
      <c r="C248" s="113" t="s">
        <v>15</v>
      </c>
      <c r="D248" s="112" t="s">
        <v>14</v>
      </c>
      <c r="E248" s="113" t="s">
        <v>166</v>
      </c>
      <c r="F248" s="113" t="s">
        <v>26</v>
      </c>
      <c r="G248" s="113" t="s">
        <v>17</v>
      </c>
      <c r="H248" s="114" t="s">
        <v>20</v>
      </c>
      <c r="I248" s="115" t="s">
        <v>21</v>
      </c>
      <c r="J248" s="113" t="s">
        <v>18</v>
      </c>
      <c r="K248" s="115" t="s">
        <v>19</v>
      </c>
      <c r="L248" s="113" t="s">
        <v>28</v>
      </c>
      <c r="M248" s="113" t="s">
        <v>30</v>
      </c>
      <c r="N248" s="114" t="s">
        <v>34</v>
      </c>
      <c r="O248" s="113" t="s">
        <v>36</v>
      </c>
      <c r="P248" s="114" t="s">
        <v>37</v>
      </c>
      <c r="Q248" s="113" t="s">
        <v>38</v>
      </c>
      <c r="R248" s="114" t="s">
        <v>103</v>
      </c>
      <c r="S248" s="113" t="s">
        <v>104</v>
      </c>
      <c r="T248" s="114" t="s">
        <v>102</v>
      </c>
      <c r="U248" s="113" t="s">
        <v>29</v>
      </c>
      <c r="V248" s="114" t="s">
        <v>31</v>
      </c>
      <c r="W248" s="113" t="s">
        <v>32</v>
      </c>
      <c r="X248" s="114" t="s">
        <v>33</v>
      </c>
      <c r="Y248" s="113" t="s">
        <v>39</v>
      </c>
      <c r="Z248" s="113" t="s">
        <v>63</v>
      </c>
      <c r="AA248" s="114" t="s">
        <v>40</v>
      </c>
      <c r="AB248" s="113" t="s">
        <v>41</v>
      </c>
      <c r="AC248" s="114" t="s">
        <v>471</v>
      </c>
      <c r="AD248" s="113" t="s">
        <v>42</v>
      </c>
      <c r="AE248" s="114" t="s">
        <v>105</v>
      </c>
      <c r="AF248" s="113" t="s">
        <v>22</v>
      </c>
      <c r="AG248" s="114" t="s">
        <v>23</v>
      </c>
      <c r="AH248" s="113" t="s">
        <v>24</v>
      </c>
      <c r="AI248" s="114" t="s">
        <v>25</v>
      </c>
      <c r="AJ248" s="113" t="s">
        <v>43</v>
      </c>
      <c r="AK248" s="113" t="s">
        <v>187</v>
      </c>
      <c r="AL248" s="113" t="s">
        <v>189</v>
      </c>
      <c r="AM248" s="113" t="s">
        <v>44</v>
      </c>
      <c r="AN248" s="114" t="s">
        <v>46</v>
      </c>
      <c r="AO248" s="113" t="s">
        <v>45</v>
      </c>
      <c r="AP248" s="114" t="s">
        <v>176</v>
      </c>
      <c r="AQ248" s="114" t="s">
        <v>47</v>
      </c>
      <c r="AR248" s="113" t="s">
        <v>140</v>
      </c>
      <c r="AS248" s="113" t="s">
        <v>27</v>
      </c>
      <c r="AT248" s="113" t="s">
        <v>48</v>
      </c>
      <c r="AU248" s="114" t="s">
        <v>49</v>
      </c>
      <c r="AV248" s="114" t="s">
        <v>3224</v>
      </c>
      <c r="AW248" s="113" t="s">
        <v>50</v>
      </c>
      <c r="AX248" s="114" t="s">
        <v>51</v>
      </c>
      <c r="AY248" s="113" t="s">
        <v>52</v>
      </c>
      <c r="AZ248" s="114" t="s">
        <v>53</v>
      </c>
      <c r="BA248" s="113" t="s">
        <v>103</v>
      </c>
      <c r="BB248" s="114" t="s">
        <v>104</v>
      </c>
      <c r="BC248" s="113" t="s">
        <v>105</v>
      </c>
      <c r="BD248" s="114" t="s">
        <v>106</v>
      </c>
      <c r="BE248" s="113" t="s">
        <v>132</v>
      </c>
      <c r="BF248" s="114" t="s">
        <v>133</v>
      </c>
      <c r="BG248" s="113" t="s">
        <v>52</v>
      </c>
      <c r="BH248" s="113" t="s">
        <v>123</v>
      </c>
      <c r="BI248" s="113" t="s">
        <v>124</v>
      </c>
      <c r="BJ248" s="113" t="s">
        <v>125</v>
      </c>
      <c r="BK248" s="113" t="s">
        <v>126</v>
      </c>
      <c r="BL248" s="113" t="s">
        <v>128</v>
      </c>
      <c r="BM248" s="113" t="s">
        <v>186</v>
      </c>
      <c r="BN248" s="113" t="s">
        <v>188</v>
      </c>
      <c r="BO248" s="114" t="s">
        <v>54</v>
      </c>
      <c r="BP248" s="113" t="s">
        <v>55</v>
      </c>
      <c r="BQ248" s="113" t="s">
        <v>64</v>
      </c>
      <c r="BR248" s="114" t="s">
        <v>57</v>
      </c>
      <c r="BS248" s="113" t="s">
        <v>181</v>
      </c>
      <c r="BT248" s="116" t="s">
        <v>127</v>
      </c>
      <c r="BU248" s="113" t="s">
        <v>100</v>
      </c>
      <c r="BV248" s="113" t="s">
        <v>101</v>
      </c>
      <c r="BW248" s="113" t="s">
        <v>179</v>
      </c>
      <c r="BX248" s="113" t="s">
        <v>180</v>
      </c>
      <c r="BY248" s="113" t="s">
        <v>56</v>
      </c>
      <c r="BZ248" s="113" t="s">
        <v>121</v>
      </c>
      <c r="CA248" s="113" t="s">
        <v>122</v>
      </c>
      <c r="CB248" s="113" t="s">
        <v>56</v>
      </c>
      <c r="CC248" s="113" t="s">
        <v>35</v>
      </c>
      <c r="CD248" s="113" t="s">
        <v>154</v>
      </c>
      <c r="CE248" s="113" t="s">
        <v>15</v>
      </c>
      <c r="CF248" s="113" t="s">
        <v>161</v>
      </c>
      <c r="CG248" s="113" t="s">
        <v>144</v>
      </c>
      <c r="CH248" s="113" t="s">
        <v>171</v>
      </c>
      <c r="CI248" s="113" t="s">
        <v>152</v>
      </c>
      <c r="CJ248" s="113" t="s">
        <v>172</v>
      </c>
      <c r="CK248" s="117" t="s">
        <v>173</v>
      </c>
      <c r="CL248" s="118" t="s">
        <v>182</v>
      </c>
      <c r="CM248" s="117" t="s">
        <v>183</v>
      </c>
      <c r="CN248" s="117" t="s">
        <v>184</v>
      </c>
      <c r="CO248" s="117" t="s">
        <v>192</v>
      </c>
      <c r="CP248" s="117" t="s">
        <v>2</v>
      </c>
      <c r="CQ248" s="117" t="s">
        <v>193</v>
      </c>
      <c r="CR248" s="117" t="s">
        <v>194</v>
      </c>
      <c r="CS248" s="117" t="s">
        <v>55</v>
      </c>
      <c r="CT248" s="117" t="s">
        <v>359</v>
      </c>
      <c r="CU248" s="117" t="s">
        <v>360</v>
      </c>
      <c r="CV248" s="117" t="s">
        <v>164</v>
      </c>
      <c r="CW248" s="117" t="s">
        <v>165</v>
      </c>
    </row>
    <row r="249" spans="2:101" s="168" customFormat="1" ht="12" x14ac:dyDescent="0.25">
      <c r="B249" s="120" t="str">
        <f t="shared" ref="B249" si="750">"Q" &amp; IF(ROUNDUP(MONTH(D249)/3,0)-1=0,4,ROUNDUP(MONTH(D249)/3,0)-1)</f>
        <v>Q1</v>
      </c>
      <c r="C249" s="121" t="str">
        <f t="shared" ref="C249" si="751">TEXT(AN249,"mmm-yy")</f>
        <v>Apr-26</v>
      </c>
      <c r="D249" s="122">
        <v>46142</v>
      </c>
      <c r="E249" s="123" t="s">
        <v>3283</v>
      </c>
      <c r="F249" s="123" t="s">
        <v>196</v>
      </c>
      <c r="G249" s="123" t="s">
        <v>198</v>
      </c>
      <c r="H249" s="124">
        <v>0</v>
      </c>
      <c r="I249" s="480">
        <v>0</v>
      </c>
      <c r="J249" s="243">
        <v>0</v>
      </c>
      <c r="K249" s="480">
        <v>0</v>
      </c>
      <c r="L249" s="123">
        <v>0</v>
      </c>
      <c r="M249" s="123">
        <v>0</v>
      </c>
      <c r="N249" s="124" t="s">
        <v>3283</v>
      </c>
      <c r="O249" s="123">
        <v>1</v>
      </c>
      <c r="P249" s="231">
        <v>0</v>
      </c>
      <c r="Q249" s="125">
        <f t="shared" ref="Q249" si="752">O249*P249</f>
        <v>0</v>
      </c>
      <c r="R249" s="126">
        <v>0</v>
      </c>
      <c r="S249" s="125">
        <f t="shared" ref="S249" si="753">O249-R249</f>
        <v>1</v>
      </c>
      <c r="T249" s="126">
        <v>0</v>
      </c>
      <c r="U249" s="127">
        <v>0</v>
      </c>
      <c r="V249" s="128">
        <v>0</v>
      </c>
      <c r="W249" s="127">
        <v>0</v>
      </c>
      <c r="X249" s="129">
        <v>0</v>
      </c>
      <c r="Y249" s="127">
        <v>0</v>
      </c>
      <c r="Z249" s="127">
        <v>0</v>
      </c>
      <c r="AA249" s="126">
        <v>0</v>
      </c>
      <c r="AB249" s="130">
        <f t="shared" ref="AB249" si="754">Y249+AA249+Z249</f>
        <v>0</v>
      </c>
      <c r="AC249" s="129">
        <f>1.2325*Enterprise!D5*1000</f>
        <v>249453.06999999998</v>
      </c>
      <c r="AD249" s="125">
        <f t="shared" ref="AD249" si="755">Q249/O249</f>
        <v>0</v>
      </c>
      <c r="AE249" s="144">
        <v>0</v>
      </c>
      <c r="AF249" s="127">
        <v>0</v>
      </c>
      <c r="AG249" s="131">
        <v>0</v>
      </c>
      <c r="AH249" s="127">
        <v>0</v>
      </c>
      <c r="AI249" s="128">
        <v>0</v>
      </c>
      <c r="AJ249" s="127">
        <v>0</v>
      </c>
      <c r="AK249" s="127">
        <v>0</v>
      </c>
      <c r="AL249" s="127">
        <v>0</v>
      </c>
      <c r="AM249" s="132">
        <f t="shared" ref="AM249" si="756">Q249+AB249+AL249+AK249+AJ249+T249+AE249</f>
        <v>0</v>
      </c>
      <c r="AN249" s="133">
        <f>D249</f>
        <v>46142</v>
      </c>
      <c r="AO249" s="134">
        <v>0</v>
      </c>
      <c r="AP249" s="135">
        <v>0</v>
      </c>
      <c r="AQ249" s="136">
        <v>0</v>
      </c>
      <c r="AR249" s="136">
        <v>0</v>
      </c>
      <c r="AS249" s="123">
        <v>0</v>
      </c>
      <c r="AT249" s="137">
        <v>0</v>
      </c>
      <c r="AU249" s="138">
        <v>0</v>
      </c>
      <c r="AV249" s="138"/>
      <c r="AW249" s="136">
        <v>0</v>
      </c>
      <c r="AX249" s="138">
        <v>0</v>
      </c>
      <c r="AY249" s="136">
        <f t="shared" ref="AY249" si="757">AW249*AX249</f>
        <v>0</v>
      </c>
      <c r="AZ249" s="139" t="b">
        <f t="shared" ref="AZ249" si="758">AW249=O249</f>
        <v>0</v>
      </c>
      <c r="BA249" s="125">
        <v>0</v>
      </c>
      <c r="BB249" s="140">
        <f t="shared" ref="BB249" si="759">AW249-BA249</f>
        <v>0</v>
      </c>
      <c r="BC249" s="141">
        <v>0</v>
      </c>
      <c r="BD249" s="140" t="s">
        <v>107</v>
      </c>
      <c r="BE249" s="141">
        <v>0</v>
      </c>
      <c r="BF249" s="140">
        <v>0</v>
      </c>
      <c r="BG249" s="141">
        <v>0</v>
      </c>
      <c r="BH249" s="127">
        <v>0</v>
      </c>
      <c r="BI249" s="130">
        <v>0</v>
      </c>
      <c r="BJ249" s="128">
        <v>0</v>
      </c>
      <c r="BK249" s="125">
        <v>0</v>
      </c>
      <c r="BL249" s="136">
        <v>0</v>
      </c>
      <c r="BM249" s="127">
        <v>0</v>
      </c>
      <c r="BN249" s="142">
        <f t="shared" ref="BN249" si="760">AY249*$BN$3</f>
        <v>0</v>
      </c>
      <c r="BO249" s="126">
        <f t="shared" ref="BO249" si="761">AY249+BL249+BM249+BN249+BC249+BG249</f>
        <v>0</v>
      </c>
      <c r="BP249" s="132">
        <f t="shared" ref="BP249" si="762">BO249-AM249</f>
        <v>0</v>
      </c>
      <c r="BQ249" s="141">
        <v>0</v>
      </c>
      <c r="BR249" s="334" t="s">
        <v>2681</v>
      </c>
      <c r="BS249" s="125">
        <f t="shared" ref="BS249" si="763">AY249-Y249-Q249-AA249-T249+BC249</f>
        <v>0</v>
      </c>
      <c r="BT249" s="144">
        <v>0</v>
      </c>
      <c r="BU249" s="145" t="str">
        <f t="shared" ref="BU249" si="764">IFERROR(BP249/BO249,"0")</f>
        <v>0</v>
      </c>
      <c r="BV249" s="144">
        <v>0</v>
      </c>
      <c r="BW249" s="125">
        <f t="shared" ref="BW249" si="765">BM249+BN249</f>
        <v>0</v>
      </c>
      <c r="BX249" s="126">
        <f t="shared" ref="BX249" si="766">AL249+AK249</f>
        <v>0</v>
      </c>
      <c r="BY249" s="125">
        <f t="shared" ref="BY249" si="767">BW249-BX249</f>
        <v>0</v>
      </c>
      <c r="BZ249" s="146">
        <f t="shared" ref="BZ249" si="768">BM249</f>
        <v>0</v>
      </c>
      <c r="CA249" s="146">
        <f t="shared" ref="CA249" si="769">AK249</f>
        <v>0</v>
      </c>
      <c r="CB249" s="127">
        <f t="shared" ref="CB249" si="770">BZ249-CA249</f>
        <v>0</v>
      </c>
      <c r="CC249" s="146" t="s">
        <v>397</v>
      </c>
      <c r="CD249" s="127">
        <v>0</v>
      </c>
      <c r="CE249" s="127">
        <v>0</v>
      </c>
      <c r="CF249" s="127">
        <f t="shared" ref="CF249" si="771">AM249-AL249-AA249</f>
        <v>0</v>
      </c>
      <c r="CG249" s="127">
        <f t="shared" ref="CG249" si="772">BO249-BN249</f>
        <v>0</v>
      </c>
      <c r="CH249" s="127">
        <f>INT((D249- IF(MONTH(D249) &gt;= 4, DATE(YEAR(D249), 4, 1), DATE(YEAR(D249)-1, 4, 1))) / 7) + 1</f>
        <v>5</v>
      </c>
      <c r="CI249" s="147" t="str">
        <f>IF(F249="BLACK GOLD RECYCLING PRIVATE LIMITED", "BG AHD", "B2B")</f>
        <v>BG AHD</v>
      </c>
      <c r="CJ249" s="127">
        <v>0</v>
      </c>
      <c r="CK249" s="127">
        <v>0</v>
      </c>
      <c r="CL249" s="127">
        <f t="shared" ref="CL249" si="773">AY249-Q249</f>
        <v>0</v>
      </c>
      <c r="CM249" s="127">
        <f t="shared" ref="CM249" si="774">CL249-Y249+Z249</f>
        <v>0</v>
      </c>
      <c r="CN249" s="127">
        <f t="shared" ref="CN249" si="775">BO249-AM249</f>
        <v>0</v>
      </c>
      <c r="CO249" s="127">
        <f t="shared" ref="CO249" si="776">AY249*118%</f>
        <v>0</v>
      </c>
      <c r="CP249" s="127">
        <f t="shared" ref="CP249" si="777">-Q249*118%</f>
        <v>0</v>
      </c>
      <c r="CQ249" s="127">
        <f t="shared" ref="CQ249" si="778">-BZ249*118%</f>
        <v>0</v>
      </c>
      <c r="CR249" s="127">
        <f t="shared" ref="CR249" si="779">-CA249*118%</f>
        <v>0</v>
      </c>
      <c r="CS249" s="127">
        <f t="shared" ref="CS249" si="780">SUM(CO249:CR249)</f>
        <v>0</v>
      </c>
      <c r="CT249" s="127" t="s">
        <v>361</v>
      </c>
      <c r="CU249" s="127" t="s">
        <v>361</v>
      </c>
      <c r="CV249" s="142" t="str">
        <f>MID(G249,3,10)</f>
        <v>AAMCB5608A</v>
      </c>
      <c r="CW249" s="142" t="str">
        <f t="shared" ref="CW249" si="781">MID(AR249,3,10)</f>
        <v/>
      </c>
    </row>
    <row r="250" spans="2:101" s="168" customFormat="1" ht="12" x14ac:dyDescent="0.25">
      <c r="B250" s="120" t="str">
        <f t="shared" ref="B250" si="782">"Q" &amp; IF(ROUNDUP(MONTH(D250)/3,0)-1=0,4,ROUNDUP(MONTH(D250)/3,0)-1)</f>
        <v>Q1</v>
      </c>
      <c r="C250" s="121" t="str">
        <f t="shared" ref="C250" si="783">TEXT(AN250,"mmm-yy")</f>
        <v>May-26</v>
      </c>
      <c r="D250" s="122">
        <v>46173</v>
      </c>
      <c r="E250" s="123" t="s">
        <v>3517</v>
      </c>
      <c r="F250" s="123" t="s">
        <v>196</v>
      </c>
      <c r="G250" s="123" t="s">
        <v>198</v>
      </c>
      <c r="H250" s="124">
        <v>0</v>
      </c>
      <c r="I250" s="480">
        <v>0</v>
      </c>
      <c r="J250" s="243">
        <v>0</v>
      </c>
      <c r="K250" s="480">
        <v>0</v>
      </c>
      <c r="L250" s="123">
        <v>0</v>
      </c>
      <c r="M250" s="123">
        <v>0</v>
      </c>
      <c r="N250" s="124" t="s">
        <v>3517</v>
      </c>
      <c r="O250" s="123">
        <v>1</v>
      </c>
      <c r="P250" s="231">
        <v>0</v>
      </c>
      <c r="Q250" s="125">
        <f t="shared" ref="Q250" si="784">O250*P250</f>
        <v>0</v>
      </c>
      <c r="R250" s="126">
        <v>0</v>
      </c>
      <c r="S250" s="125">
        <f t="shared" ref="S250" si="785">O250-R250</f>
        <v>1</v>
      </c>
      <c r="T250" s="126">
        <v>0</v>
      </c>
      <c r="U250" s="127">
        <v>0</v>
      </c>
      <c r="V250" s="128">
        <v>0</v>
      </c>
      <c r="W250" s="127">
        <v>0</v>
      </c>
      <c r="X250" s="129">
        <v>0</v>
      </c>
      <c r="Y250" s="127">
        <v>0</v>
      </c>
      <c r="Z250" s="127">
        <v>0</v>
      </c>
      <c r="AA250" s="126">
        <v>0</v>
      </c>
      <c r="AB250" s="130">
        <f t="shared" ref="AB250" si="786">Y250+AA250+Z250</f>
        <v>0</v>
      </c>
      <c r="AC250" s="129">
        <f>1.2325*Enterprise!E5*1000</f>
        <v>200125.95499999999</v>
      </c>
      <c r="AD250" s="125">
        <f t="shared" ref="AD250" si="787">Q250/O250</f>
        <v>0</v>
      </c>
      <c r="AE250" s="144">
        <v>0</v>
      </c>
      <c r="AF250" s="127">
        <v>0</v>
      </c>
      <c r="AG250" s="131">
        <v>0</v>
      </c>
      <c r="AH250" s="127">
        <v>0</v>
      </c>
      <c r="AI250" s="128">
        <v>0</v>
      </c>
      <c r="AJ250" s="127">
        <v>0</v>
      </c>
      <c r="AK250" s="127">
        <v>0</v>
      </c>
      <c r="AL250" s="127">
        <v>0</v>
      </c>
      <c r="AM250" s="132">
        <f t="shared" ref="AM250" si="788">Q250+AB250+AL250+AK250+AJ250+T250+AE250</f>
        <v>0</v>
      </c>
      <c r="AN250" s="133">
        <v>46173</v>
      </c>
      <c r="AO250" s="134">
        <v>0</v>
      </c>
      <c r="AP250" s="135">
        <v>0</v>
      </c>
      <c r="AQ250" s="136">
        <v>0</v>
      </c>
      <c r="AR250" s="136">
        <v>0</v>
      </c>
      <c r="AS250" s="123">
        <v>0</v>
      </c>
      <c r="AT250" s="137">
        <v>0</v>
      </c>
      <c r="AU250" s="138">
        <v>0</v>
      </c>
      <c r="AV250" s="138"/>
      <c r="AW250" s="136">
        <v>0</v>
      </c>
      <c r="AX250" s="138">
        <v>0</v>
      </c>
      <c r="AY250" s="136">
        <f t="shared" ref="AY250" si="789">AW250*AX250</f>
        <v>0</v>
      </c>
      <c r="AZ250" s="139" t="b">
        <f t="shared" ref="AZ250" si="790">AW250=O250</f>
        <v>0</v>
      </c>
      <c r="BA250" s="125">
        <v>0</v>
      </c>
      <c r="BB250" s="140">
        <f t="shared" ref="BB250" si="791">AW250-BA250</f>
        <v>0</v>
      </c>
      <c r="BC250" s="141">
        <v>0</v>
      </c>
      <c r="BD250" s="140" t="s">
        <v>107</v>
      </c>
      <c r="BE250" s="141">
        <v>0</v>
      </c>
      <c r="BF250" s="140">
        <v>0</v>
      </c>
      <c r="BG250" s="141">
        <v>0</v>
      </c>
      <c r="BH250" s="127">
        <v>0</v>
      </c>
      <c r="BI250" s="130">
        <v>0</v>
      </c>
      <c r="BJ250" s="128">
        <v>0</v>
      </c>
      <c r="BK250" s="125">
        <v>0</v>
      </c>
      <c r="BL250" s="136">
        <v>0</v>
      </c>
      <c r="BM250" s="127">
        <v>0</v>
      </c>
      <c r="BN250" s="142">
        <f t="shared" ref="BN250" si="792">AY250*$BN$3</f>
        <v>0</v>
      </c>
      <c r="BO250" s="126">
        <f t="shared" ref="BO250" si="793">AY250+BL250+BM250+BN250+BC250+BG250</f>
        <v>0</v>
      </c>
      <c r="BP250" s="132">
        <f t="shared" ref="BP250" si="794">BO250-AM250</f>
        <v>0</v>
      </c>
      <c r="BQ250" s="141">
        <v>0</v>
      </c>
      <c r="BR250" s="334" t="s">
        <v>2681</v>
      </c>
      <c r="BS250" s="125">
        <f t="shared" ref="BS250" si="795">AY250-Y250-Q250-AA250-T250+BC250</f>
        <v>0</v>
      </c>
      <c r="BT250" s="144">
        <v>0</v>
      </c>
      <c r="BU250" s="145" t="str">
        <f t="shared" ref="BU250" si="796">IFERROR(BP250/BO250,"0")</f>
        <v>0</v>
      </c>
      <c r="BV250" s="144">
        <v>0</v>
      </c>
      <c r="BW250" s="125">
        <f t="shared" ref="BW250" si="797">BM250+BN250</f>
        <v>0</v>
      </c>
      <c r="BX250" s="126">
        <f t="shared" ref="BX250" si="798">AL250+AK250</f>
        <v>0</v>
      </c>
      <c r="BY250" s="125">
        <f t="shared" ref="BY250" si="799">BW250-BX250</f>
        <v>0</v>
      </c>
      <c r="BZ250" s="146">
        <f t="shared" ref="BZ250" si="800">BM250</f>
        <v>0</v>
      </c>
      <c r="CA250" s="146">
        <f t="shared" ref="CA250" si="801">AK250</f>
        <v>0</v>
      </c>
      <c r="CB250" s="127">
        <f t="shared" ref="CB250" si="802">BZ250-CA250</f>
        <v>0</v>
      </c>
      <c r="CC250" s="146" t="s">
        <v>397</v>
      </c>
      <c r="CD250" s="127">
        <v>0</v>
      </c>
      <c r="CE250" s="127">
        <v>0</v>
      </c>
      <c r="CF250" s="127">
        <f t="shared" ref="CF250" si="803">AM250-AL250-AA250</f>
        <v>0</v>
      </c>
      <c r="CG250" s="127">
        <f t="shared" ref="CG250" si="804">BO250-BN250</f>
        <v>0</v>
      </c>
      <c r="CH250" s="127">
        <f>INT((D250- IF(MONTH(D250) &gt;= 4, DATE(YEAR(D250), 4, 1), DATE(YEAR(D250)-1, 4, 1))) / 7) + 1</f>
        <v>9</v>
      </c>
      <c r="CI250" s="147" t="str">
        <f>IF(F250="BLACK GOLD RECYCLING PRIVATE LIMITED", "BG AHD", "B2B")</f>
        <v>BG AHD</v>
      </c>
      <c r="CJ250" s="127">
        <v>0</v>
      </c>
      <c r="CK250" s="127">
        <v>0</v>
      </c>
      <c r="CL250" s="127">
        <f t="shared" ref="CL250" si="805">AY250-Q250</f>
        <v>0</v>
      </c>
      <c r="CM250" s="127">
        <f t="shared" ref="CM250" si="806">CL250-Y250+Z250</f>
        <v>0</v>
      </c>
      <c r="CN250" s="127">
        <f t="shared" ref="CN250" si="807">BO250-AM250</f>
        <v>0</v>
      </c>
      <c r="CO250" s="127">
        <f t="shared" ref="CO250" si="808">AY250*118%</f>
        <v>0</v>
      </c>
      <c r="CP250" s="127">
        <f t="shared" ref="CP250" si="809">-Q250*118%</f>
        <v>0</v>
      </c>
      <c r="CQ250" s="127">
        <f t="shared" ref="CQ250" si="810">-BZ250*118%</f>
        <v>0</v>
      </c>
      <c r="CR250" s="127">
        <f t="shared" ref="CR250" si="811">-CA250*118%</f>
        <v>0</v>
      </c>
      <c r="CS250" s="127">
        <f t="shared" ref="CS250" si="812">SUM(CO250:CR250)</f>
        <v>0</v>
      </c>
      <c r="CT250" s="127" t="s">
        <v>361</v>
      </c>
      <c r="CU250" s="127" t="s">
        <v>361</v>
      </c>
      <c r="CV250" s="142" t="str">
        <f>MID(G250,3,10)</f>
        <v>AAMCB5608A</v>
      </c>
      <c r="CW250" s="142" t="str">
        <f t="shared" ref="CW250" si="813">MID(AR250,3,10)</f>
        <v/>
      </c>
    </row>
    <row r="251" spans="2:101" s="168" customFormat="1" ht="12" x14ac:dyDescent="0.25">
      <c r="B251" s="120" t="str">
        <f t="shared" ref="B251" si="814">"Q" &amp; IF(ROUNDUP(MONTH(D251)/3,0)-1=0,4,ROUNDUP(MONTH(D251)/3,0)-1)</f>
        <v>Q1</v>
      </c>
      <c r="C251" s="121" t="str">
        <f t="shared" ref="C251" si="815">TEXT(AN251,"mmm-yy")</f>
        <v>Jun-26</v>
      </c>
      <c r="D251" s="122">
        <v>46203</v>
      </c>
      <c r="E251" s="123" t="s">
        <v>4067</v>
      </c>
      <c r="F251" s="123" t="s">
        <v>196</v>
      </c>
      <c r="G251" s="123" t="s">
        <v>198</v>
      </c>
      <c r="H251" s="124">
        <v>0</v>
      </c>
      <c r="I251" s="480">
        <v>0</v>
      </c>
      <c r="J251" s="243">
        <v>0</v>
      </c>
      <c r="K251" s="480">
        <v>0</v>
      </c>
      <c r="L251" s="123">
        <v>0</v>
      </c>
      <c r="M251" s="123">
        <v>0</v>
      </c>
      <c r="N251" s="124" t="s">
        <v>4067</v>
      </c>
      <c r="O251" s="123">
        <v>1</v>
      </c>
      <c r="P251" s="231">
        <v>0</v>
      </c>
      <c r="Q251" s="125">
        <f t="shared" ref="Q251" si="816">O251*P251</f>
        <v>0</v>
      </c>
      <c r="R251" s="126">
        <v>0</v>
      </c>
      <c r="S251" s="125">
        <f t="shared" ref="S251" si="817">O251-R251</f>
        <v>1</v>
      </c>
      <c r="T251" s="126">
        <v>0</v>
      </c>
      <c r="U251" s="127">
        <v>0</v>
      </c>
      <c r="V251" s="128">
        <v>0</v>
      </c>
      <c r="W251" s="127">
        <v>0</v>
      </c>
      <c r="X251" s="129">
        <v>0</v>
      </c>
      <c r="Y251" s="127">
        <v>0</v>
      </c>
      <c r="Z251" s="127">
        <v>0</v>
      </c>
      <c r="AA251" s="126">
        <v>0</v>
      </c>
      <c r="AB251" s="130">
        <f t="shared" ref="AB251" si="818">Y251+AA251+Z251</f>
        <v>0</v>
      </c>
      <c r="AC251" s="129">
        <f>(AC249+AC250+AC252+AC253)/2</f>
        <v>262118.5</v>
      </c>
      <c r="AD251" s="125">
        <f t="shared" ref="AD251" si="819">Q251/O251</f>
        <v>0</v>
      </c>
      <c r="AE251" s="144">
        <v>0</v>
      </c>
      <c r="AF251" s="127">
        <v>0</v>
      </c>
      <c r="AG251" s="131">
        <v>0</v>
      </c>
      <c r="AH251" s="127">
        <v>0</v>
      </c>
      <c r="AI251" s="128">
        <v>0</v>
      </c>
      <c r="AJ251" s="127">
        <v>0</v>
      </c>
      <c r="AK251" s="127">
        <v>0</v>
      </c>
      <c r="AL251" s="127">
        <v>0</v>
      </c>
      <c r="AM251" s="132">
        <f t="shared" ref="AM251" si="820">Q251+AB251+AL251+AK251+AJ251+T251+AE251</f>
        <v>0</v>
      </c>
      <c r="AN251" s="133">
        <v>46203</v>
      </c>
      <c r="AO251" s="134">
        <v>0</v>
      </c>
      <c r="AP251" s="135">
        <v>0</v>
      </c>
      <c r="AQ251" s="136">
        <v>0</v>
      </c>
      <c r="AR251" s="136">
        <v>0</v>
      </c>
      <c r="AS251" s="123">
        <v>0</v>
      </c>
      <c r="AT251" s="137">
        <v>0</v>
      </c>
      <c r="AU251" s="138">
        <v>0</v>
      </c>
      <c r="AV251" s="138"/>
      <c r="AW251" s="136">
        <v>0</v>
      </c>
      <c r="AX251" s="138">
        <v>0</v>
      </c>
      <c r="AY251" s="136">
        <f t="shared" ref="AY251" si="821">AW251*AX251</f>
        <v>0</v>
      </c>
      <c r="AZ251" s="139" t="b">
        <f t="shared" ref="AZ251" si="822">AW251=O251</f>
        <v>0</v>
      </c>
      <c r="BA251" s="125">
        <v>0</v>
      </c>
      <c r="BB251" s="140">
        <f t="shared" ref="BB251" si="823">AW251-BA251</f>
        <v>0</v>
      </c>
      <c r="BC251" s="141">
        <v>0</v>
      </c>
      <c r="BD251" s="140" t="s">
        <v>107</v>
      </c>
      <c r="BE251" s="141">
        <v>0</v>
      </c>
      <c r="BF251" s="140">
        <v>0</v>
      </c>
      <c r="BG251" s="141">
        <v>0</v>
      </c>
      <c r="BH251" s="127">
        <v>0</v>
      </c>
      <c r="BI251" s="130">
        <v>0</v>
      </c>
      <c r="BJ251" s="128">
        <v>0</v>
      </c>
      <c r="BK251" s="125">
        <v>0</v>
      </c>
      <c r="BL251" s="136">
        <v>0</v>
      </c>
      <c r="BM251" s="127">
        <v>0</v>
      </c>
      <c r="BN251" s="142">
        <f t="shared" ref="BN251" si="824">AY251*$BN$3</f>
        <v>0</v>
      </c>
      <c r="BO251" s="126">
        <f t="shared" ref="BO251" si="825">AY251+BL251+BM251+BN251+BC251+BG251</f>
        <v>0</v>
      </c>
      <c r="BP251" s="132">
        <f t="shared" ref="BP251" si="826">BO251-AM251</f>
        <v>0</v>
      </c>
      <c r="BQ251" s="141">
        <v>0</v>
      </c>
      <c r="BR251" s="334" t="s">
        <v>2681</v>
      </c>
      <c r="BS251" s="125">
        <f t="shared" ref="BS251" si="827">AY251-Y251-Q251-AA251-T251+BC251</f>
        <v>0</v>
      </c>
      <c r="BT251" s="144">
        <v>0</v>
      </c>
      <c r="BU251" s="145" t="str">
        <f t="shared" ref="BU251" si="828">IFERROR(BP251/BO251,"0")</f>
        <v>0</v>
      </c>
      <c r="BV251" s="144">
        <v>0</v>
      </c>
      <c r="BW251" s="125">
        <f t="shared" ref="BW251" si="829">BM251+BN251</f>
        <v>0</v>
      </c>
      <c r="BX251" s="126">
        <f t="shared" ref="BX251" si="830">AL251+AK251</f>
        <v>0</v>
      </c>
      <c r="BY251" s="125">
        <f t="shared" ref="BY251" si="831">BW251-BX251</f>
        <v>0</v>
      </c>
      <c r="BZ251" s="146">
        <f t="shared" ref="BZ251" si="832">BM251</f>
        <v>0</v>
      </c>
      <c r="CA251" s="146">
        <f t="shared" ref="CA251" si="833">AK251</f>
        <v>0</v>
      </c>
      <c r="CB251" s="127">
        <f t="shared" ref="CB251" si="834">BZ251-CA251</f>
        <v>0</v>
      </c>
      <c r="CC251" s="146" t="s">
        <v>397</v>
      </c>
      <c r="CD251" s="127">
        <v>0</v>
      </c>
      <c r="CE251" s="127">
        <v>0</v>
      </c>
      <c r="CF251" s="127">
        <f t="shared" ref="CF251" si="835">AM251-AL251-AA251</f>
        <v>0</v>
      </c>
      <c r="CG251" s="127">
        <f t="shared" ref="CG251" si="836">BO251-BN251</f>
        <v>0</v>
      </c>
      <c r="CH251" s="127">
        <f>INT((D251- IF(MONTH(D251) &gt;= 4, DATE(YEAR(D251), 4, 1), DATE(YEAR(D251)-1, 4, 1))) / 7) + 1</f>
        <v>13</v>
      </c>
      <c r="CI251" s="147" t="str">
        <f>IF(F251="BLACK GOLD RECYCLING PRIVATE LIMITED", "BG AHD", "B2B")</f>
        <v>BG AHD</v>
      </c>
      <c r="CJ251" s="127">
        <v>0</v>
      </c>
      <c r="CK251" s="127">
        <v>0</v>
      </c>
      <c r="CL251" s="127">
        <f t="shared" ref="CL251" si="837">AY251-Q251</f>
        <v>0</v>
      </c>
      <c r="CM251" s="127">
        <f t="shared" ref="CM251" si="838">CL251-Y251+Z251</f>
        <v>0</v>
      </c>
      <c r="CN251" s="127">
        <f t="shared" ref="CN251" si="839">BO251-AM251</f>
        <v>0</v>
      </c>
      <c r="CO251" s="127">
        <f t="shared" ref="CO251" si="840">AY251*118%</f>
        <v>0</v>
      </c>
      <c r="CP251" s="127">
        <f t="shared" ref="CP251" si="841">-Q251*118%</f>
        <v>0</v>
      </c>
      <c r="CQ251" s="127">
        <f t="shared" ref="CQ251" si="842">-BZ251*118%</f>
        <v>0</v>
      </c>
      <c r="CR251" s="127">
        <f t="shared" ref="CR251" si="843">-CA251*118%</f>
        <v>0</v>
      </c>
      <c r="CS251" s="127">
        <f t="shared" ref="CS251" si="844">SUM(CO251:CR251)</f>
        <v>0</v>
      </c>
      <c r="CT251" s="127" t="s">
        <v>361</v>
      </c>
      <c r="CU251" s="127" t="s">
        <v>361</v>
      </c>
      <c r="CV251" s="142" t="str">
        <f>MID(G251,3,10)</f>
        <v>AAMCB5608A</v>
      </c>
      <c r="CW251" s="142" t="str">
        <f t="shared" ref="CW251" si="845">MID(AR251,3,10)</f>
        <v/>
      </c>
    </row>
    <row r="252" spans="2:101" s="168" customFormat="1" ht="12" x14ac:dyDescent="0.25">
      <c r="B252" s="120" t="str">
        <f t="shared" ref="B252:B253" si="846">"Q" &amp; IF(ROUNDUP(MONTH(D252)/3,0)-1=0,4,ROUNDUP(MONTH(D252)/3,0)-1)</f>
        <v>Q1</v>
      </c>
      <c r="C252" s="121" t="str">
        <f t="shared" ref="C252:C253" si="847">TEXT(AN252,"mmm-yy")</f>
        <v>Jun-26</v>
      </c>
      <c r="D252" s="122">
        <v>46203</v>
      </c>
      <c r="E252" s="123" t="s">
        <v>4067</v>
      </c>
      <c r="F252" s="123" t="s">
        <v>196</v>
      </c>
      <c r="G252" s="123" t="s">
        <v>198</v>
      </c>
      <c r="H252" s="124">
        <v>0</v>
      </c>
      <c r="I252" s="480">
        <v>0</v>
      </c>
      <c r="J252" s="243">
        <v>0</v>
      </c>
      <c r="K252" s="480">
        <v>0</v>
      </c>
      <c r="L252" s="123">
        <v>0</v>
      </c>
      <c r="M252" s="123">
        <v>0</v>
      </c>
      <c r="N252" s="124" t="s">
        <v>4067</v>
      </c>
      <c r="O252" s="123">
        <v>1</v>
      </c>
      <c r="P252" s="231">
        <v>0</v>
      </c>
      <c r="Q252" s="125">
        <f t="shared" ref="Q252:Q253" si="848">O252*P252</f>
        <v>0</v>
      </c>
      <c r="R252" s="126">
        <v>0</v>
      </c>
      <c r="S252" s="125">
        <f t="shared" ref="S252:S253" si="849">O252-R252</f>
        <v>1</v>
      </c>
      <c r="T252" s="126">
        <v>0</v>
      </c>
      <c r="U252" s="127">
        <v>0</v>
      </c>
      <c r="V252" s="128">
        <v>0</v>
      </c>
      <c r="W252" s="127">
        <v>0</v>
      </c>
      <c r="X252" s="129">
        <v>0</v>
      </c>
      <c r="Y252" s="127">
        <v>0</v>
      </c>
      <c r="Z252" s="127">
        <v>0</v>
      </c>
      <c r="AA252" s="126">
        <v>0</v>
      </c>
      <c r="AB252" s="130">
        <f t="shared" ref="AB252:AB253" si="850">Y252+AA252+Z252</f>
        <v>0</v>
      </c>
      <c r="AC252" s="129">
        <f>Enterprise!W11</f>
        <v>12634.930000000022</v>
      </c>
      <c r="AD252" s="125">
        <f t="shared" ref="AD252:AD253" si="851">Q252/O252</f>
        <v>0</v>
      </c>
      <c r="AE252" s="144">
        <v>0</v>
      </c>
      <c r="AF252" s="127">
        <v>0</v>
      </c>
      <c r="AG252" s="131">
        <v>0</v>
      </c>
      <c r="AH252" s="127">
        <v>0</v>
      </c>
      <c r="AI252" s="128">
        <v>0</v>
      </c>
      <c r="AJ252" s="127">
        <v>0</v>
      </c>
      <c r="AK252" s="127">
        <v>0</v>
      </c>
      <c r="AL252" s="127">
        <v>0</v>
      </c>
      <c r="AM252" s="132">
        <f t="shared" ref="AM252:AM253" si="852">Q252+AB252+AL252+AK252+AJ252+T252+AE252</f>
        <v>0</v>
      </c>
      <c r="AN252" s="133">
        <v>46203</v>
      </c>
      <c r="AO252" s="134">
        <v>0</v>
      </c>
      <c r="AP252" s="135">
        <v>0</v>
      </c>
      <c r="AQ252" s="136">
        <v>0</v>
      </c>
      <c r="AR252" s="136">
        <v>0</v>
      </c>
      <c r="AS252" s="123">
        <v>0</v>
      </c>
      <c r="AT252" s="137">
        <v>0</v>
      </c>
      <c r="AU252" s="138">
        <v>0</v>
      </c>
      <c r="AV252" s="138"/>
      <c r="AW252" s="136">
        <v>0</v>
      </c>
      <c r="AX252" s="138">
        <v>0</v>
      </c>
      <c r="AY252" s="136">
        <f t="shared" ref="AY252:AY253" si="853">AW252*AX252</f>
        <v>0</v>
      </c>
      <c r="AZ252" s="139" t="b">
        <f t="shared" ref="AZ252:AZ253" si="854">AW252=O252</f>
        <v>0</v>
      </c>
      <c r="BA252" s="125">
        <v>0</v>
      </c>
      <c r="BB252" s="140">
        <f t="shared" ref="BB252:BB253" si="855">AW252-BA252</f>
        <v>0</v>
      </c>
      <c r="BC252" s="141">
        <v>0</v>
      </c>
      <c r="BD252" s="140" t="s">
        <v>107</v>
      </c>
      <c r="BE252" s="141">
        <v>0</v>
      </c>
      <c r="BF252" s="140">
        <v>0</v>
      </c>
      <c r="BG252" s="141">
        <v>0</v>
      </c>
      <c r="BH252" s="127">
        <v>0</v>
      </c>
      <c r="BI252" s="130">
        <v>0</v>
      </c>
      <c r="BJ252" s="128">
        <v>0</v>
      </c>
      <c r="BK252" s="125">
        <v>0</v>
      </c>
      <c r="BL252" s="136">
        <v>0</v>
      </c>
      <c r="BM252" s="127">
        <v>0</v>
      </c>
      <c r="BN252" s="142">
        <f t="shared" ref="BN252:BN253" si="856">AY252*$BN$3</f>
        <v>0</v>
      </c>
      <c r="BO252" s="126">
        <f t="shared" ref="BO252:BO253" si="857">AY252+BL252+BM252+BN252+BC252+BG252</f>
        <v>0</v>
      </c>
      <c r="BP252" s="132">
        <f t="shared" ref="BP252:BP253" si="858">BO252-AM252</f>
        <v>0</v>
      </c>
      <c r="BQ252" s="141">
        <v>0</v>
      </c>
      <c r="BR252" s="334" t="s">
        <v>2681</v>
      </c>
      <c r="BS252" s="125">
        <f t="shared" ref="BS252:BS253" si="859">AY252-Y252-Q252-AA252-T252+BC252</f>
        <v>0</v>
      </c>
      <c r="BT252" s="144">
        <v>0</v>
      </c>
      <c r="BU252" s="145" t="str">
        <f t="shared" ref="BU252:BU253" si="860">IFERROR(BP252/BO252,"0")</f>
        <v>0</v>
      </c>
      <c r="BV252" s="144">
        <v>0</v>
      </c>
      <c r="BW252" s="125">
        <f t="shared" ref="BW252:BW253" si="861">BM252+BN252</f>
        <v>0</v>
      </c>
      <c r="BX252" s="126">
        <f t="shared" ref="BX252:BX253" si="862">AL252+AK252</f>
        <v>0</v>
      </c>
      <c r="BY252" s="125">
        <f t="shared" ref="BY252:BY253" si="863">BW252-BX252</f>
        <v>0</v>
      </c>
      <c r="BZ252" s="146">
        <f t="shared" ref="BZ252:BZ253" si="864">BM252</f>
        <v>0</v>
      </c>
      <c r="CA252" s="146">
        <f t="shared" ref="CA252:CA253" si="865">AK252</f>
        <v>0</v>
      </c>
      <c r="CB252" s="127">
        <f t="shared" ref="CB252:CB253" si="866">BZ252-CA252</f>
        <v>0</v>
      </c>
      <c r="CC252" s="146" t="s">
        <v>397</v>
      </c>
      <c r="CD252" s="127">
        <v>0</v>
      </c>
      <c r="CE252" s="127">
        <v>0</v>
      </c>
      <c r="CF252" s="127">
        <f t="shared" ref="CF252:CF253" si="867">AM252-AL252-AA252</f>
        <v>0</v>
      </c>
      <c r="CG252" s="127">
        <f t="shared" ref="CG252:CG253" si="868">BO252-BN252</f>
        <v>0</v>
      </c>
      <c r="CH252" s="127">
        <f t="shared" ref="CH252:CH253" si="869">INT((D252- IF(MONTH(D252) &gt;= 4, DATE(YEAR(D252), 4, 1), DATE(YEAR(D252)-1, 4, 1))) / 7) + 1</f>
        <v>13</v>
      </c>
      <c r="CI252" s="147" t="str">
        <f t="shared" ref="CI252:CI253" si="870">IF(F252="BLACK GOLD RECYCLING PRIVATE LIMITED", "BG AHD", "B2B")</f>
        <v>BG AHD</v>
      </c>
      <c r="CJ252" s="127">
        <v>0</v>
      </c>
      <c r="CK252" s="127">
        <v>0</v>
      </c>
      <c r="CL252" s="127">
        <f t="shared" ref="CL252:CL253" si="871">AY252-Q252</f>
        <v>0</v>
      </c>
      <c r="CM252" s="127">
        <f t="shared" ref="CM252:CM253" si="872">CL252-Y252+Z252</f>
        <v>0</v>
      </c>
      <c r="CN252" s="127">
        <f t="shared" ref="CN252:CN253" si="873">BO252-AM252</f>
        <v>0</v>
      </c>
      <c r="CO252" s="127">
        <f t="shared" ref="CO252:CO253" si="874">AY252*118%</f>
        <v>0</v>
      </c>
      <c r="CP252" s="127">
        <f t="shared" ref="CP252:CP253" si="875">-Q252*118%</f>
        <v>0</v>
      </c>
      <c r="CQ252" s="127">
        <f t="shared" ref="CQ252:CQ253" si="876">-BZ252*118%</f>
        <v>0</v>
      </c>
      <c r="CR252" s="127">
        <f t="shared" ref="CR252:CR253" si="877">-CA252*118%</f>
        <v>0</v>
      </c>
      <c r="CS252" s="127">
        <f t="shared" ref="CS252:CS253" si="878">SUM(CO252:CR252)</f>
        <v>0</v>
      </c>
      <c r="CT252" s="127" t="s">
        <v>361</v>
      </c>
      <c r="CU252" s="127" t="s">
        <v>361</v>
      </c>
      <c r="CV252" s="142" t="str">
        <f t="shared" ref="CV252:CV253" si="879">MID(G252,3,10)</f>
        <v>AAMCB5608A</v>
      </c>
      <c r="CW252" s="142" t="str">
        <f t="shared" ref="CW252:CW253" si="880">MID(AR252,3,10)</f>
        <v/>
      </c>
    </row>
    <row r="253" spans="2:101" s="168" customFormat="1" ht="12" x14ac:dyDescent="0.25">
      <c r="B253" s="120" t="str">
        <f t="shared" si="846"/>
        <v>Q1</v>
      </c>
      <c r="C253" s="121" t="str">
        <f t="shared" si="847"/>
        <v>Jun-26</v>
      </c>
      <c r="D253" s="122">
        <v>46203</v>
      </c>
      <c r="E253" s="123" t="s">
        <v>4067</v>
      </c>
      <c r="F253" s="123" t="s">
        <v>196</v>
      </c>
      <c r="G253" s="123" t="s">
        <v>198</v>
      </c>
      <c r="H253" s="124">
        <v>0</v>
      </c>
      <c r="I253" s="480">
        <v>0</v>
      </c>
      <c r="J253" s="243">
        <v>0</v>
      </c>
      <c r="K253" s="480">
        <v>0</v>
      </c>
      <c r="L253" s="123">
        <v>0</v>
      </c>
      <c r="M253" s="123">
        <v>0</v>
      </c>
      <c r="N253" s="124" t="s">
        <v>4067</v>
      </c>
      <c r="O253" s="123">
        <v>1</v>
      </c>
      <c r="P253" s="231">
        <v>0</v>
      </c>
      <c r="Q253" s="125">
        <f t="shared" si="848"/>
        <v>0</v>
      </c>
      <c r="R253" s="126">
        <v>0</v>
      </c>
      <c r="S253" s="125">
        <f t="shared" si="849"/>
        <v>1</v>
      </c>
      <c r="T253" s="126">
        <v>0</v>
      </c>
      <c r="U253" s="127">
        <v>0</v>
      </c>
      <c r="V253" s="128">
        <v>0</v>
      </c>
      <c r="W253" s="127">
        <v>0</v>
      </c>
      <c r="X253" s="129">
        <v>0</v>
      </c>
      <c r="Y253" s="127">
        <v>0</v>
      </c>
      <c r="Z253" s="127">
        <v>0</v>
      </c>
      <c r="AA253" s="126">
        <v>0</v>
      </c>
      <c r="AB253" s="130">
        <f t="shared" si="850"/>
        <v>0</v>
      </c>
      <c r="AC253" s="129">
        <f>Enterprise!X11+Enterprise!Y9+Enterprise!Z9</f>
        <v>62023.045000000013</v>
      </c>
      <c r="AD253" s="125">
        <f t="shared" si="851"/>
        <v>0</v>
      </c>
      <c r="AE253" s="144">
        <v>0</v>
      </c>
      <c r="AF253" s="127">
        <v>0</v>
      </c>
      <c r="AG253" s="131">
        <v>0</v>
      </c>
      <c r="AH253" s="127">
        <v>0</v>
      </c>
      <c r="AI253" s="128">
        <v>0</v>
      </c>
      <c r="AJ253" s="127">
        <v>0</v>
      </c>
      <c r="AK253" s="127">
        <v>0</v>
      </c>
      <c r="AL253" s="127">
        <v>0</v>
      </c>
      <c r="AM253" s="132">
        <f t="shared" si="852"/>
        <v>0</v>
      </c>
      <c r="AN253" s="133">
        <v>46203</v>
      </c>
      <c r="AO253" s="134">
        <v>0</v>
      </c>
      <c r="AP253" s="135">
        <v>0</v>
      </c>
      <c r="AQ253" s="136">
        <v>0</v>
      </c>
      <c r="AR253" s="136">
        <v>0</v>
      </c>
      <c r="AS253" s="123">
        <v>0</v>
      </c>
      <c r="AT253" s="137">
        <v>0</v>
      </c>
      <c r="AU253" s="138">
        <v>0</v>
      </c>
      <c r="AV253" s="138"/>
      <c r="AW253" s="136">
        <v>0</v>
      </c>
      <c r="AX253" s="138">
        <v>0</v>
      </c>
      <c r="AY253" s="136">
        <f t="shared" si="853"/>
        <v>0</v>
      </c>
      <c r="AZ253" s="139" t="b">
        <f t="shared" si="854"/>
        <v>0</v>
      </c>
      <c r="BA253" s="125">
        <v>0</v>
      </c>
      <c r="BB253" s="140">
        <f t="shared" si="855"/>
        <v>0</v>
      </c>
      <c r="BC253" s="141">
        <v>0</v>
      </c>
      <c r="BD253" s="140" t="s">
        <v>107</v>
      </c>
      <c r="BE253" s="141">
        <v>0</v>
      </c>
      <c r="BF253" s="140">
        <v>0</v>
      </c>
      <c r="BG253" s="141">
        <v>0</v>
      </c>
      <c r="BH253" s="127">
        <v>0</v>
      </c>
      <c r="BI253" s="130">
        <v>0</v>
      </c>
      <c r="BJ253" s="128">
        <v>0</v>
      </c>
      <c r="BK253" s="125">
        <v>0</v>
      </c>
      <c r="BL253" s="136">
        <v>0</v>
      </c>
      <c r="BM253" s="127">
        <v>0</v>
      </c>
      <c r="BN253" s="142">
        <f t="shared" si="856"/>
        <v>0</v>
      </c>
      <c r="BO253" s="126">
        <f t="shared" si="857"/>
        <v>0</v>
      </c>
      <c r="BP253" s="132">
        <f t="shared" si="858"/>
        <v>0</v>
      </c>
      <c r="BQ253" s="141">
        <v>0</v>
      </c>
      <c r="BR253" s="334" t="s">
        <v>2681</v>
      </c>
      <c r="BS253" s="125">
        <f t="shared" si="859"/>
        <v>0</v>
      </c>
      <c r="BT253" s="144">
        <v>0</v>
      </c>
      <c r="BU253" s="145" t="str">
        <f t="shared" si="860"/>
        <v>0</v>
      </c>
      <c r="BV253" s="144">
        <v>0</v>
      </c>
      <c r="BW253" s="125">
        <f t="shared" si="861"/>
        <v>0</v>
      </c>
      <c r="BX253" s="126">
        <f t="shared" si="862"/>
        <v>0</v>
      </c>
      <c r="BY253" s="125">
        <f t="shared" si="863"/>
        <v>0</v>
      </c>
      <c r="BZ253" s="146">
        <f t="shared" si="864"/>
        <v>0</v>
      </c>
      <c r="CA253" s="146">
        <f t="shared" si="865"/>
        <v>0</v>
      </c>
      <c r="CB253" s="127">
        <f t="shared" si="866"/>
        <v>0</v>
      </c>
      <c r="CC253" s="146" t="s">
        <v>397</v>
      </c>
      <c r="CD253" s="127">
        <v>0</v>
      </c>
      <c r="CE253" s="127">
        <v>0</v>
      </c>
      <c r="CF253" s="127">
        <f t="shared" si="867"/>
        <v>0</v>
      </c>
      <c r="CG253" s="127">
        <f t="shared" si="868"/>
        <v>0</v>
      </c>
      <c r="CH253" s="127">
        <f t="shared" si="869"/>
        <v>13</v>
      </c>
      <c r="CI253" s="147" t="str">
        <f t="shared" si="870"/>
        <v>BG AHD</v>
      </c>
      <c r="CJ253" s="127">
        <v>0</v>
      </c>
      <c r="CK253" s="127">
        <v>0</v>
      </c>
      <c r="CL253" s="127">
        <f t="shared" si="871"/>
        <v>0</v>
      </c>
      <c r="CM253" s="127">
        <f t="shared" si="872"/>
        <v>0</v>
      </c>
      <c r="CN253" s="127">
        <f t="shared" si="873"/>
        <v>0</v>
      </c>
      <c r="CO253" s="127">
        <f t="shared" si="874"/>
        <v>0</v>
      </c>
      <c r="CP253" s="127">
        <f t="shared" si="875"/>
        <v>0</v>
      </c>
      <c r="CQ253" s="127">
        <f t="shared" si="876"/>
        <v>0</v>
      </c>
      <c r="CR253" s="127">
        <f t="shared" si="877"/>
        <v>0</v>
      </c>
      <c r="CS253" s="127">
        <f t="shared" si="878"/>
        <v>0</v>
      </c>
      <c r="CT253" s="127" t="s">
        <v>361</v>
      </c>
      <c r="CU253" s="127" t="s">
        <v>361</v>
      </c>
      <c r="CV253" s="142" t="str">
        <f t="shared" si="879"/>
        <v>AAMCB5608A</v>
      </c>
      <c r="CW253" s="142" t="str">
        <f t="shared" si="880"/>
        <v/>
      </c>
    </row>
    <row r="254" spans="2:101" s="168" customFormat="1" ht="12.6" thickBot="1" x14ac:dyDescent="0.3">
      <c r="B254" s="120"/>
      <c r="C254" s="121"/>
      <c r="D254" s="122"/>
      <c r="E254" s="123"/>
      <c r="F254" s="123"/>
      <c r="G254" s="123"/>
      <c r="H254" s="124"/>
      <c r="I254" s="122"/>
      <c r="J254" s="243"/>
      <c r="K254" s="122"/>
      <c r="L254" s="123"/>
      <c r="M254" s="123"/>
      <c r="N254" s="124"/>
      <c r="O254" s="123"/>
      <c r="P254" s="231"/>
      <c r="Q254" s="125"/>
      <c r="R254" s="126"/>
      <c r="S254" s="125"/>
      <c r="T254" s="126"/>
      <c r="U254" s="127"/>
      <c r="V254" s="128"/>
      <c r="W254" s="127"/>
      <c r="X254" s="129"/>
      <c r="Y254" s="127"/>
      <c r="Z254" s="127"/>
      <c r="AA254" s="126"/>
      <c r="AB254" s="130"/>
      <c r="AC254" s="129"/>
      <c r="AD254" s="125"/>
      <c r="AE254" s="144"/>
      <c r="AF254" s="127"/>
      <c r="AG254" s="131"/>
      <c r="AH254" s="127"/>
      <c r="AI254" s="128"/>
      <c r="AJ254" s="127"/>
      <c r="AK254" s="127"/>
      <c r="AL254" s="127"/>
      <c r="AM254" s="132"/>
      <c r="AN254" s="133"/>
      <c r="AO254" s="134"/>
      <c r="AP254" s="135"/>
      <c r="AQ254" s="136"/>
      <c r="AR254" s="136"/>
      <c r="AS254" s="123"/>
      <c r="AT254" s="137"/>
      <c r="AU254" s="138"/>
      <c r="AV254" s="138"/>
      <c r="AW254" s="136"/>
      <c r="AX254" s="138"/>
      <c r="AY254" s="136"/>
      <c r="AZ254" s="139"/>
      <c r="BA254" s="125"/>
      <c r="BB254" s="140"/>
      <c r="BC254" s="141"/>
      <c r="BD254" s="140"/>
      <c r="BE254" s="141"/>
      <c r="BF254" s="140"/>
      <c r="BG254" s="141"/>
      <c r="BH254" s="127"/>
      <c r="BI254" s="130"/>
      <c r="BJ254" s="128"/>
      <c r="BK254" s="125"/>
      <c r="BL254" s="136"/>
      <c r="BM254" s="127"/>
      <c r="BN254" s="142"/>
      <c r="BO254" s="126"/>
      <c r="BP254" s="132"/>
      <c r="BQ254" s="141"/>
      <c r="BR254" s="334"/>
      <c r="BS254" s="125"/>
      <c r="BT254" s="144"/>
      <c r="BU254" s="145"/>
      <c r="BV254" s="144"/>
      <c r="BW254" s="125"/>
      <c r="BX254" s="126"/>
      <c r="BY254" s="125"/>
      <c r="BZ254" s="146"/>
      <c r="CA254" s="146"/>
      <c r="CB254" s="127"/>
      <c r="CC254" s="146"/>
      <c r="CD254" s="127"/>
      <c r="CE254" s="127"/>
      <c r="CF254" s="127"/>
      <c r="CG254" s="127"/>
      <c r="CH254" s="127"/>
      <c r="CI254" s="147"/>
      <c r="CJ254" s="127"/>
      <c r="CK254" s="127"/>
      <c r="CL254" s="127"/>
      <c r="CM254" s="127"/>
      <c r="CN254" s="127"/>
      <c r="CO254" s="127"/>
      <c r="CP254" s="127"/>
      <c r="CQ254" s="127"/>
      <c r="CR254" s="127"/>
      <c r="CS254" s="127"/>
      <c r="CT254" s="127"/>
      <c r="CU254" s="127"/>
      <c r="CV254" s="142"/>
      <c r="CW254" s="142"/>
    </row>
    <row r="255" spans="2:101" s="168" customFormat="1" ht="12.6" thickBot="1" x14ac:dyDescent="0.3">
      <c r="B255" s="154"/>
      <c r="C255" s="155"/>
      <c r="D255" s="155"/>
      <c r="E255" s="155"/>
      <c r="F255" s="156" t="s">
        <v>58</v>
      </c>
      <c r="G255" s="155"/>
      <c r="H255" s="155"/>
      <c r="I255" s="157"/>
      <c r="J255" s="155"/>
      <c r="K255" s="157"/>
      <c r="L255" s="156"/>
      <c r="M255" s="158"/>
      <c r="N255" s="159"/>
      <c r="O255" s="160">
        <f>SUBTOTAL(9,O249:O254)</f>
        <v>5</v>
      </c>
      <c r="P255" s="161"/>
      <c r="Q255" s="160">
        <f>SUBTOTAL(9,Q249:Q254)</f>
        <v>0</v>
      </c>
      <c r="R255" s="160">
        <f>SUBTOTAL(9,R249:R254)</f>
        <v>0</v>
      </c>
      <c r="S255" s="160">
        <f>SUBTOTAL(9,S249:S254)</f>
        <v>5</v>
      </c>
      <c r="T255" s="160">
        <f>SUBTOTAL(9,T243:T254)</f>
        <v>0</v>
      </c>
      <c r="U255" s="162"/>
      <c r="V255" s="162"/>
      <c r="W255" s="163"/>
      <c r="X255" s="163"/>
      <c r="Y255" s="160">
        <f>SUBTOTAL(9,Y249:Y254)</f>
        <v>0</v>
      </c>
      <c r="Z255" s="160">
        <f>SUBTOTAL(9,Z249:Z254)</f>
        <v>0</v>
      </c>
      <c r="AA255" s="160">
        <f>SUBTOTAL(9,AA249:AA254)</f>
        <v>0</v>
      </c>
      <c r="AB255" s="160">
        <f>SUBTOTAL(9,AB249:AB254)</f>
        <v>0</v>
      </c>
      <c r="AC255" s="160">
        <f>SUBTOTAL(9,AC249:AC254)</f>
        <v>786355.5</v>
      </c>
      <c r="AD255" s="160"/>
      <c r="AE255" s="160">
        <f>SUBTOTAL(9,AE249:AE254)</f>
        <v>0</v>
      </c>
      <c r="AF255" s="155"/>
      <c r="AG255" s="155"/>
      <c r="AH255" s="164"/>
      <c r="AI255" s="164"/>
      <c r="AJ255" s="160">
        <f>SUBTOTAL(9,AJ249:AJ254)</f>
        <v>0</v>
      </c>
      <c r="AK255" s="160">
        <f>SUBTOTAL(9,AK249:AK254)</f>
        <v>0</v>
      </c>
      <c r="AL255" s="160">
        <f>SUBTOTAL(9,AL249:AL254)</f>
        <v>0</v>
      </c>
      <c r="AM255" s="160">
        <f>SUBTOTAL(9,AM249:AM254)</f>
        <v>0</v>
      </c>
      <c r="AN255" s="161"/>
      <c r="AO255" s="161"/>
      <c r="AP255" s="161"/>
      <c r="AQ255" s="160"/>
      <c r="AR255" s="160"/>
      <c r="AS255" s="158"/>
      <c r="AT255" s="160"/>
      <c r="AU255" s="161"/>
      <c r="AV255" s="161"/>
      <c r="AW255" s="160">
        <f>SUBTOTAL(9,AW249:AW254)</f>
        <v>0</v>
      </c>
      <c r="AX255" s="160">
        <f>SUBTOTAL(101,AX243:AX254)</f>
        <v>0</v>
      </c>
      <c r="AY255" s="160">
        <f>SUBTOTAL(9,AY249:AY254)</f>
        <v>0</v>
      </c>
      <c r="AZ255" s="160"/>
      <c r="BA255" s="160">
        <f>SUBTOTAL(9,BA249:BA254)</f>
        <v>0</v>
      </c>
      <c r="BB255" s="160">
        <f>SUBTOTAL(9,BB249:BB254)</f>
        <v>0</v>
      </c>
      <c r="BC255" s="160">
        <f>SUBTOTAL(9,BC249:BC254)</f>
        <v>0</v>
      </c>
      <c r="BD255" s="160"/>
      <c r="BE255" s="160"/>
      <c r="BF255" s="160"/>
      <c r="BG255" s="160">
        <f>SUBTOTAL(9,BG249:BG254)</f>
        <v>0</v>
      </c>
      <c r="BH255" s="161"/>
      <c r="BI255" s="161"/>
      <c r="BJ255" s="161"/>
      <c r="BK255" s="161"/>
      <c r="BL255" s="160">
        <f>SUBTOTAL(9,BL249:BL254)</f>
        <v>0</v>
      </c>
      <c r="BM255" s="160">
        <f>SUBTOTAL(9,BM249:BM254)</f>
        <v>0</v>
      </c>
      <c r="BN255" s="160">
        <f>SUBTOTAL(9,BN249:BN254)</f>
        <v>0</v>
      </c>
      <c r="BO255" s="160">
        <f>SUBTOTAL(9,BO249:BO254)</f>
        <v>0</v>
      </c>
      <c r="BP255" s="160">
        <f>SUBTOTAL(9,BP249:BP254)</f>
        <v>0</v>
      </c>
      <c r="BQ255" s="160"/>
      <c r="BR255" s="160"/>
      <c r="BS255" s="160">
        <f>SUBTOTAL(9,BS249:BS254)</f>
        <v>0</v>
      </c>
      <c r="BT255" s="160"/>
      <c r="BU255" s="160"/>
      <c r="BV255" s="160">
        <f t="shared" ref="BV255:CB255" si="881">SUBTOTAL(9,BV249:BV254)</f>
        <v>0</v>
      </c>
      <c r="BW255" s="160">
        <f t="shared" si="881"/>
        <v>0</v>
      </c>
      <c r="BX255" s="160">
        <f t="shared" si="881"/>
        <v>0</v>
      </c>
      <c r="BY255" s="160">
        <f t="shared" si="881"/>
        <v>0</v>
      </c>
      <c r="BZ255" s="160">
        <f t="shared" si="881"/>
        <v>0</v>
      </c>
      <c r="CA255" s="160">
        <f t="shared" si="881"/>
        <v>0</v>
      </c>
      <c r="CB255" s="160">
        <f t="shared" si="881"/>
        <v>0</v>
      </c>
      <c r="CC255" s="156"/>
      <c r="CD255" s="165"/>
      <c r="CE255" s="165"/>
      <c r="CF255" s="160">
        <f>SUBTOTAL(9,CF249:CF254)</f>
        <v>0</v>
      </c>
      <c r="CG255" s="160">
        <f>SUBTOTAL(9,CG249:CG254)</f>
        <v>0</v>
      </c>
      <c r="CH255" s="165"/>
      <c r="CI255" s="166"/>
      <c r="CJ255" s="165"/>
      <c r="CK255" s="165"/>
      <c r="CL255" s="160">
        <f t="shared" ref="CL255:CS255" si="882">SUBTOTAL(9,CL249:CL254)</f>
        <v>0</v>
      </c>
      <c r="CM255" s="160">
        <f t="shared" si="882"/>
        <v>0</v>
      </c>
      <c r="CN255" s="160">
        <f t="shared" si="882"/>
        <v>0</v>
      </c>
      <c r="CO255" s="160">
        <f t="shared" si="882"/>
        <v>0</v>
      </c>
      <c r="CP255" s="160">
        <f t="shared" si="882"/>
        <v>0</v>
      </c>
      <c r="CQ255" s="160">
        <f t="shared" si="882"/>
        <v>0</v>
      </c>
      <c r="CR255" s="160">
        <f t="shared" si="882"/>
        <v>0</v>
      </c>
      <c r="CS255" s="160">
        <f t="shared" si="882"/>
        <v>0</v>
      </c>
      <c r="CT255" s="165"/>
      <c r="CU255" s="165"/>
      <c r="CV255" s="165"/>
      <c r="CW255" s="165"/>
    </row>
    <row r="256" spans="2:101" s="168" customFormat="1" ht="12" x14ac:dyDescent="0.25">
      <c r="D256" s="169"/>
      <c r="E256" s="169"/>
      <c r="F256" s="170"/>
      <c r="G256" s="169"/>
      <c r="H256" s="169"/>
      <c r="I256" s="171"/>
      <c r="J256" s="149"/>
      <c r="K256" s="171"/>
      <c r="L256" s="172"/>
      <c r="M256" s="170"/>
      <c r="N256" s="174"/>
      <c r="O256" s="174"/>
      <c r="P256" s="175"/>
      <c r="Q256" s="176"/>
      <c r="R256" s="176"/>
      <c r="S256" s="176"/>
      <c r="T256" s="176"/>
      <c r="U256" s="172"/>
      <c r="V256" s="148"/>
      <c r="W256" s="148"/>
      <c r="X256" s="170"/>
      <c r="Y256" s="176"/>
      <c r="Z256" s="176"/>
      <c r="AA256" s="149"/>
      <c r="AB256" s="149"/>
      <c r="AC256" s="149"/>
      <c r="AE256" s="177"/>
      <c r="AF256" s="177"/>
      <c r="AG256" s="178"/>
      <c r="AH256" s="178"/>
      <c r="AI256" s="170"/>
      <c r="AJ256" s="176"/>
      <c r="AK256" s="177"/>
      <c r="AL256" s="184"/>
      <c r="AM256" s="149"/>
      <c r="AN256" s="177"/>
      <c r="AO256" s="149"/>
      <c r="AP256" s="149"/>
      <c r="AQ256" s="149"/>
      <c r="AR256" s="149"/>
      <c r="AS256" s="187"/>
      <c r="AT256" s="149"/>
      <c r="AU256" s="149"/>
      <c r="AV256" s="149"/>
      <c r="AW256" s="149"/>
      <c r="AX256" s="149"/>
      <c r="AY256" s="149"/>
      <c r="AZ256" s="149"/>
      <c r="BA256" s="149"/>
      <c r="BB256" s="149"/>
      <c r="BC256" s="149"/>
      <c r="BD256" s="149"/>
      <c r="BE256" s="149"/>
      <c r="BF256" s="149"/>
      <c r="BG256" s="149"/>
      <c r="BH256" s="149"/>
      <c r="BI256" s="184"/>
      <c r="BJ256" s="149"/>
      <c r="BM256" s="188">
        <f>BM255+BL255+BC255+'Pune MIS'!W2</f>
        <v>-7777762.3799999999</v>
      </c>
      <c r="BN256" s="189"/>
      <c r="BO256" s="176"/>
      <c r="BP256" s="176"/>
      <c r="BQ256" s="149"/>
      <c r="BR256" s="170"/>
      <c r="BS256" s="190"/>
      <c r="BT256" s="176"/>
      <c r="BW256" s="149"/>
      <c r="BX256" s="176"/>
      <c r="BY256" s="170"/>
      <c r="BZ256" s="149"/>
      <c r="CA256" s="149"/>
      <c r="CB256" s="149"/>
      <c r="CC256" s="169"/>
      <c r="CD256" s="149"/>
      <c r="CE256" s="149"/>
      <c r="CI256" s="170"/>
    </row>
    <row r="257" spans="4:87" s="168" customFormat="1" ht="12" x14ac:dyDescent="0.25">
      <c r="D257" s="169"/>
      <c r="E257" s="169"/>
      <c r="F257" s="170"/>
      <c r="G257" s="169"/>
      <c r="H257" s="169"/>
      <c r="I257" s="171"/>
      <c r="J257" s="149"/>
      <c r="K257" s="171"/>
      <c r="L257" s="172"/>
      <c r="M257" s="170"/>
      <c r="N257" s="174"/>
      <c r="O257" s="174"/>
      <c r="P257" s="175"/>
      <c r="Q257" s="176"/>
      <c r="R257" s="176"/>
      <c r="S257" s="176"/>
      <c r="T257" s="176"/>
      <c r="U257" s="172"/>
      <c r="V257" s="148"/>
      <c r="W257" s="148"/>
      <c r="X257" s="170"/>
      <c r="Y257" s="176"/>
      <c r="Z257" s="176"/>
      <c r="AA257" s="149"/>
      <c r="AB257" s="149"/>
      <c r="AC257" s="149"/>
      <c r="AE257" s="177"/>
      <c r="AF257" s="177"/>
      <c r="AG257" s="178"/>
      <c r="AH257" s="178"/>
      <c r="AI257" s="170"/>
      <c r="AJ257" s="176"/>
      <c r="AK257" s="177"/>
      <c r="AL257" s="184"/>
      <c r="AM257" s="149"/>
      <c r="AN257" s="177"/>
      <c r="AO257" s="149"/>
      <c r="AP257" s="149"/>
      <c r="AQ257" s="149"/>
      <c r="AR257" s="149"/>
      <c r="AS257" s="187"/>
      <c r="AT257" s="149"/>
      <c r="AU257" s="149"/>
      <c r="AV257" s="149"/>
      <c r="AW257" s="149"/>
      <c r="AX257" s="149"/>
      <c r="AY257" s="149"/>
      <c r="AZ257" s="149"/>
      <c r="BA257" s="149"/>
      <c r="BB257" s="149"/>
      <c r="BC257" s="149"/>
      <c r="BD257" s="149"/>
      <c r="BE257" s="149"/>
      <c r="BF257" s="149"/>
      <c r="BG257" s="149"/>
      <c r="BH257" s="149"/>
      <c r="BI257" s="184"/>
      <c r="BJ257" s="149"/>
      <c r="BM257" s="188">
        <v>5718754.5499999998</v>
      </c>
      <c r="BN257" s="189"/>
      <c r="BO257" s="176"/>
      <c r="BP257" s="176"/>
      <c r="BQ257" s="149"/>
      <c r="BR257" s="170"/>
      <c r="BS257" s="190"/>
      <c r="BT257" s="176"/>
      <c r="BW257" s="149"/>
      <c r="BX257" s="176"/>
      <c r="BY257" s="170"/>
      <c r="BZ257" s="149"/>
      <c r="CA257" s="149"/>
      <c r="CB257" s="149"/>
      <c r="CC257" s="169"/>
      <c r="CD257" s="149"/>
      <c r="CE257" s="149"/>
      <c r="CI257" s="170"/>
    </row>
    <row r="258" spans="4:87" s="149" customFormat="1" ht="12.6" thickBot="1" x14ac:dyDescent="0.3">
      <c r="E258" s="169"/>
      <c r="F258" s="170"/>
      <c r="H258" s="170"/>
      <c r="I258" s="191"/>
      <c r="J258" s="177"/>
      <c r="K258" s="191"/>
      <c r="L258" s="172"/>
      <c r="M258" s="170"/>
      <c r="N258" s="178"/>
      <c r="O258" s="178"/>
      <c r="P258" s="177"/>
      <c r="Q258" s="176"/>
      <c r="R258" s="176"/>
      <c r="S258" s="176"/>
      <c r="T258" s="176"/>
      <c r="U258" s="172"/>
      <c r="V258" s="148"/>
      <c r="W258" s="148"/>
      <c r="X258" s="170"/>
      <c r="AE258" s="177"/>
      <c r="AF258" s="177"/>
      <c r="AG258" s="178"/>
      <c r="AH258" s="178"/>
      <c r="AI258" s="170"/>
      <c r="AN258" s="177"/>
      <c r="AS258" s="187"/>
      <c r="BM258" s="178"/>
      <c r="BP258" s="180"/>
      <c r="BR258" s="170"/>
      <c r="BS258" s="190"/>
      <c r="BY258" s="170"/>
      <c r="CC258" s="169"/>
      <c r="CI258" s="170"/>
    </row>
    <row r="259" spans="4:87" s="168" customFormat="1" ht="15" customHeight="1" thickBot="1" x14ac:dyDescent="0.3">
      <c r="I259" s="342"/>
      <c r="K259" s="342"/>
      <c r="N259" s="192" t="s">
        <v>83</v>
      </c>
      <c r="O259" s="193" t="s">
        <v>52</v>
      </c>
      <c r="P259" s="194"/>
      <c r="Q259" s="176"/>
      <c r="R259" s="176"/>
      <c r="S259" s="176"/>
      <c r="T259" s="176"/>
      <c r="U259" s="172"/>
      <c r="V259" s="148"/>
      <c r="W259" s="148"/>
      <c r="AA259" s="563" t="s">
        <v>83</v>
      </c>
      <c r="AB259" s="564"/>
      <c r="AC259" s="195" t="s">
        <v>52</v>
      </c>
      <c r="AD259" s="149"/>
      <c r="AE259" s="149"/>
      <c r="AF259" s="178"/>
      <c r="AG259" s="178"/>
      <c r="AH259" s="170"/>
      <c r="AI259" s="149"/>
      <c r="AM259" s="149"/>
      <c r="AN259" s="149"/>
      <c r="AO259" s="149"/>
      <c r="AP259" s="149"/>
      <c r="AQ259" s="149"/>
      <c r="AR259" s="464" t="s">
        <v>83</v>
      </c>
      <c r="AS259" s="196" t="s">
        <v>52</v>
      </c>
      <c r="AT259" s="197"/>
      <c r="BM259" s="149"/>
    </row>
    <row r="260" spans="4:87" s="168" customFormat="1" ht="12.6" customHeight="1" x14ac:dyDescent="0.25">
      <c r="I260" s="342"/>
      <c r="K260" s="342"/>
      <c r="N260" s="198" t="s">
        <v>60</v>
      </c>
      <c r="O260" s="199">
        <f>Q244+AJ244+AK244+AC244+AE244+AC255</f>
        <v>10131846.5</v>
      </c>
      <c r="P260" s="149"/>
      <c r="Q260" s="176"/>
      <c r="R260" s="176"/>
      <c r="S260" s="176"/>
      <c r="T260" s="176"/>
      <c r="U260" s="172"/>
      <c r="V260" s="148"/>
      <c r="W260" s="148"/>
      <c r="AA260" s="565" t="s">
        <v>82</v>
      </c>
      <c r="AB260" s="566"/>
      <c r="AC260" s="200">
        <f>Y244+Z244</f>
        <v>0</v>
      </c>
      <c r="AD260" s="194"/>
      <c r="AE260" s="194"/>
      <c r="AF260" s="178"/>
      <c r="AG260" s="178"/>
      <c r="AH260" s="170"/>
      <c r="AI260" s="149"/>
      <c r="AJ260" s="177"/>
      <c r="AK260" s="186"/>
      <c r="AL260" s="149"/>
      <c r="AM260" s="149"/>
      <c r="AN260" s="149"/>
      <c r="AO260" s="149"/>
      <c r="AP260" s="149"/>
      <c r="AQ260" s="149"/>
      <c r="AR260" s="219" t="s">
        <v>59</v>
      </c>
      <c r="AS260" s="201">
        <f>+AY244+BL244+BM244+BC244+BG244</f>
        <v>10677335.5</v>
      </c>
      <c r="AT260" s="202"/>
      <c r="BM260" s="149"/>
    </row>
    <row r="261" spans="4:87" s="168" customFormat="1" ht="11.4" customHeight="1" x14ac:dyDescent="0.25">
      <c r="I261" s="342"/>
      <c r="K261" s="342"/>
      <c r="N261" s="198" t="s">
        <v>84</v>
      </c>
      <c r="O261" s="199">
        <v>14086109.15</v>
      </c>
      <c r="P261" s="203">
        <v>46203</v>
      </c>
      <c r="Q261" s="176"/>
      <c r="S261" s="176"/>
      <c r="T261" s="176"/>
      <c r="U261" s="172"/>
      <c r="V261" s="148"/>
      <c r="W261" s="148"/>
      <c r="AA261" s="565" t="s">
        <v>61</v>
      </c>
      <c r="AB261" s="566"/>
      <c r="AC261" s="204">
        <v>705140</v>
      </c>
      <c r="AD261" s="203">
        <f>P261</f>
        <v>46203</v>
      </c>
      <c r="AF261" s="178"/>
      <c r="AG261" s="178"/>
      <c r="AH261" s="170"/>
      <c r="AI261" s="149"/>
      <c r="AJ261" s="177"/>
      <c r="AK261" s="186"/>
      <c r="AL261" s="149"/>
      <c r="AM261" s="149"/>
      <c r="AN261" s="149"/>
      <c r="AO261" s="149"/>
      <c r="AP261" s="149"/>
      <c r="AQ261" s="149"/>
      <c r="AR261" s="219" t="s">
        <v>61</v>
      </c>
      <c r="AS261" s="205">
        <v>18464951.469999999</v>
      </c>
      <c r="AT261" s="203">
        <f>P261</f>
        <v>46203</v>
      </c>
    </row>
    <row r="262" spans="4:87" s="168" customFormat="1" ht="11.4" customHeight="1" x14ac:dyDescent="0.25">
      <c r="I262" s="342"/>
      <c r="K262" s="342"/>
      <c r="N262" s="198" t="s">
        <v>62</v>
      </c>
      <c r="O262" s="206">
        <f>O261-O260</f>
        <v>3954262.6500000004</v>
      </c>
      <c r="P262" s="149"/>
      <c r="Q262" s="176"/>
      <c r="S262" s="176"/>
      <c r="T262" s="176"/>
      <c r="U262" s="172"/>
      <c r="V262" s="148"/>
      <c r="W262" s="148"/>
      <c r="AA262" s="565" t="s">
        <v>62</v>
      </c>
      <c r="AB262" s="566"/>
      <c r="AC262" s="207">
        <f>AC261-AC260</f>
        <v>705140</v>
      </c>
      <c r="AD262" s="194"/>
      <c r="AE262" s="194"/>
      <c r="AF262" s="178"/>
      <c r="AG262" s="178"/>
      <c r="AH262" s="170"/>
      <c r="AI262" s="149"/>
      <c r="AJ262" s="177"/>
      <c r="AK262" s="149"/>
      <c r="AL262" s="149"/>
      <c r="AM262" s="149"/>
      <c r="AN262" s="149"/>
      <c r="AO262" s="149"/>
      <c r="AP262" s="149"/>
      <c r="AQ262" s="149"/>
      <c r="AR262" s="219" t="s">
        <v>62</v>
      </c>
      <c r="AS262" s="206">
        <f>AS260-AS261</f>
        <v>-7787615.9699999988</v>
      </c>
      <c r="AT262" s="188"/>
    </row>
    <row r="263" spans="4:87" s="168" customFormat="1" ht="12" x14ac:dyDescent="0.25">
      <c r="I263" s="342"/>
      <c r="K263" s="342"/>
      <c r="N263" s="198" t="s">
        <v>3438</v>
      </c>
      <c r="O263" s="201">
        <v>0</v>
      </c>
      <c r="P263" s="183"/>
      <c r="Q263" s="176"/>
      <c r="S263" s="176"/>
      <c r="T263" s="176"/>
      <c r="U263" s="172"/>
      <c r="V263" s="148"/>
      <c r="W263" s="148"/>
      <c r="AA263" s="565" t="s">
        <v>178</v>
      </c>
      <c r="AB263" s="566"/>
      <c r="AC263" s="208">
        <v>-220190</v>
      </c>
      <c r="AD263" s="194"/>
      <c r="AE263" s="194"/>
      <c r="AF263" s="178"/>
      <c r="AG263" s="178"/>
      <c r="AH263" s="170"/>
      <c r="AI263" s="149"/>
      <c r="AJ263" s="177"/>
      <c r="AK263" s="149"/>
      <c r="AL263" s="149"/>
      <c r="AM263" s="149"/>
      <c r="AN263" s="149"/>
      <c r="AO263" s="149"/>
      <c r="AP263" s="149"/>
      <c r="AQ263" s="149"/>
      <c r="AR263" s="219" t="s">
        <v>3440</v>
      </c>
      <c r="AS263" s="201">
        <v>0</v>
      </c>
      <c r="AT263" s="188"/>
    </row>
    <row r="264" spans="4:87" s="168" customFormat="1" ht="12" x14ac:dyDescent="0.25">
      <c r="I264" s="342"/>
      <c r="K264" s="342"/>
      <c r="N264" s="198" t="s">
        <v>167</v>
      </c>
      <c r="O264" s="201">
        <v>0</v>
      </c>
      <c r="P264" s="209"/>
      <c r="Q264" s="176"/>
      <c r="S264" s="176"/>
      <c r="T264" s="176"/>
      <c r="U264" s="172"/>
      <c r="V264" s="148"/>
      <c r="W264" s="148"/>
      <c r="AA264" s="565" t="s">
        <v>155</v>
      </c>
      <c r="AB264" s="566"/>
      <c r="AC264" s="208">
        <v>0</v>
      </c>
      <c r="AD264" s="194"/>
      <c r="AE264" s="194"/>
      <c r="AF264" s="178"/>
      <c r="AG264" s="178"/>
      <c r="AH264" s="149"/>
      <c r="AI264" s="149"/>
      <c r="AJ264" s="210"/>
      <c r="AK264" s="149"/>
      <c r="AL264" s="149"/>
      <c r="AM264" s="149"/>
      <c r="AN264" s="149"/>
      <c r="AO264" s="149"/>
      <c r="AP264" s="149"/>
      <c r="AQ264" s="149"/>
      <c r="AR264" s="219" t="s">
        <v>3441</v>
      </c>
      <c r="AS264" s="201">
        <f>'Last year''s'!L12</f>
        <v>-149552</v>
      </c>
      <c r="AT264" s="202"/>
    </row>
    <row r="265" spans="4:87" s="168" customFormat="1" ht="12" x14ac:dyDescent="0.25">
      <c r="I265" s="342"/>
      <c r="K265" s="342"/>
      <c r="N265" s="198" t="s">
        <v>3439</v>
      </c>
      <c r="O265" s="201">
        <f>'Last year''s'!F12</f>
        <v>-30861.525423728817</v>
      </c>
      <c r="P265" s="184"/>
      <c r="Q265" s="176"/>
      <c r="S265" s="176"/>
      <c r="T265" s="176"/>
      <c r="U265" s="172"/>
      <c r="V265" s="148"/>
      <c r="W265" s="148"/>
      <c r="AA265" s="565" t="s">
        <v>79</v>
      </c>
      <c r="AB265" s="566"/>
      <c r="AC265" s="208">
        <v>0</v>
      </c>
      <c r="AD265" s="202"/>
      <c r="AE265" s="202"/>
      <c r="AF265" s="178"/>
      <c r="AG265" s="178"/>
      <c r="AH265" s="149"/>
      <c r="AI265" s="149"/>
      <c r="AJ265" s="210"/>
      <c r="AK265" s="149"/>
      <c r="AL265" s="149"/>
      <c r="AM265" s="149"/>
      <c r="AN265" s="149"/>
      <c r="AO265" s="149"/>
      <c r="AP265" s="149"/>
      <c r="AQ265" s="149"/>
      <c r="AR265" s="219" t="s">
        <v>79</v>
      </c>
      <c r="AS265" s="201">
        <f>-'Recon Items'!C30+'Recon Items'!G30+'Recon Items'!R9+'Recon Items'!C30</f>
        <v>0</v>
      </c>
      <c r="AT265" s="202"/>
    </row>
    <row r="266" spans="4:87" s="168" customFormat="1" ht="12" x14ac:dyDescent="0.25">
      <c r="I266" s="342"/>
      <c r="K266" s="342"/>
      <c r="N266" s="198" t="s">
        <v>79</v>
      </c>
      <c r="O266" s="201">
        <f>'Recon Items'!G19-'Recon Items'!C19-'Recon Items'!N19-'Recon Items'!N42</f>
        <v>4447774.6999999993</v>
      </c>
      <c r="P266" s="189"/>
      <c r="Q266" s="176"/>
      <c r="S266" s="176"/>
      <c r="T266" s="176"/>
      <c r="U266" s="172"/>
      <c r="V266" s="148"/>
      <c r="W266" s="148"/>
      <c r="AA266" s="559" t="s">
        <v>2864</v>
      </c>
      <c r="AB266" s="560"/>
      <c r="AC266" s="211"/>
      <c r="AD266" s="176"/>
      <c r="AE266" s="176"/>
      <c r="AF266" s="178"/>
      <c r="AG266" s="178"/>
      <c r="AH266" s="149"/>
      <c r="AI266" s="149"/>
      <c r="AJ266" s="210"/>
      <c r="AK266" s="149"/>
      <c r="AL266" s="149"/>
      <c r="AM266" s="149"/>
      <c r="AN266" s="149"/>
      <c r="AO266" s="149"/>
      <c r="AP266" s="149"/>
      <c r="AQ266" s="149"/>
      <c r="AR266" s="219" t="s">
        <v>2864</v>
      </c>
      <c r="AS266" s="201">
        <f>'Recon Items'!H34</f>
        <v>280297</v>
      </c>
      <c r="AT266" s="188"/>
    </row>
    <row r="267" spans="4:87" s="168" customFormat="1" ht="12.6" thickBot="1" x14ac:dyDescent="0.3">
      <c r="I267" s="342"/>
      <c r="K267" s="342"/>
      <c r="N267" s="198" t="s">
        <v>3271</v>
      </c>
      <c r="O267" s="201">
        <f>SUMIFS('Pune MIS'!L:L,'Pune MIS'!C:C,"FY 2026-27")</f>
        <v>4594089.7280000001</v>
      </c>
      <c r="P267" s="189"/>
      <c r="Q267" s="176"/>
      <c r="S267" s="176"/>
      <c r="T267" s="176"/>
      <c r="U267" s="172"/>
      <c r="V267" s="148"/>
      <c r="W267" s="148"/>
      <c r="AA267" s="559" t="s">
        <v>3271</v>
      </c>
      <c r="AB267" s="560"/>
      <c r="AC267" s="211">
        <f>SUMIFS('Pune MIS'!AR:AR,'Pune MIS'!AA:AA,"FY 2026-27")</f>
        <v>925330</v>
      </c>
      <c r="AD267" s="176"/>
      <c r="AE267" s="176"/>
      <c r="AF267" s="178"/>
      <c r="AG267" s="178"/>
      <c r="AH267" s="149"/>
      <c r="AI267" s="149"/>
      <c r="AJ267" s="210"/>
      <c r="AK267" s="149"/>
      <c r="AL267" s="149"/>
      <c r="AM267" s="149"/>
      <c r="AN267" s="149"/>
      <c r="AO267" s="149"/>
      <c r="AP267" s="149"/>
      <c r="AQ267" s="149"/>
      <c r="AR267" s="219" t="s">
        <v>3271</v>
      </c>
      <c r="AS267" s="201">
        <f>SUMIFS('Pune MIS'!X:X,'Pune MIS'!P:P,"FY 2026-27")</f>
        <v>7656869.6699999999</v>
      </c>
      <c r="AT267" s="188"/>
    </row>
    <row r="268" spans="4:87" s="168" customFormat="1" ht="15" customHeight="1" thickBot="1" x14ac:dyDescent="0.3">
      <c r="I268" s="342"/>
      <c r="K268" s="342"/>
      <c r="N268" s="198" t="s">
        <v>2864</v>
      </c>
      <c r="O268" s="212">
        <f>'Recon Items'!C34+'Recon Items'!D34</f>
        <v>3532210.5</v>
      </c>
      <c r="Q268" s="176"/>
      <c r="S268" s="176"/>
      <c r="T268" s="176"/>
      <c r="U268" s="172"/>
      <c r="V268" s="148"/>
      <c r="W268" s="148"/>
      <c r="AA268" s="213" t="s">
        <v>62</v>
      </c>
      <c r="AB268" s="156"/>
      <c r="AC268" s="214">
        <f>-AC262+AC263+AC264+AC265+AC267</f>
        <v>0</v>
      </c>
      <c r="AD268" s="189"/>
      <c r="AE268" s="189"/>
      <c r="AF268" s="178"/>
      <c r="AG268" s="178"/>
      <c r="AH268" s="149"/>
      <c r="AI268" s="149"/>
      <c r="AJ268" s="175"/>
      <c r="AK268" s="149"/>
      <c r="AL268" s="149"/>
      <c r="AM268" s="149"/>
      <c r="AN268" s="149"/>
      <c r="AO268" s="149"/>
      <c r="AP268" s="149"/>
      <c r="AQ268" s="149"/>
      <c r="AR268" s="463" t="s">
        <v>73</v>
      </c>
      <c r="AS268" s="215">
        <f>AS262+AS264+AS265+AS263+AS266+AS267</f>
        <v>-1.2999999988824129</v>
      </c>
      <c r="AT268" s="149"/>
    </row>
    <row r="269" spans="4:87" s="149" customFormat="1" ht="12.6" thickBot="1" x14ac:dyDescent="0.3">
      <c r="E269" s="169"/>
      <c r="F269" s="170"/>
      <c r="H269" s="170"/>
      <c r="I269" s="191"/>
      <c r="J269" s="177"/>
      <c r="K269" s="191"/>
      <c r="L269" s="172"/>
      <c r="M269" s="170"/>
      <c r="N269" s="213" t="s">
        <v>62</v>
      </c>
      <c r="O269" s="214">
        <f>O262+O265-O266-O263-O268-O264+O267</f>
        <v>537505.65257627238</v>
      </c>
      <c r="P269" s="177"/>
      <c r="Q269" s="176"/>
      <c r="U269" s="172"/>
      <c r="V269" s="148"/>
      <c r="W269" s="148"/>
      <c r="X269" s="170"/>
      <c r="AE269" s="177"/>
      <c r="AF269" s="177"/>
      <c r="AG269" s="178"/>
      <c r="AH269" s="178"/>
      <c r="AI269" s="170"/>
      <c r="AN269" s="177"/>
      <c r="AS269" s="187"/>
      <c r="BM269" s="178"/>
      <c r="BR269" s="170"/>
      <c r="BS269" s="190"/>
      <c r="BY269" s="170"/>
      <c r="CC269" s="169"/>
      <c r="CI269" s="170"/>
    </row>
    <row r="270" spans="4:87" s="149" customFormat="1" ht="12" x14ac:dyDescent="0.25">
      <c r="E270" s="169"/>
      <c r="F270" s="170"/>
      <c r="H270" s="170"/>
      <c r="I270" s="191"/>
      <c r="J270" s="177"/>
      <c r="K270" s="191"/>
      <c r="L270" s="172"/>
      <c r="M270" s="170"/>
      <c r="N270" s="178"/>
      <c r="O270" s="178"/>
      <c r="P270" s="177"/>
      <c r="Q270" s="176"/>
      <c r="U270" s="172"/>
      <c r="V270" s="148"/>
      <c r="W270" s="148"/>
      <c r="X270" s="170"/>
      <c r="AE270" s="177"/>
      <c r="AF270" s="177"/>
      <c r="AG270" s="178"/>
      <c r="AH270" s="178"/>
      <c r="AI270" s="170"/>
      <c r="AN270" s="177"/>
      <c r="AS270" s="187"/>
      <c r="BM270" s="178"/>
      <c r="BR270" s="170"/>
      <c r="BS270" s="190"/>
      <c r="BY270" s="170"/>
      <c r="CC270" s="169"/>
      <c r="CI270" s="170"/>
    </row>
    <row r="271" spans="4:87" s="149" customFormat="1" ht="12" x14ac:dyDescent="0.25">
      <c r="E271" s="169"/>
      <c r="F271" s="170"/>
      <c r="H271" s="170"/>
      <c r="I271" s="191"/>
      <c r="J271" s="177"/>
      <c r="K271" s="191"/>
      <c r="L271" s="172"/>
      <c r="M271" s="170"/>
      <c r="N271" s="178"/>
      <c r="O271" s="178"/>
      <c r="P271" s="177"/>
      <c r="Q271" s="176"/>
      <c r="U271" s="172"/>
      <c r="V271" s="148"/>
      <c r="W271" s="148"/>
      <c r="X271" s="170"/>
      <c r="AE271" s="177"/>
      <c r="AF271" s="177"/>
      <c r="AG271" s="178"/>
      <c r="AH271" s="178"/>
      <c r="AI271" s="170"/>
      <c r="AN271" s="177"/>
      <c r="AS271" s="187"/>
      <c r="BM271" s="178"/>
      <c r="BR271" s="170"/>
      <c r="BS271" s="190"/>
      <c r="BY271" s="170"/>
      <c r="CC271" s="169"/>
      <c r="CI271" s="170"/>
    </row>
    <row r="272" spans="4:87" s="149" customFormat="1" ht="12" x14ac:dyDescent="0.25">
      <c r="E272" s="169"/>
      <c r="F272" s="170"/>
      <c r="H272" s="170"/>
      <c r="I272" s="191"/>
      <c r="J272" s="177"/>
      <c r="K272" s="191"/>
      <c r="L272" s="172"/>
      <c r="M272" s="170"/>
      <c r="N272" s="178"/>
      <c r="O272" s="178"/>
      <c r="P272" s="177"/>
      <c r="Q272" s="176"/>
      <c r="U272" s="172"/>
      <c r="V272" s="148"/>
      <c r="W272" s="148"/>
      <c r="X272" s="170"/>
      <c r="AE272" s="177"/>
      <c r="AF272" s="177"/>
      <c r="AG272" s="178"/>
      <c r="AH272" s="178"/>
      <c r="AI272" s="170"/>
      <c r="AN272" s="177"/>
      <c r="AS272" s="187"/>
      <c r="BM272" s="178"/>
      <c r="BR272" s="170"/>
      <c r="BS272" s="190"/>
      <c r="BY272" s="170"/>
      <c r="CC272" s="169"/>
      <c r="CI272" s="170"/>
    </row>
    <row r="273" spans="5:87" s="149" customFormat="1" ht="12" x14ac:dyDescent="0.25">
      <c r="E273" s="169"/>
      <c r="F273" s="170"/>
      <c r="H273" s="170"/>
      <c r="I273" s="191"/>
      <c r="J273" s="177"/>
      <c r="K273" s="191"/>
      <c r="L273" s="172"/>
      <c r="M273" s="170"/>
      <c r="N273" s="178"/>
      <c r="O273" s="178"/>
      <c r="P273" s="177"/>
      <c r="Q273" s="176"/>
      <c r="U273" s="172"/>
      <c r="V273" s="148"/>
      <c r="W273" s="148"/>
      <c r="X273" s="170"/>
      <c r="AE273" s="177"/>
      <c r="AF273" s="177"/>
      <c r="AG273" s="178"/>
      <c r="AH273" s="178"/>
      <c r="AI273" s="170"/>
      <c r="AN273" s="177"/>
      <c r="AS273" s="187"/>
      <c r="BM273" s="178"/>
      <c r="BR273" s="170"/>
      <c r="BS273" s="190"/>
      <c r="BY273" s="170"/>
      <c r="CC273" s="169"/>
      <c r="CI273" s="170"/>
    </row>
    <row r="274" spans="5:87" s="149" customFormat="1" ht="12" x14ac:dyDescent="0.25">
      <c r="E274" s="169"/>
      <c r="F274" s="170"/>
      <c r="H274" s="170"/>
      <c r="I274" s="191"/>
      <c r="J274" s="177"/>
      <c r="K274" s="191"/>
      <c r="L274" s="172"/>
      <c r="M274" s="170"/>
      <c r="N274" s="178"/>
      <c r="O274" s="178"/>
      <c r="P274" s="177"/>
      <c r="Q274" s="176"/>
      <c r="U274" s="172"/>
      <c r="V274" s="148"/>
      <c r="W274" s="148"/>
      <c r="X274" s="170"/>
      <c r="AE274" s="177"/>
      <c r="AF274" s="177"/>
      <c r="AG274" s="178"/>
      <c r="AH274" s="178"/>
      <c r="AI274" s="170"/>
      <c r="AN274" s="177"/>
      <c r="AS274" s="187"/>
      <c r="BM274" s="178"/>
      <c r="BR274" s="170"/>
      <c r="BS274" s="190"/>
      <c r="BY274" s="170"/>
      <c r="CC274" s="169"/>
      <c r="CI274" s="170"/>
    </row>
    <row r="275" spans="5:87" s="149" customFormat="1" ht="12" x14ac:dyDescent="0.25">
      <c r="E275" s="169"/>
      <c r="F275" s="170"/>
      <c r="H275" s="170"/>
      <c r="I275" s="191"/>
      <c r="J275" s="177"/>
      <c r="K275" s="191"/>
      <c r="L275" s="172"/>
      <c r="M275" s="170"/>
      <c r="N275" s="178"/>
      <c r="O275" s="178"/>
      <c r="P275" s="177"/>
      <c r="Q275" s="176"/>
      <c r="U275" s="172"/>
      <c r="V275" s="148"/>
      <c r="W275" s="148"/>
      <c r="X275" s="170"/>
      <c r="AE275" s="177"/>
      <c r="AF275" s="177"/>
      <c r="AG275" s="178"/>
      <c r="AH275" s="178"/>
      <c r="AI275" s="170"/>
      <c r="AN275" s="177"/>
      <c r="AS275" s="187"/>
      <c r="BM275" s="178"/>
      <c r="BR275" s="170"/>
      <c r="BS275" s="190"/>
      <c r="BY275" s="170"/>
      <c r="CC275" s="169"/>
      <c r="CI275" s="170"/>
    </row>
    <row r="276" spans="5:87" x14ac:dyDescent="0.2">
      <c r="Q276" s="101"/>
    </row>
    <row r="277" spans="5:87" x14ac:dyDescent="0.2">
      <c r="Q277" s="101"/>
    </row>
    <row r="278" spans="5:87" x14ac:dyDescent="0.2">
      <c r="Q278" s="101"/>
    </row>
    <row r="279" spans="5:87" x14ac:dyDescent="0.2">
      <c r="Q279" s="101"/>
    </row>
    <row r="280" spans="5:87" x14ac:dyDescent="0.2">
      <c r="Q280" s="101"/>
    </row>
    <row r="281" spans="5:87" s="87" customFormat="1" ht="14.4" x14ac:dyDescent="0.3">
      <c r="I281" s="343"/>
      <c r="K281" s="343"/>
      <c r="N281" s="102"/>
      <c r="O281" s="102"/>
      <c r="Q281" s="101"/>
      <c r="R281" s="79"/>
      <c r="S281" s="79"/>
      <c r="T281" s="79"/>
      <c r="U281" s="99"/>
      <c r="V281" s="85"/>
      <c r="W281" s="108"/>
      <c r="X281" s="100"/>
      <c r="Y281" s="79"/>
      <c r="Z281" s="109"/>
      <c r="AE281" s="94"/>
      <c r="AF281" s="94"/>
      <c r="AG281" s="102"/>
      <c r="AH281" s="102"/>
      <c r="AI281" s="109"/>
      <c r="AJ281" s="79"/>
      <c r="AK281" s="104"/>
      <c r="AL281" s="79"/>
      <c r="AM281" s="79"/>
      <c r="AN281" s="110"/>
      <c r="AO281" s="109"/>
      <c r="AP281" s="109"/>
      <c r="AQ281" s="79"/>
      <c r="AR281" s="79"/>
      <c r="AS281" s="105"/>
      <c r="AT281" s="79"/>
      <c r="AU281" s="79"/>
      <c r="AV281" s="79"/>
      <c r="AW281" s="79"/>
      <c r="AX281" s="79"/>
      <c r="AY281" s="79"/>
      <c r="AZ281" s="79"/>
      <c r="BA281" s="79"/>
      <c r="BB281" s="79"/>
      <c r="BC281" s="79"/>
      <c r="BD281" s="79"/>
      <c r="BE281" s="79"/>
      <c r="BF281" s="79"/>
      <c r="BG281" s="79"/>
      <c r="BH281" s="109"/>
      <c r="BI281" s="104"/>
      <c r="BJ281" s="104"/>
      <c r="BK281" s="103">
        <f>SUM(BK275:BK280)</f>
        <v>0</v>
      </c>
    </row>
    <row r="282" spans="5:87" s="87" customFormat="1" ht="14.4" x14ac:dyDescent="0.3">
      <c r="I282" s="343"/>
      <c r="K282" s="343"/>
      <c r="Q282" s="101"/>
      <c r="R282" s="79"/>
      <c r="S282" s="79"/>
      <c r="T282" s="79"/>
      <c r="U282" s="99"/>
      <c r="V282" s="85"/>
      <c r="W282" s="108"/>
      <c r="X282" s="100"/>
      <c r="Y282" s="79"/>
      <c r="Z282" s="101"/>
      <c r="AA282" s="101"/>
      <c r="AB282" s="101"/>
      <c r="AC282" s="101"/>
      <c r="AE282" s="94"/>
      <c r="AF282" s="94"/>
      <c r="AG282" s="102"/>
      <c r="AH282" s="102"/>
      <c r="AI282" s="109"/>
      <c r="AJ282" s="79"/>
      <c r="AK282" s="79"/>
      <c r="AL282" s="79"/>
      <c r="AM282" s="79"/>
      <c r="AN282" s="110"/>
      <c r="AO282" s="109"/>
      <c r="AP282" s="109"/>
      <c r="AQ282" s="79"/>
      <c r="AR282" s="79"/>
      <c r="AS282" s="105"/>
      <c r="AT282" s="79"/>
      <c r="AU282" s="79"/>
      <c r="AV282" s="79"/>
      <c r="AW282" s="79"/>
      <c r="AX282" s="79"/>
      <c r="AY282" s="79"/>
      <c r="AZ282" s="79"/>
      <c r="BA282" s="79"/>
      <c r="BB282" s="79"/>
      <c r="BC282" s="79"/>
      <c r="BD282" s="79"/>
      <c r="BE282" s="79"/>
      <c r="BF282" s="79"/>
      <c r="BG282" s="79"/>
      <c r="BH282" s="109"/>
      <c r="BI282" s="106"/>
      <c r="BJ282" s="106"/>
      <c r="BK282" s="106">
        <f>BK274-BK281</f>
        <v>0</v>
      </c>
    </row>
    <row r="283" spans="5:87" s="87" customFormat="1" ht="14.4" x14ac:dyDescent="0.3">
      <c r="I283" s="343"/>
      <c r="K283" s="343"/>
      <c r="Q283" s="101"/>
      <c r="R283" s="79"/>
      <c r="S283" s="79"/>
      <c r="T283" s="79"/>
      <c r="U283" s="99"/>
      <c r="V283" s="85"/>
      <c r="W283" s="108"/>
      <c r="X283" s="100"/>
      <c r="Y283" s="79"/>
      <c r="Z283" s="79"/>
      <c r="AA283" s="101"/>
      <c r="AB283" s="101"/>
      <c r="AC283" s="101"/>
      <c r="AD283" s="101"/>
      <c r="AE283" s="94"/>
      <c r="AF283" s="94"/>
      <c r="AG283" s="102"/>
      <c r="AH283" s="102"/>
      <c r="AI283" s="109"/>
      <c r="AJ283" s="79"/>
      <c r="AK283" s="79"/>
      <c r="AL283" s="79"/>
      <c r="AM283" s="79"/>
      <c r="AN283" s="110"/>
      <c r="AO283" s="109"/>
      <c r="AP283" s="109"/>
      <c r="AQ283" s="79"/>
      <c r="AR283" s="79"/>
      <c r="AS283" s="105"/>
      <c r="AT283" s="79"/>
      <c r="AU283" s="79"/>
      <c r="AV283" s="79"/>
      <c r="AW283" s="79"/>
      <c r="AX283" s="79"/>
      <c r="AY283" s="79"/>
      <c r="AZ283" s="79"/>
      <c r="BA283" s="79"/>
      <c r="BB283" s="79"/>
      <c r="BC283" s="79"/>
      <c r="BD283" s="79"/>
      <c r="BE283" s="79"/>
      <c r="BF283" s="79"/>
      <c r="BG283" s="79"/>
      <c r="BH283" s="109"/>
      <c r="BI283" s="79"/>
      <c r="BJ283" s="79"/>
      <c r="BK283" s="79"/>
    </row>
    <row r="284" spans="5:87" s="87" customFormat="1" ht="14.4" x14ac:dyDescent="0.3">
      <c r="I284" s="343"/>
      <c r="K284" s="343"/>
      <c r="Q284" s="101"/>
      <c r="R284" s="79"/>
      <c r="S284" s="79"/>
      <c r="T284" s="79"/>
      <c r="U284" s="99"/>
      <c r="V284" s="85"/>
      <c r="W284" s="108"/>
      <c r="X284" s="100"/>
      <c r="Y284" s="79"/>
      <c r="Z284" s="79"/>
      <c r="AA284" s="101"/>
      <c r="AB284" s="79"/>
      <c r="AC284" s="79"/>
      <c r="AD284" s="101"/>
      <c r="AE284" s="94"/>
      <c r="AF284" s="94"/>
      <c r="AG284" s="102"/>
      <c r="AH284" s="102"/>
      <c r="AI284" s="109"/>
      <c r="AJ284" s="79"/>
      <c r="AK284" s="79"/>
      <c r="AL284" s="79"/>
      <c r="AM284" s="79"/>
      <c r="AN284" s="94"/>
      <c r="AO284" s="109"/>
      <c r="AP284" s="109"/>
      <c r="AQ284" s="79"/>
      <c r="AR284" s="79"/>
      <c r="AS284" s="105"/>
      <c r="AT284" s="79"/>
      <c r="AU284" s="79"/>
      <c r="AV284" s="79"/>
      <c r="AW284" s="79"/>
      <c r="AX284" s="79"/>
      <c r="AY284" s="79"/>
      <c r="AZ284" s="79"/>
      <c r="BA284" s="79"/>
      <c r="BB284" s="79"/>
      <c r="BC284" s="79"/>
      <c r="BD284" s="79"/>
      <c r="BE284" s="79"/>
      <c r="BF284" s="79"/>
      <c r="BG284" s="79"/>
      <c r="BH284" s="109"/>
      <c r="BI284" s="94"/>
      <c r="BJ284" s="94"/>
      <c r="BK284" s="79"/>
    </row>
    <row r="285" spans="5:87" s="87" customFormat="1" ht="14.4" x14ac:dyDescent="0.3">
      <c r="I285" s="343"/>
      <c r="K285" s="343"/>
      <c r="Q285" s="101"/>
      <c r="R285" s="79"/>
      <c r="S285" s="79"/>
      <c r="T285" s="79"/>
      <c r="U285" s="99"/>
      <c r="V285" s="85"/>
      <c r="W285" s="108"/>
      <c r="X285" s="100"/>
      <c r="Y285" s="79"/>
      <c r="Z285" s="79"/>
      <c r="AA285" s="101"/>
      <c r="AB285" s="79"/>
      <c r="AC285" s="79"/>
      <c r="AE285" s="94"/>
      <c r="AF285" s="94"/>
      <c r="AG285" s="102"/>
      <c r="AH285" s="102"/>
      <c r="AI285" s="109"/>
      <c r="AJ285" s="79"/>
      <c r="AK285" s="79"/>
      <c r="AL285" s="79"/>
      <c r="AM285" s="79"/>
      <c r="AN285" s="94"/>
      <c r="AO285" s="109"/>
      <c r="AP285" s="109"/>
      <c r="AQ285" s="79"/>
      <c r="AR285" s="79"/>
      <c r="AS285" s="105"/>
      <c r="AT285" s="79"/>
      <c r="AU285" s="79"/>
      <c r="AV285" s="79"/>
      <c r="AW285" s="79"/>
      <c r="AX285" s="79"/>
      <c r="AY285" s="79"/>
      <c r="AZ285" s="79"/>
      <c r="BA285" s="79"/>
      <c r="BB285" s="79"/>
      <c r="BC285" s="79"/>
      <c r="BD285" s="79"/>
      <c r="BE285" s="79"/>
      <c r="BF285" s="79"/>
      <c r="BG285" s="79"/>
      <c r="BH285" s="109"/>
      <c r="BI285" s="94"/>
      <c r="BJ285" s="94"/>
      <c r="BK285" s="79"/>
    </row>
    <row r="286" spans="5:87" s="87" customFormat="1" ht="14.4" x14ac:dyDescent="0.3">
      <c r="I286" s="343"/>
      <c r="K286" s="343"/>
      <c r="Q286" s="101"/>
      <c r="R286" s="79"/>
      <c r="S286" s="79"/>
      <c r="T286" s="79"/>
      <c r="U286" s="99"/>
      <c r="V286" s="85"/>
      <c r="W286" s="108"/>
      <c r="X286" s="100"/>
      <c r="Y286" s="79"/>
      <c r="Z286" s="79"/>
      <c r="AA286" s="101"/>
      <c r="AB286" s="79"/>
      <c r="AC286" s="79"/>
      <c r="AE286" s="94"/>
      <c r="AF286" s="94"/>
      <c r="AG286" s="102"/>
      <c r="AH286" s="102"/>
      <c r="AI286" s="109"/>
      <c r="AJ286" s="79"/>
      <c r="AK286" s="79"/>
      <c r="AL286" s="79"/>
      <c r="AM286" s="79"/>
      <c r="AN286" s="94"/>
      <c r="AO286" s="109"/>
      <c r="AP286" s="109"/>
      <c r="AQ286" s="79"/>
      <c r="AR286" s="79"/>
      <c r="AS286" s="105"/>
      <c r="AT286" s="79"/>
      <c r="AU286" s="79"/>
      <c r="AV286" s="79"/>
      <c r="AW286" s="79"/>
      <c r="AX286" s="79"/>
      <c r="AY286" s="79"/>
      <c r="AZ286" s="79"/>
      <c r="BA286" s="79"/>
      <c r="BB286" s="79"/>
      <c r="BC286" s="79"/>
      <c r="BD286" s="79"/>
      <c r="BE286" s="79"/>
      <c r="BF286" s="79"/>
      <c r="BG286" s="79"/>
      <c r="BH286" s="109"/>
      <c r="BI286" s="79"/>
      <c r="BJ286" s="79"/>
      <c r="BK286" s="79"/>
    </row>
    <row r="287" spans="5:87" s="87" customFormat="1" ht="14.4" x14ac:dyDescent="0.3">
      <c r="I287" s="343"/>
      <c r="K287" s="343"/>
      <c r="Q287" s="101"/>
      <c r="R287" s="79"/>
      <c r="S287" s="79"/>
      <c r="T287" s="79"/>
      <c r="U287" s="99"/>
      <c r="V287" s="85"/>
      <c r="W287" s="108"/>
      <c r="X287" s="100"/>
      <c r="Y287" s="79"/>
      <c r="Z287" s="79"/>
      <c r="AA287" s="101"/>
      <c r="AB287" s="79"/>
      <c r="AC287" s="79"/>
      <c r="AE287" s="94"/>
      <c r="AF287" s="94"/>
      <c r="AG287" s="102"/>
      <c r="AH287" s="102"/>
      <c r="AI287" s="109"/>
      <c r="AJ287" s="79"/>
      <c r="AK287" s="79"/>
      <c r="AL287" s="79"/>
      <c r="AM287" s="79"/>
      <c r="AN287" s="110"/>
      <c r="AO287" s="109"/>
      <c r="AP287" s="109"/>
      <c r="AQ287" s="79"/>
      <c r="AR287" s="79"/>
      <c r="AS287" s="105"/>
      <c r="AT287" s="79"/>
      <c r="AU287" s="79"/>
      <c r="AV287" s="79"/>
      <c r="AW287" s="79"/>
      <c r="AX287" s="79"/>
      <c r="AY287" s="79"/>
      <c r="AZ287" s="79"/>
      <c r="BA287" s="79"/>
      <c r="BB287" s="79"/>
      <c r="BC287" s="79"/>
      <c r="BD287" s="79"/>
      <c r="BE287" s="79"/>
      <c r="BF287" s="79"/>
      <c r="BG287" s="79"/>
      <c r="BH287" s="109"/>
      <c r="BI287" s="79"/>
      <c r="BJ287" s="79"/>
      <c r="BK287" s="79"/>
    </row>
    <row r="288" spans="5:87" s="87" customFormat="1" ht="14.4" x14ac:dyDescent="0.3">
      <c r="I288" s="343"/>
      <c r="K288" s="343"/>
      <c r="Q288" s="101"/>
      <c r="R288" s="79"/>
      <c r="S288" s="79"/>
      <c r="T288" s="79"/>
      <c r="U288" s="99"/>
      <c r="V288" s="85"/>
      <c r="W288" s="108"/>
      <c r="X288" s="100"/>
      <c r="Y288" s="79"/>
      <c r="Z288" s="79"/>
      <c r="AA288" s="101"/>
      <c r="AB288" s="79"/>
      <c r="AC288" s="79"/>
      <c r="AE288" s="94"/>
      <c r="AF288" s="94"/>
      <c r="AG288" s="102"/>
      <c r="AH288" s="102"/>
      <c r="AI288" s="109"/>
      <c r="AJ288" s="79"/>
      <c r="AK288" s="79"/>
      <c r="AL288" s="79">
        <f>AL289-AL290</f>
        <v>0</v>
      </c>
      <c r="AM288" s="79"/>
      <c r="AN288" s="94"/>
      <c r="AO288" s="109"/>
      <c r="AP288" s="109"/>
      <c r="AQ288" s="79"/>
      <c r="AR288" s="79"/>
      <c r="AS288" s="105"/>
      <c r="AT288" s="79"/>
      <c r="AU288" s="79"/>
      <c r="AV288" s="79"/>
      <c r="AW288" s="79"/>
      <c r="AX288" s="79"/>
      <c r="AY288" s="79"/>
      <c r="AZ288" s="79"/>
      <c r="BA288" s="79"/>
      <c r="BB288" s="79"/>
      <c r="BC288" s="79"/>
      <c r="BD288" s="79"/>
      <c r="BE288" s="79"/>
      <c r="BF288" s="79"/>
      <c r="BG288" s="79"/>
      <c r="BH288" s="109"/>
      <c r="BI288" s="79"/>
      <c r="BJ288" s="79"/>
      <c r="BK288" s="79"/>
    </row>
    <row r="289" spans="9:63" s="87" customFormat="1" ht="14.4" x14ac:dyDescent="0.3">
      <c r="I289" s="343"/>
      <c r="K289" s="343"/>
      <c r="Q289" s="101"/>
      <c r="R289" s="79"/>
      <c r="S289" s="79"/>
      <c r="T289" s="79"/>
      <c r="U289" s="99"/>
      <c r="V289" s="85"/>
      <c r="W289" s="108"/>
      <c r="X289" s="100"/>
      <c r="Y289" s="79"/>
      <c r="Z289" s="79"/>
      <c r="AA289" s="101"/>
      <c r="AB289" s="79"/>
      <c r="AC289" s="79"/>
      <c r="AE289" s="94"/>
      <c r="AF289" s="94"/>
      <c r="AG289" s="102"/>
      <c r="AH289" s="102"/>
      <c r="AI289" s="109"/>
      <c r="AK289" s="79"/>
      <c r="AL289" s="79"/>
      <c r="AM289" s="79"/>
      <c r="AN289" s="94"/>
      <c r="AO289" s="109"/>
      <c r="AP289" s="109"/>
      <c r="AQ289" s="79"/>
      <c r="AR289" s="79"/>
      <c r="AS289" s="105"/>
      <c r="AT289" s="79"/>
      <c r="AU289" s="79"/>
      <c r="AV289" s="79"/>
      <c r="AW289" s="79"/>
      <c r="AX289" s="79"/>
      <c r="AY289" s="79"/>
      <c r="AZ289" s="79"/>
      <c r="BA289" s="79"/>
      <c r="BB289" s="79"/>
      <c r="BC289" s="79"/>
      <c r="BD289" s="79"/>
      <c r="BE289" s="79"/>
      <c r="BF289" s="79"/>
      <c r="BG289" s="79"/>
      <c r="BH289" s="111"/>
      <c r="BI289" s="79"/>
      <c r="BJ289" s="79"/>
      <c r="BK289" s="79"/>
    </row>
    <row r="290" spans="9:63" s="87" customFormat="1" ht="14.4" x14ac:dyDescent="0.3">
      <c r="I290" s="343"/>
      <c r="K290" s="343"/>
      <c r="Q290" s="101"/>
      <c r="R290" s="79"/>
      <c r="S290" s="79"/>
      <c r="T290" s="79"/>
      <c r="U290" s="99"/>
      <c r="V290" s="85"/>
      <c r="W290" s="108"/>
      <c r="X290" s="100"/>
      <c r="Y290" s="104"/>
      <c r="Z290" s="79"/>
      <c r="AA290" s="79"/>
      <c r="AB290" s="79"/>
      <c r="AC290" s="79"/>
      <c r="AD290" s="79"/>
      <c r="AE290" s="94"/>
      <c r="AF290" s="94"/>
      <c r="AG290" s="102"/>
      <c r="AH290" s="102"/>
      <c r="AI290" s="109"/>
      <c r="AJ290" s="79"/>
      <c r="AK290" s="79"/>
      <c r="AL290" s="79"/>
      <c r="AM290" s="79"/>
      <c r="AN290" s="94"/>
      <c r="AO290" s="109"/>
      <c r="AP290" s="109"/>
      <c r="AQ290" s="79"/>
      <c r="AR290" s="79"/>
      <c r="AS290" s="105"/>
      <c r="AT290" s="79"/>
      <c r="AU290" s="79"/>
      <c r="AV290" s="79"/>
      <c r="AW290" s="79"/>
      <c r="AX290" s="79"/>
      <c r="AY290" s="79"/>
      <c r="AZ290" s="79"/>
      <c r="BA290" s="79"/>
      <c r="BB290" s="79"/>
      <c r="BC290" s="79"/>
      <c r="BD290" s="79"/>
      <c r="BE290" s="79"/>
      <c r="BF290" s="79"/>
      <c r="BG290" s="79"/>
      <c r="BH290" s="109"/>
      <c r="BI290" s="79"/>
      <c r="BJ290" s="79"/>
      <c r="BK290" s="79"/>
    </row>
    <row r="291" spans="9:63" x14ac:dyDescent="0.2">
      <c r="N291" s="87"/>
      <c r="O291" s="87"/>
    </row>
  </sheetData>
  <dataConsolidate link="1">
    <dataRefs count="1">
      <dataRef name="s"/>
    </dataRefs>
  </dataConsolidate>
  <mergeCells count="14">
    <mergeCell ref="AA267:AB267"/>
    <mergeCell ref="BW2:CB2"/>
    <mergeCell ref="CO3:CS3"/>
    <mergeCell ref="AA266:AB266"/>
    <mergeCell ref="AA259:AB259"/>
    <mergeCell ref="AA260:AB260"/>
    <mergeCell ref="AA261:AB261"/>
    <mergeCell ref="AA262:AB262"/>
    <mergeCell ref="AA263:AB263"/>
    <mergeCell ref="AA264:AB264"/>
    <mergeCell ref="AA265:AB265"/>
    <mergeCell ref="CL3:CN3"/>
    <mergeCell ref="CF3:CG3"/>
    <mergeCell ref="BW3:CB3"/>
  </mergeCells>
  <conditionalFormatting sqref="E3">
    <cfRule type="duplicateValues" dxfId="76" priority="15897"/>
  </conditionalFormatting>
  <conditionalFormatting sqref="E4">
    <cfRule type="duplicateValues" dxfId="75" priority="15631"/>
  </conditionalFormatting>
  <conditionalFormatting sqref="E4:E243">
    <cfRule type="duplicateValues" dxfId="74" priority="21197"/>
  </conditionalFormatting>
  <conditionalFormatting sqref="E248">
    <cfRule type="duplicateValues" dxfId="73" priority="7"/>
    <cfRule type="duplicateValues" dxfId="72" priority="8"/>
    <cfRule type="duplicateValues" dxfId="71" priority="9"/>
    <cfRule type="duplicateValues" dxfId="70" priority="10"/>
    <cfRule type="duplicateValues" dxfId="69" priority="11"/>
    <cfRule type="duplicateValues" dxfId="68" priority="12"/>
    <cfRule type="duplicateValues" dxfId="67" priority="13"/>
    <cfRule type="duplicateValues" dxfId="66" priority="14"/>
  </conditionalFormatting>
  <conditionalFormatting sqref="E249:E254">
    <cfRule type="duplicateValues" dxfId="65" priority="21212"/>
  </conditionalFormatting>
  <conditionalFormatting sqref="I256:I1048576 CI2 I245:I247 E4 I1 E2:AZ2 CC2">
    <cfRule type="duplicateValues" dxfId="64" priority="19829"/>
    <cfRule type="duplicateValues" dxfId="63" priority="19828"/>
    <cfRule type="duplicateValues" dxfId="62" priority="19827"/>
    <cfRule type="duplicateValues" dxfId="61" priority="19826"/>
    <cfRule type="duplicateValues" dxfId="60" priority="19825"/>
  </conditionalFormatting>
  <conditionalFormatting sqref="I272:I1048576 CI2 E265:E271 I1 E4 I245:I247 E2:AZ2 CC2 I256:I264">
    <cfRule type="duplicateValues" dxfId="59" priority="19855"/>
  </conditionalFormatting>
  <conditionalFormatting sqref="AJ268 AK246:AK247 AN269:AN1048576 AN245:AN247 AO244:AP244 AN1 AO4:AP4 AN3 AJ260:AJ263 AK256:AK257 AN256:AN258">
    <cfRule type="duplicateValues" dxfId="58" priority="145"/>
  </conditionalFormatting>
  <conditionalFormatting sqref="AN281">
    <cfRule type="duplicateValues" dxfId="57" priority="160"/>
  </conditionalFormatting>
  <conditionalFormatting sqref="AO248:AP248">
    <cfRule type="duplicateValues" dxfId="56" priority="6"/>
  </conditionalFormatting>
  <conditionalFormatting sqref="AO255:AP255">
    <cfRule type="duplicateValues" dxfId="55" priority="1"/>
  </conditionalFormatting>
  <conditionalFormatting sqref="AO289:AP289">
    <cfRule type="duplicateValues" dxfId="54" priority="171"/>
  </conditionalFormatting>
  <conditionalFormatting sqref="AZ5:AZ243 BB5:BK243 AZ249:AZ254 BB249:BK254">
    <cfRule type="containsText" dxfId="53" priority="30" operator="containsText" text="FALSE">
      <formula>NOT(ISERROR(SEARCH("FALSE",AZ5)))</formula>
    </cfRule>
  </conditionalFormatting>
  <conditionalFormatting sqref="AZ4:BK4">
    <cfRule type="containsText" dxfId="52" priority="65" operator="containsText" text="FALSE">
      <formula>NOT(ISERROR(SEARCH("FALSE",AZ4)))</formula>
    </cfRule>
  </conditionalFormatting>
  <conditionalFormatting sqref="AZ248:BK248">
    <cfRule type="containsText" dxfId="51" priority="5" operator="containsText" text="FALSE">
      <formula>NOT(ISERROR(SEARCH("FALSE",AZ248)))</formula>
    </cfRule>
  </conditionalFormatting>
  <conditionalFormatting sqref="BP281">
    <cfRule type="duplicateValues" dxfId="50" priority="156"/>
    <cfRule type="duplicateValues" dxfId="49" priority="155"/>
  </conditionalFormatting>
  <conditionalFormatting sqref="BP282">
    <cfRule type="duplicateValues" dxfId="48" priority="152"/>
    <cfRule type="duplicateValues" dxfId="47" priority="151"/>
  </conditionalFormatting>
  <conditionalFormatting sqref="BW274">
    <cfRule type="duplicateValues" dxfId="46" priority="166"/>
    <cfRule type="duplicateValues" dxfId="45" priority="167"/>
  </conditionalFormatting>
  <conditionalFormatting sqref="BW279">
    <cfRule type="duplicateValues" dxfId="44" priority="163"/>
    <cfRule type="duplicateValues" dxfId="43" priority="162"/>
  </conditionalFormatting>
  <conditionalFormatting sqref="BX276">
    <cfRule type="duplicateValues" dxfId="42" priority="168"/>
    <cfRule type="duplicateValues" dxfId="41" priority="169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 filterMode="1"/>
  <dimension ref="A1:AM54"/>
  <sheetViews>
    <sheetView showGridLines="0" topLeftCell="AE1" zoomScale="95" zoomScaleNormal="80" workbookViewId="0">
      <selection activeCell="AH5" sqref="AH5"/>
    </sheetView>
  </sheetViews>
  <sheetFormatPr defaultColWidth="8.88671875" defaultRowHeight="14.4" x14ac:dyDescent="0.3"/>
  <cols>
    <col min="1" max="1" width="2.6640625" style="3" customWidth="1"/>
    <col min="2" max="2" width="42.88671875" style="3" bestFit="1" customWidth="1"/>
    <col min="3" max="3" width="19.33203125" style="3" bestFit="1" customWidth="1"/>
    <col min="4" max="4" width="14.77734375" style="3" bestFit="1" customWidth="1"/>
    <col min="5" max="5" width="19.6640625" style="3" bestFit="1" customWidth="1"/>
    <col min="6" max="6" width="3.21875" style="3" customWidth="1"/>
    <col min="7" max="7" width="17" style="3" bestFit="1" customWidth="1"/>
    <col min="8" max="8" width="20.88671875" style="3" bestFit="1" customWidth="1"/>
    <col min="9" max="9" width="46" style="3" bestFit="1" customWidth="1"/>
    <col min="10" max="10" width="10.21875" style="3" bestFit="1" customWidth="1"/>
    <col min="11" max="11" width="12.77734375" style="3" bestFit="1" customWidth="1"/>
    <col min="12" max="12" width="10.21875" style="3" bestFit="1" customWidth="1"/>
    <col min="13" max="13" width="9.77734375" style="3" bestFit="1" customWidth="1"/>
    <col min="14" max="14" width="12.77734375" style="3" bestFit="1" customWidth="1"/>
    <col min="15" max="15" width="11.6640625" style="3" bestFit="1" customWidth="1"/>
    <col min="16" max="16" width="13.21875" style="3" bestFit="1" customWidth="1"/>
    <col min="17" max="17" width="17.21875" style="3" bestFit="1" customWidth="1"/>
    <col min="18" max="18" width="14.33203125" style="3" bestFit="1" customWidth="1"/>
    <col min="19" max="19" width="12.44140625" style="3" bestFit="1" customWidth="1"/>
    <col min="20" max="20" width="8.88671875" style="3"/>
    <col min="21" max="21" width="10.44140625" style="331" bestFit="1" customWidth="1"/>
    <col min="22" max="22" width="13.21875" style="3" bestFit="1" customWidth="1"/>
    <col min="23" max="23" width="10.77734375" style="3" bestFit="1" customWidth="1"/>
    <col min="24" max="24" width="5.44140625" style="3" bestFit="1" customWidth="1"/>
    <col min="25" max="25" width="11.33203125" style="3" bestFit="1" customWidth="1"/>
    <col min="26" max="26" width="22.88671875" style="3" bestFit="1" customWidth="1"/>
    <col min="27" max="27" width="46" style="3" bestFit="1" customWidth="1"/>
    <col min="28" max="28" width="11.6640625" style="3" bestFit="1" customWidth="1"/>
    <col min="29" max="29" width="10.21875" style="3" bestFit="1" customWidth="1"/>
    <col min="30" max="30" width="17.77734375" style="3" bestFit="1" customWidth="1"/>
    <col min="31" max="31" width="18.77734375" style="3" bestFit="1" customWidth="1"/>
    <col min="32" max="32" width="13.6640625" style="3" bestFit="1" customWidth="1"/>
    <col min="33" max="33" width="38.109375" style="3" bestFit="1" customWidth="1"/>
    <col min="34" max="34" width="31.88671875" style="3" bestFit="1" customWidth="1"/>
    <col min="35" max="35" width="36.6640625" style="3" bestFit="1" customWidth="1"/>
    <col min="36" max="36" width="24.5546875" style="3" customWidth="1"/>
    <col min="37" max="37" width="8.88671875" style="3"/>
    <col min="38" max="38" width="46" style="3" bestFit="1" customWidth="1"/>
    <col min="39" max="39" width="11.6640625" style="3" bestFit="1" customWidth="1"/>
    <col min="40" max="16384" width="8.88671875" style="3"/>
  </cols>
  <sheetData>
    <row r="1" spans="1:39" s="246" customFormat="1" ht="18" x14ac:dyDescent="0.35">
      <c r="B1" s="247" t="s">
        <v>515</v>
      </c>
      <c r="G1" s="247" t="s">
        <v>514</v>
      </c>
      <c r="H1" s="248"/>
      <c r="I1" s="248"/>
      <c r="J1" s="249"/>
      <c r="K1" s="246">
        <f>K2-Enterprise!P6</f>
        <v>0</v>
      </c>
      <c r="L1" s="78">
        <f>L2-Enterprise!P12-Enterprise!P11</f>
        <v>28875</v>
      </c>
      <c r="M1" s="78">
        <f>M2-Enterprise!P13</f>
        <v>7.6351492373729402E-2</v>
      </c>
      <c r="N1" s="78">
        <f>N2-Details!AY244</f>
        <v>0</v>
      </c>
      <c r="O1" s="78">
        <f>O2+Details!BZ244</f>
        <v>0</v>
      </c>
      <c r="P1" s="250"/>
      <c r="Q1" s="78">
        <f>Q2-Enterprise!P19</f>
        <v>-119</v>
      </c>
      <c r="R1" s="78"/>
      <c r="S1" s="248"/>
      <c r="U1" s="360"/>
    </row>
    <row r="2" spans="1:39" ht="16.2" thickBot="1" x14ac:dyDescent="0.35">
      <c r="A2" s="76"/>
      <c r="B2" s="76">
        <f ca="1">COUNTA(B4:B149)</f>
        <v>23</v>
      </c>
      <c r="C2" s="76"/>
      <c r="D2" s="76">
        <f>SUBTOTAL(9,D4:D19)</f>
        <v>778050</v>
      </c>
      <c r="E2" s="66">
        <f>COUNTA(_xlfn.ANCHORARRAY(E4))-1</f>
        <v>2</v>
      </c>
      <c r="G2" s="66">
        <f>COUNTA(_xlfn.ANCHORARRAY(G4))</f>
        <v>7</v>
      </c>
      <c r="H2" s="66">
        <f>COUNTA(_xlfn.ANCHORARRAY(H4))</f>
        <v>7</v>
      </c>
      <c r="I2" s="66"/>
      <c r="J2" s="78">
        <f>SUM(J$4:J17)</f>
        <v>578061</v>
      </c>
      <c r="K2" s="78">
        <f>SUM(K$4:K47)</f>
        <v>10677335.5</v>
      </c>
      <c r="L2" s="78">
        <f>SUM(L$4:L47)</f>
        <v>1360719.5</v>
      </c>
      <c r="M2" s="67">
        <f>L2/K2</f>
        <v>0.1274399872515011</v>
      </c>
      <c r="N2" s="78">
        <f>SUM(N$4:N47)</f>
        <v>10677335.5</v>
      </c>
      <c r="O2" s="78">
        <f>SUM(O$4:O11)</f>
        <v>0</v>
      </c>
      <c r="P2" s="67">
        <f>O2/K2</f>
        <v>0</v>
      </c>
      <c r="Q2" s="78">
        <f>SUM(Q$4:Q47)</f>
        <v>48</v>
      </c>
      <c r="R2" s="78">
        <f>SUM(R$4:R47)</f>
        <v>9298285.0192307699</v>
      </c>
      <c r="S2" s="66" t="e">
        <f>SUBTOTAL(1,S4:S47)</f>
        <v>#DIV/0!</v>
      </c>
      <c r="AB2" s="3">
        <f>SUBTOTAL(9,AB4:AB94)</f>
        <v>1674994.1099999999</v>
      </c>
      <c r="AG2" s="3">
        <f>SUBTOTAL(9,AG4:AG94)</f>
        <v>0</v>
      </c>
      <c r="AH2" s="3">
        <f>AB2-AG2</f>
        <v>1674994.1099999999</v>
      </c>
      <c r="AM2" s="3">
        <f>SUBTOTAL(9,AM4:AM21)</f>
        <v>0</v>
      </c>
    </row>
    <row r="3" spans="1:39" s="76" customFormat="1" ht="16.2" customHeight="1" thickBot="1" x14ac:dyDescent="0.35">
      <c r="A3" s="3"/>
      <c r="B3" s="75" t="s">
        <v>26</v>
      </c>
      <c r="C3" s="72" t="s">
        <v>17</v>
      </c>
      <c r="D3" s="77" t="s">
        <v>2</v>
      </c>
      <c r="E3" s="75" t="s">
        <v>170</v>
      </c>
      <c r="G3" s="70" t="s">
        <v>169</v>
      </c>
      <c r="H3" s="70" t="s">
        <v>176</v>
      </c>
      <c r="I3" s="70" t="s">
        <v>71</v>
      </c>
      <c r="J3" s="77" t="s">
        <v>78</v>
      </c>
      <c r="K3" s="72" t="s">
        <v>144</v>
      </c>
      <c r="L3" s="72" t="s">
        <v>55</v>
      </c>
      <c r="M3" s="72" t="s">
        <v>145</v>
      </c>
      <c r="N3" s="72" t="s">
        <v>147</v>
      </c>
      <c r="O3" s="72" t="s">
        <v>146</v>
      </c>
      <c r="P3" s="72" t="s">
        <v>148</v>
      </c>
      <c r="Q3" s="72" t="s">
        <v>150</v>
      </c>
      <c r="R3" s="71" t="s">
        <v>151</v>
      </c>
      <c r="S3" s="73" t="s">
        <v>153</v>
      </c>
      <c r="U3" s="544" t="s">
        <v>2399</v>
      </c>
      <c r="V3" s="545" t="s">
        <v>2400</v>
      </c>
      <c r="W3" s="545" t="s">
        <v>2401</v>
      </c>
      <c r="X3" s="545" t="s">
        <v>2402</v>
      </c>
      <c r="Y3" s="545" t="s">
        <v>2403</v>
      </c>
      <c r="Z3" s="545" t="s">
        <v>2404</v>
      </c>
      <c r="AA3" s="545" t="s">
        <v>1421</v>
      </c>
      <c r="AB3" s="545" t="s">
        <v>2405</v>
      </c>
      <c r="AC3" s="545" t="s">
        <v>2406</v>
      </c>
      <c r="AD3" s="545" t="s">
        <v>2943</v>
      </c>
      <c r="AE3" s="545" t="s">
        <v>2944</v>
      </c>
      <c r="AF3" s="545" t="s">
        <v>2945</v>
      </c>
      <c r="AG3" s="545" t="s">
        <v>3497</v>
      </c>
      <c r="AH3" s="545" t="s">
        <v>2946</v>
      </c>
      <c r="AI3" s="546" t="s">
        <v>56</v>
      </c>
      <c r="AJ3" s="549" t="s">
        <v>3322</v>
      </c>
      <c r="AL3" s="526" t="str" cm="1">
        <f t="array" ref="AL3:AL19">_xlfn.UNIQUE(AA3:AA70)</f>
        <v>customer_name</v>
      </c>
      <c r="AM3" s="546" t="s">
        <v>2957</v>
      </c>
    </row>
    <row r="4" spans="1:39" s="76" customFormat="1" ht="15.6" hidden="1" x14ac:dyDescent="0.3">
      <c r="A4" s="3"/>
      <c r="B4" s="64" t="str">
        <f>_xlfn.XLOOKUP(C4,Details!$G$5:$G$243,Details!$F$5:$F$243)</f>
        <v>BLACK GOLD RECYCLING PRIVATE LIMITED</v>
      </c>
      <c r="C4" s="11" t="str" cm="1">
        <f t="array" ref="C4:C6">_xlfn.UNIQUE(_xlfn._TRO_TRAILING(Details!G5:G243))</f>
        <v>24AAMCB5608A1Z3</v>
      </c>
      <c r="D4" s="65">
        <f>SUMIFS(Details!$Q$5:$Q$243,Details!$G$5:$G$243,'AP &amp; AR'!C4)</f>
        <v>8538566</v>
      </c>
      <c r="E4" s="64" t="str" cm="1">
        <f t="array" ref="E4:E6">_xlfn.UNIQUE(MID(_xlfn._TRO_TRAILING(Details!G5:G243),3,10))</f>
        <v>AAMCB5608A</v>
      </c>
      <c r="G4" s="64" t="str" cm="1">
        <f t="array" ref="G4:G10">_xlfn.UNIQUE(MID(_xlfn._TRO_TRAILING(Details!AR5:AR243),3,10))</f>
        <v>AFDPY5902R</v>
      </c>
      <c r="H4" s="64" t="str" cm="1">
        <f t="array" ref="H4:H10">_xlfn.UNIQUE(_xlfn._TRO_TRAILING(Details!AR5:AR243))</f>
        <v>24AFDPY5902R1ZS</v>
      </c>
      <c r="I4" s="65" t="str">
        <f>(_xlfn.XLOOKUP(H4,Details!$AR$5:$AR$243,Details!$AQ$5:$AQ$243))</f>
        <v>R.H.TRADERS</v>
      </c>
      <c r="J4" s="65">
        <f>SUMIFS(Details!BB:BB,Details!AQ:AQ,'AP &amp; AR'!$I4)</f>
        <v>66720</v>
      </c>
      <c r="K4" s="65">
        <f>SUMIFS(Details!BO:BO,Details!AQ:AQ,'AP &amp; AR'!$I4)</f>
        <v>1434212.5</v>
      </c>
      <c r="L4" s="65">
        <f>SUMIFS(Details!BP:BP,Details!AQ:AQ,'AP &amp; AR'!$I4)</f>
        <v>40361.5</v>
      </c>
      <c r="M4" s="68">
        <f t="shared" ref="M4:M11" si="0">L4/K4</f>
        <v>2.8141924575333155E-2</v>
      </c>
      <c r="N4" s="11">
        <f>SUMIFS(Details!$AY$5:$AY243,Details!$AQ$5:$AQ243,'AP &amp; AR'!$I4)</f>
        <v>1434212.5</v>
      </c>
      <c r="O4" s="65">
        <f>-SUMIFS(Details!$BZ$5:$BZ243,Details!$AQ$5:$AQ243,'AP &amp; AR'!$I4)</f>
        <v>0</v>
      </c>
      <c r="P4" s="69">
        <f t="shared" ref="P4:P11" si="1">O4/N4</f>
        <v>0</v>
      </c>
      <c r="Q4" s="65" cm="1">
        <f t="array" ref="Q4">COUNTA(_xlfn.UNIQUE(_xlfn._xlws.FILTER(Details!AO5:AO243,Details!AQ5:AQ243='AP &amp; AR'!$I4)))</f>
        <v>26</v>
      </c>
      <c r="R4" s="11">
        <f t="shared" ref="R4:R11" si="2">N4/Q4</f>
        <v>55162.019230769234</v>
      </c>
      <c r="S4" s="74">
        <f t="shared" ref="S4:S11" si="3">N4/J4</f>
        <v>21.495990707434053</v>
      </c>
      <c r="U4" s="331">
        <v>45761</v>
      </c>
      <c r="V4" s="3" t="s">
        <v>2407</v>
      </c>
      <c r="W4" s="3" t="s">
        <v>2408</v>
      </c>
      <c r="X4" s="3" t="s">
        <v>4152</v>
      </c>
      <c r="Y4" s="3" t="s">
        <v>2887</v>
      </c>
      <c r="Z4" s="3" t="s">
        <v>275</v>
      </c>
      <c r="AA4" s="3" t="s">
        <v>232</v>
      </c>
      <c r="AB4" s="3">
        <v>1071308</v>
      </c>
      <c r="AC4" s="3">
        <v>1080700.3999999999</v>
      </c>
      <c r="AD4" s="3" t="s">
        <v>2947</v>
      </c>
      <c r="AE4" s="3" t="s">
        <v>2948</v>
      </c>
      <c r="AF4" s="3">
        <v>3500000</v>
      </c>
      <c r="AG4" s="3">
        <v>0</v>
      </c>
      <c r="AH4" s="3" t="s">
        <v>1354</v>
      </c>
      <c r="AI4" s="3" t="s">
        <v>3310</v>
      </c>
      <c r="AJ4" s="3" t="str">
        <f>_xlfn.XLOOKUP($Z4,'Pune MIS'!$R:$R,'Pune MIS'!$O:$O)</f>
        <v>Warehouse</v>
      </c>
      <c r="AL4" s="3" t="str">
        <v>SNEHA FOUNDRY WORKS</v>
      </c>
      <c r="AM4" s="76">
        <f t="shared" ref="AM4:AM20" si="4">_xlfn.XLOOKUP(AL4,AA:AA,AG:AG)</f>
        <v>0</v>
      </c>
    </row>
    <row r="5" spans="1:39" ht="15.6" x14ac:dyDescent="0.3">
      <c r="B5" s="64" t="str">
        <f>_xlfn.XLOOKUP(C5,Details!$G$5:$G$243,Details!$F$5:$F$243)</f>
        <v>BIRLA COPPER ASOJ PRIVATE LIMITED</v>
      </c>
      <c r="C5" s="11" t="str">
        <v>24AAHCR8445C1ZF</v>
      </c>
      <c r="D5" s="65">
        <f>SUMIFS(Details!$Q$5:$Q$243,Details!$G$5:$G$243,'AP &amp; AR'!C5)</f>
        <v>778050</v>
      </c>
      <c r="E5" s="3" t="str">
        <v>AAHCR8445C</v>
      </c>
      <c r="F5" s="76"/>
      <c r="G5" s="64" t="str">
        <v>BJHPB3107J</v>
      </c>
      <c r="H5" s="64" t="str">
        <v>24BJHPB3107J1ZO</v>
      </c>
      <c r="I5" s="65" t="str">
        <f>(_xlfn.XLOOKUP(H5,Details!$AR$5:$AR$243,Details!$AQ$5:$AQ$243))</f>
        <v>NILKANTH TRADING COMPANY</v>
      </c>
      <c r="J5" s="65">
        <f>SUMIFS(Details!BB:BB,Details!AQ:AQ,'AP &amp; AR'!$I5)</f>
        <v>491370</v>
      </c>
      <c r="K5" s="65">
        <f>SUMIFS(Details!BO:BO,Details!AQ:AQ,'AP &amp; AR'!$I5)</f>
        <v>8812333</v>
      </c>
      <c r="L5" s="65">
        <f>SUMIFS(Details!BP:BP,Details!AQ:AQ,'AP &amp; AR'!$I5)</f>
        <v>1251368</v>
      </c>
      <c r="M5" s="68">
        <f t="shared" si="0"/>
        <v>0.14200189666005586</v>
      </c>
      <c r="N5" s="11">
        <f>SUMIFS(Details!$AY$5:$AY244,Details!$AQ$5:$AQ244,'AP &amp; AR'!$I5)</f>
        <v>8812333</v>
      </c>
      <c r="O5" s="65">
        <f>-SUMIFS(Details!$BZ$5:$BZ244,Details!$AQ$5:$AQ244,'AP &amp; AR'!$I5)</f>
        <v>0</v>
      </c>
      <c r="P5" s="69">
        <f t="shared" si="1"/>
        <v>0</v>
      </c>
      <c r="Q5" s="65" cm="1">
        <f t="array" ref="Q5">COUNTA(_xlfn.UNIQUE(_xlfn._xlws.FILTER(Details!AO243:AO244,Details!AQ243:AQ244='AP &amp; AR'!$I5)))</f>
        <v>1</v>
      </c>
      <c r="R5" s="11">
        <f t="shared" si="2"/>
        <v>8812333</v>
      </c>
      <c r="S5" s="74">
        <f t="shared" si="3"/>
        <v>17.934210472759833</v>
      </c>
      <c r="U5" s="331">
        <v>45784</v>
      </c>
      <c r="V5" s="3" t="s">
        <v>2407</v>
      </c>
      <c r="W5" s="3" t="s">
        <v>3311</v>
      </c>
      <c r="X5" s="3" t="s">
        <v>4153</v>
      </c>
      <c r="Y5" s="3" t="s">
        <v>3312</v>
      </c>
      <c r="Z5" s="3" t="s">
        <v>3313</v>
      </c>
      <c r="AA5" s="3" t="s">
        <v>232</v>
      </c>
      <c r="AB5" s="3">
        <v>22406</v>
      </c>
      <c r="AC5" s="3">
        <v>22406</v>
      </c>
      <c r="AD5" s="3" t="s">
        <v>2947</v>
      </c>
      <c r="AE5" s="3" t="s">
        <v>2948</v>
      </c>
      <c r="AF5" s="3">
        <v>3500000</v>
      </c>
      <c r="AG5" s="3">
        <v>0</v>
      </c>
      <c r="AH5" s="3" t="s">
        <v>1354</v>
      </c>
      <c r="AI5" s="3" t="s">
        <v>3310</v>
      </c>
      <c r="AJ5" s="3" t="e">
        <f>_xlfn.XLOOKUP($Z5,'Pune MIS'!$R:$R,'Pune MIS'!$O:$O)</f>
        <v>#N/A</v>
      </c>
      <c r="AL5" s="3" t="str">
        <v>KALYANI FOUNDRY WORKS</v>
      </c>
      <c r="AM5" s="76">
        <f t="shared" si="4"/>
        <v>0</v>
      </c>
    </row>
    <row r="6" spans="1:39" ht="15.6" hidden="1" x14ac:dyDescent="0.3">
      <c r="B6" s="64" t="e">
        <f>_xlfn.XLOOKUP(C6,Details!$G$5:$G$243,Details!$F$5:$F$243)</f>
        <v>#N/A</v>
      </c>
      <c r="C6" s="11">
        <v>0</v>
      </c>
      <c r="D6" s="65">
        <f>SUMIFS(Details!$Q$5:$Q$243,Details!$G$5:$G$243,'AP &amp; AR'!C6)</f>
        <v>0</v>
      </c>
      <c r="E6" s="3" t="str">
        <v/>
      </c>
      <c r="F6" s="76"/>
      <c r="G6" s="64" t="str">
        <v>DIZPK8580H</v>
      </c>
      <c r="H6" s="64" t="str">
        <v>24DIZPK8580H1ZF</v>
      </c>
      <c r="I6" s="65" t="str">
        <f>(_xlfn.XLOOKUP(H6,Details!$AR$5:$AR$243,Details!$AQ$5:$AQ$243))</f>
        <v>SAHIL TRADERS</v>
      </c>
      <c r="J6" s="65">
        <f>SUMIFS(Details!BB:BB,Details!AQ:AQ,'AP &amp; AR'!$I6)</f>
        <v>400</v>
      </c>
      <c r="K6" s="65">
        <f>SUMIFS(Details!BO:BO,Details!AQ:AQ,'AP &amp; AR'!$I6)</f>
        <v>4240</v>
      </c>
      <c r="L6" s="65">
        <f>SUMIFS(Details!BP:BP,Details!AQ:AQ,'AP &amp; AR'!$I6)</f>
        <v>400</v>
      </c>
      <c r="M6" s="68">
        <f t="shared" si="0"/>
        <v>9.4339622641509441E-2</v>
      </c>
      <c r="N6" s="11">
        <f>SUMIFS(Details!$AY$5:$AY245,Details!$AQ$5:$AQ245,'AP &amp; AR'!$I6)</f>
        <v>4240</v>
      </c>
      <c r="O6" s="65">
        <f>-SUMIFS(Details!$BZ$5:$BZ245,Details!$AQ$5:$AQ245,'AP &amp; AR'!$I6)</f>
        <v>0</v>
      </c>
      <c r="P6" s="69">
        <f t="shared" si="1"/>
        <v>0</v>
      </c>
      <c r="Q6" s="65" cm="1">
        <f t="array" ref="Q6">COUNTA(_xlfn.UNIQUE(_xlfn._xlws.FILTER(Details!AO243:AO245,Details!AQ243:AQ245='AP &amp; AR'!$I6)))</f>
        <v>1</v>
      </c>
      <c r="R6" s="11">
        <f t="shared" si="2"/>
        <v>4240</v>
      </c>
      <c r="S6" s="74">
        <f t="shared" si="3"/>
        <v>10.6</v>
      </c>
      <c r="U6" s="331">
        <v>45838</v>
      </c>
      <c r="V6" s="3" t="s">
        <v>2407</v>
      </c>
      <c r="W6" s="3" t="s">
        <v>2408</v>
      </c>
      <c r="X6" s="3" t="s">
        <v>4154</v>
      </c>
      <c r="Y6" s="3" t="s">
        <v>2896</v>
      </c>
      <c r="Z6" s="3" t="s">
        <v>1360</v>
      </c>
      <c r="AA6" s="3" t="s">
        <v>219</v>
      </c>
      <c r="AB6" s="3">
        <v>312329.40000000002</v>
      </c>
      <c r="AC6" s="3">
        <v>549610.80000000005</v>
      </c>
      <c r="AD6" s="3" t="s">
        <v>2947</v>
      </c>
      <c r="AE6" s="3" t="s">
        <v>2950</v>
      </c>
      <c r="AF6" s="3">
        <v>6750000</v>
      </c>
      <c r="AG6" s="3">
        <v>0</v>
      </c>
      <c r="AH6" s="3" t="s">
        <v>1354</v>
      </c>
      <c r="AI6" s="3" t="s">
        <v>1354</v>
      </c>
      <c r="AJ6" s="3" t="str">
        <f>_xlfn.XLOOKUP($Z6,'Pune MIS'!$R:$R,'Pune MIS'!$O:$O)</f>
        <v>Warehouse</v>
      </c>
      <c r="AL6" s="3" t="str">
        <v>S P ENTERPRISES</v>
      </c>
      <c r="AM6" s="76">
        <f t="shared" si="4"/>
        <v>0</v>
      </c>
    </row>
    <row r="7" spans="1:39" ht="15.6" x14ac:dyDescent="0.3">
      <c r="B7" s="64" t="str">
        <f>_xlfn.XLOOKUP(C7,Details!$G$5:$G$243,Details!$F$5:$F$243)</f>
        <v>Customs duty</v>
      </c>
      <c r="C7" s="11"/>
      <c r="D7" s="65">
        <f>SUMIFS(Details!$Q$5:$Q$243,Details!$G$5:$G$243,'AP &amp; AR'!C7)</f>
        <v>0</v>
      </c>
      <c r="F7" s="65"/>
      <c r="G7" s="64" t="str">
        <v>BBLPY2170E</v>
      </c>
      <c r="H7" s="64" t="str">
        <v>24BBLPY2170E1ZK</v>
      </c>
      <c r="I7" s="65" t="str">
        <f>(_xlfn.XLOOKUP(H7,Details!$AR$5:$AR$243,Details!$AQ$5:$AQ$243))</f>
        <v>H R STEEL TRADERS</v>
      </c>
      <c r="J7" s="65">
        <f>SUMIFS(Details!BB:BB,Details!AQ:AQ,'AP &amp; AR'!$I7)</f>
        <v>11030</v>
      </c>
      <c r="K7" s="65">
        <f>SUMIFS(Details!BO:BO,Details!AQ:AQ,'AP &amp; AR'!$I7)</f>
        <v>39550</v>
      </c>
      <c r="L7" s="65">
        <f>SUMIFS(Details!BP:BP,Details!AQ:AQ,'AP &amp; AR'!$I7)</f>
        <v>5515</v>
      </c>
      <c r="M7" s="68">
        <f t="shared" si="0"/>
        <v>0.13944374209860935</v>
      </c>
      <c r="N7" s="11">
        <f>SUMIFS(Details!$AY$5:$AY246,Details!$AQ$5:$AQ246,'AP &amp; AR'!$I7)</f>
        <v>39550</v>
      </c>
      <c r="O7" s="65">
        <f>-SUMIFS(Details!$BZ$5:$BZ246,Details!$AQ$5:$AQ246,'AP &amp; AR'!$I7)</f>
        <v>0</v>
      </c>
      <c r="P7" s="69">
        <f t="shared" si="1"/>
        <v>0</v>
      </c>
      <c r="Q7" s="65" cm="1">
        <f t="array" ref="Q7">COUNTA(_xlfn.UNIQUE(_xlfn._xlws.FILTER(Details!AO243:AO246,Details!AQ243:AQ246='AP &amp; AR'!$I7)))</f>
        <v>1</v>
      </c>
      <c r="R7" s="11">
        <f t="shared" si="2"/>
        <v>39550</v>
      </c>
      <c r="S7" s="74">
        <f t="shared" si="3"/>
        <v>3.5856754306436991</v>
      </c>
      <c r="U7" s="331">
        <v>45939</v>
      </c>
      <c r="V7" s="3" t="s">
        <v>2407</v>
      </c>
      <c r="W7" s="3" t="s">
        <v>2408</v>
      </c>
      <c r="X7" s="3" t="s">
        <v>4155</v>
      </c>
      <c r="Y7" s="3" t="s">
        <v>2889</v>
      </c>
      <c r="Z7" s="3" t="s">
        <v>2004</v>
      </c>
      <c r="AA7" s="3" t="s">
        <v>1643</v>
      </c>
      <c r="AB7" s="3">
        <v>11416.69</v>
      </c>
      <c r="AC7" s="3">
        <v>25912.84</v>
      </c>
      <c r="AD7" s="3" t="s">
        <v>2952</v>
      </c>
      <c r="AE7" s="3" t="s">
        <v>1644</v>
      </c>
      <c r="AF7" s="3">
        <v>500000</v>
      </c>
      <c r="AG7" s="3">
        <v>0</v>
      </c>
      <c r="AH7" s="3" t="s">
        <v>1354</v>
      </c>
      <c r="AI7" s="3" t="s">
        <v>3310</v>
      </c>
      <c r="AJ7" s="3" t="e">
        <f>_xlfn.XLOOKUP($Z7,'Pune MIS'!$R:$R,'Pune MIS'!$O:$O)</f>
        <v>#N/A</v>
      </c>
      <c r="AL7" s="3" t="str">
        <v>AR TRADERS</v>
      </c>
      <c r="AM7" s="76">
        <f t="shared" si="4"/>
        <v>0</v>
      </c>
    </row>
    <row r="8" spans="1:39" ht="15.6" x14ac:dyDescent="0.3">
      <c r="B8" s="64" t="str">
        <f>_xlfn.XLOOKUP(C8,Details!$G$5:$G$243,Details!$F$5:$F$243)</f>
        <v>Customs duty</v>
      </c>
      <c r="C8" s="11"/>
      <c r="D8" s="65">
        <f>SUMIFS(Details!$Q$5:$Q$243,Details!$G$5:$G$243,'AP &amp; AR'!C8)</f>
        <v>0</v>
      </c>
      <c r="F8" s="65"/>
      <c r="G8" s="3" t="str">
        <v>AEDFS4100C</v>
      </c>
      <c r="H8" s="3" t="str">
        <v>24AEDFS4100C1ZS</v>
      </c>
      <c r="I8" s="65" t="str">
        <f>(_xlfn.XLOOKUP(H8,Details!$AR$5:$AR$243,Details!$AQ$5:$AQ$243))</f>
        <v>STAR DECONTAMINATION AND RECYCLING</v>
      </c>
      <c r="J8" s="65">
        <f>SUMIFS(Details!BB:BB,Details!AQ:AQ,'AP &amp; AR'!$I8)</f>
        <v>441</v>
      </c>
      <c r="K8" s="65">
        <f>SUMIFS(Details!BO:BO,Details!AQ:AQ,'AP &amp; AR'!$I8)</f>
        <v>176400</v>
      </c>
      <c r="L8" s="65">
        <f>SUMIFS(Details!BP:BP,Details!AQ:AQ,'AP &amp; AR'!$I8)</f>
        <v>22575</v>
      </c>
      <c r="M8" s="68">
        <f t="shared" si="0"/>
        <v>0.12797619047619047</v>
      </c>
      <c r="N8" s="11">
        <f>SUMIFS(Details!$AY$5:$AY258,Details!$AQ$5:$AQ258,'AP &amp; AR'!$I8)</f>
        <v>176400</v>
      </c>
      <c r="O8" s="65">
        <f>-SUMIFS(Details!$BZ$5:$BZ258,Details!$AQ$5:$AQ258,'AP &amp; AR'!$I8)</f>
        <v>0</v>
      </c>
      <c r="P8" s="69">
        <f t="shared" si="1"/>
        <v>0</v>
      </c>
      <c r="Q8" s="65" cm="1">
        <f t="array" ref="Q8">COUNTA(_xlfn.UNIQUE(_xlfn._xlws.FILTER(Details!AO243:AO258,Details!AQ243:AQ258='AP &amp; AR'!$I8)))</f>
        <v>1</v>
      </c>
      <c r="R8" s="11">
        <f t="shared" si="2"/>
        <v>176400</v>
      </c>
      <c r="S8" s="74">
        <v>0</v>
      </c>
      <c r="U8" s="331">
        <v>45951</v>
      </c>
      <c r="V8" s="3" t="s">
        <v>2407</v>
      </c>
      <c r="W8" s="3" t="s">
        <v>2408</v>
      </c>
      <c r="X8" s="3" t="s">
        <v>4156</v>
      </c>
      <c r="Y8" s="3" t="s">
        <v>2890</v>
      </c>
      <c r="Z8" s="3" t="s">
        <v>2176</v>
      </c>
      <c r="AA8" s="3" t="s">
        <v>309</v>
      </c>
      <c r="AB8" s="3">
        <v>22934.6</v>
      </c>
      <c r="AC8" s="3">
        <v>167934.6</v>
      </c>
      <c r="AD8" s="3" t="s">
        <v>2953</v>
      </c>
      <c r="AE8" s="3" t="s">
        <v>310</v>
      </c>
      <c r="AF8" s="3">
        <v>500000</v>
      </c>
      <c r="AG8" s="3">
        <v>0</v>
      </c>
      <c r="AH8" s="3" t="s">
        <v>1354</v>
      </c>
      <c r="AI8" s="3" t="s">
        <v>3310</v>
      </c>
      <c r="AJ8" s="3" t="e">
        <f>_xlfn.XLOOKUP($Z8,'Pune MIS'!$R:$R,'Pune MIS'!$O:$O)</f>
        <v>#N/A</v>
      </c>
      <c r="AL8" s="3" t="str">
        <v>YASH ENTERPRISES</v>
      </c>
      <c r="AM8" s="76">
        <f t="shared" si="4"/>
        <v>0</v>
      </c>
    </row>
    <row r="9" spans="1:39" ht="15.6" x14ac:dyDescent="0.3">
      <c r="B9" s="64" t="str">
        <f>_xlfn.XLOOKUP(C9,Details!$G$5:$G$243,Details!$F$5:$F$243)</f>
        <v>Customs duty</v>
      </c>
      <c r="C9" s="11"/>
      <c r="D9" s="65">
        <f>SUMIFS(Details!$Q$5:$Q$243,Details!$G$5:$G$243,'AP &amp; AR'!C9)</f>
        <v>0</v>
      </c>
      <c r="F9" s="65"/>
      <c r="G9" s="3" t="str">
        <v>BEXPS4386H</v>
      </c>
      <c r="H9" s="3" t="str">
        <v>19BEXPS4386H1ZF</v>
      </c>
      <c r="I9" s="65" t="str">
        <f>(_xlfn.XLOOKUP(H9,Details!$AR$5:$AR$243,Details!$AQ$5:$AQ$243))</f>
        <v>SHARMA &amp; SONS</v>
      </c>
      <c r="J9" s="65">
        <f>SUMIFS(Details!BB:BB,Details!AQ:AQ,'AP &amp; AR'!$I9)</f>
        <v>8100</v>
      </c>
      <c r="K9" s="65">
        <f>SUMIFS(Details!BO:BO,Details!AQ:AQ,'AP &amp; AR'!$I9)</f>
        <v>210600</v>
      </c>
      <c r="L9" s="65">
        <f>SUMIFS(Details!BP:BP,Details!AQ:AQ,'AP &amp; AR'!$I9)</f>
        <v>40500</v>
      </c>
      <c r="M9" s="68">
        <f t="shared" si="0"/>
        <v>0.19230769230769232</v>
      </c>
      <c r="N9" s="11">
        <f>SUMIFS(Details!$AY$5:$AY259,Details!$AQ$5:$AQ259,'AP &amp; AR'!$I9)</f>
        <v>210600</v>
      </c>
      <c r="O9" s="65">
        <f>-SUMIFS(Details!$BZ$5:$BZ259,Details!$AQ$5:$AQ259,'AP &amp; AR'!$I9)</f>
        <v>0</v>
      </c>
      <c r="P9" s="69">
        <f t="shared" si="1"/>
        <v>0</v>
      </c>
      <c r="Q9" s="65" cm="1">
        <f t="array" ref="Q9">COUNTA(_xlfn.UNIQUE(_xlfn._xlws.FILTER(Details!AO243:AO259,Details!AQ243:AQ259='AP &amp; AR'!$I9)))</f>
        <v>1</v>
      </c>
      <c r="R9" s="11">
        <f t="shared" si="2"/>
        <v>210600</v>
      </c>
      <c r="S9" s="74">
        <f t="shared" si="3"/>
        <v>26</v>
      </c>
      <c r="U9" s="331">
        <v>45966</v>
      </c>
      <c r="V9" s="3" t="s">
        <v>2407</v>
      </c>
      <c r="W9" s="3" t="s">
        <v>2408</v>
      </c>
      <c r="X9" s="3" t="s">
        <v>4157</v>
      </c>
      <c r="Y9" s="3" t="s">
        <v>2891</v>
      </c>
      <c r="Z9" s="3" t="s">
        <v>2245</v>
      </c>
      <c r="AA9" s="3" t="s">
        <v>1643</v>
      </c>
      <c r="AB9" s="3">
        <v>13050</v>
      </c>
      <c r="AC9" s="3">
        <v>13050</v>
      </c>
      <c r="AD9" s="3" t="s">
        <v>2952</v>
      </c>
      <c r="AE9" s="3" t="s">
        <v>1644</v>
      </c>
      <c r="AF9" s="3">
        <v>500000</v>
      </c>
      <c r="AG9" s="3">
        <v>0</v>
      </c>
      <c r="AH9" s="3" t="s">
        <v>1354</v>
      </c>
      <c r="AI9" s="3" t="s">
        <v>3310</v>
      </c>
      <c r="AJ9" s="3" t="e">
        <f>_xlfn.XLOOKUP($Z9,'Pune MIS'!$R:$R,'Pune MIS'!$O:$O)</f>
        <v>#N/A</v>
      </c>
      <c r="AL9" s="3" t="str">
        <v>HINDALCO INDUSTRIES LIMITED</v>
      </c>
      <c r="AM9" s="76">
        <f t="shared" si="4"/>
        <v>0</v>
      </c>
    </row>
    <row r="10" spans="1:39" ht="15.6" x14ac:dyDescent="0.3">
      <c r="B10" s="64" t="str">
        <f>_xlfn.XLOOKUP(C10,Details!$G$5:$G$243,Details!$F$5:$F$243)</f>
        <v>Customs duty</v>
      </c>
      <c r="D10" s="65">
        <f>SUMIFS(Details!$Q$5:$Q$243,Details!$G$5:$G$243,'AP &amp; AR'!C10)</f>
        <v>0</v>
      </c>
      <c r="G10" s="3" t="str">
        <v/>
      </c>
      <c r="H10" s="3">
        <v>0</v>
      </c>
      <c r="I10" s="65" t="e">
        <f>(_xlfn.XLOOKUP(H10,Details!$AR$5:$AR$243,Details!$AQ$5:$AQ$243))</f>
        <v>#N/A</v>
      </c>
      <c r="J10" s="65">
        <f>SUMIFS(Details!BB:BB,Details!AQ:AQ,'AP &amp; AR'!$I10)</f>
        <v>0</v>
      </c>
      <c r="K10" s="65">
        <f>SUMIFS(Details!BO:BO,Details!AQ:AQ,'AP &amp; AR'!$I10)</f>
        <v>0</v>
      </c>
      <c r="L10" s="65">
        <f>SUMIFS(Details!BP:BP,Details!AQ:AQ,'AP &amp; AR'!$I10)</f>
        <v>0</v>
      </c>
      <c r="M10" s="68" t="e">
        <f t="shared" si="0"/>
        <v>#DIV/0!</v>
      </c>
      <c r="N10" s="11">
        <f>SUMIFS(Details!$AY$5:$AY260,Details!$AQ$5:$AQ260,'AP &amp; AR'!$I10)</f>
        <v>0</v>
      </c>
      <c r="O10" s="65">
        <f>-SUMIFS(Details!$BZ$5:$BZ260,Details!$AQ$5:$AQ260,'AP &amp; AR'!$I10)</f>
        <v>0</v>
      </c>
      <c r="P10" s="69" t="e">
        <f t="shared" si="1"/>
        <v>#DIV/0!</v>
      </c>
      <c r="Q10" s="65" cm="1">
        <f t="array" ref="Q10">COUNTA(_xlfn.UNIQUE(_xlfn._xlws.FILTER(Details!AO243:AO260,Details!AQ243:AQ260='AP &amp; AR'!$I10)))</f>
        <v>1</v>
      </c>
      <c r="R10" s="11">
        <f t="shared" si="2"/>
        <v>0</v>
      </c>
      <c r="S10" s="74" t="e">
        <f t="shared" si="3"/>
        <v>#DIV/0!</v>
      </c>
      <c r="U10" s="331">
        <v>45966</v>
      </c>
      <c r="V10" s="3" t="s">
        <v>2407</v>
      </c>
      <c r="W10" s="3" t="s">
        <v>2408</v>
      </c>
      <c r="X10" s="3" t="s">
        <v>4157</v>
      </c>
      <c r="Y10" s="3" t="s">
        <v>2891</v>
      </c>
      <c r="Z10" s="3" t="s">
        <v>2246</v>
      </c>
      <c r="AA10" s="3" t="s">
        <v>1643</v>
      </c>
      <c r="AB10" s="3">
        <v>15639</v>
      </c>
      <c r="AC10" s="3">
        <v>15639</v>
      </c>
      <c r="AD10" s="3" t="s">
        <v>2952</v>
      </c>
      <c r="AE10" s="3" t="s">
        <v>1644</v>
      </c>
      <c r="AF10" s="3">
        <v>500000</v>
      </c>
      <c r="AG10" s="3">
        <v>0</v>
      </c>
      <c r="AH10" s="3" t="s">
        <v>1354</v>
      </c>
      <c r="AI10" s="3" t="s">
        <v>3310</v>
      </c>
      <c r="AJ10" s="3" t="e">
        <f>_xlfn.XLOOKUP($Z10,'Pune MIS'!$R:$R,'Pune MIS'!$O:$O)</f>
        <v>#N/A</v>
      </c>
      <c r="AL10" s="3" t="str">
        <v>SAARLOHA ADVANCED MATERIALS PRIVATE LIMITED</v>
      </c>
      <c r="AM10" s="76">
        <f t="shared" si="4"/>
        <v>0</v>
      </c>
    </row>
    <row r="11" spans="1:39" ht="15.6" x14ac:dyDescent="0.3">
      <c r="B11" s="64" t="str">
        <f>_xlfn.XLOOKUP(C11,Details!$G$5:$G$243,Details!$F$5:$F$243)</f>
        <v>Customs duty</v>
      </c>
      <c r="D11" s="65">
        <f>SUMIFS(Details!$Q$5:$Q$243,Details!$G$5:$G$243,'AP &amp; AR'!C11)</f>
        <v>0</v>
      </c>
      <c r="I11" s="65">
        <f>(_xlfn.XLOOKUP(H11,Details!$AR$5:$AR$243,Details!$AQ$5:$AQ$243))</f>
        <v>0</v>
      </c>
      <c r="J11" s="65">
        <f>SUMIFS(Details!BB:BB,Details!AQ:AQ,'AP &amp; AR'!$I11)</f>
        <v>0</v>
      </c>
      <c r="K11" s="65">
        <f>SUMIFS(Details!BO:BO,Details!AQ:AQ,'AP &amp; AR'!$I11)</f>
        <v>0</v>
      </c>
      <c r="L11" s="65">
        <f>SUMIFS(Details!BP:BP,Details!AQ:AQ,'AP &amp; AR'!$I11)</f>
        <v>0</v>
      </c>
      <c r="M11" s="68" t="e">
        <f t="shared" si="0"/>
        <v>#DIV/0!</v>
      </c>
      <c r="N11" s="11">
        <f>SUMIFS(Details!$AY$5:$AY261,Details!$AQ$5:$AQ261,'AP &amp; AR'!$I11)</f>
        <v>0</v>
      </c>
      <c r="O11" s="65">
        <f>-SUMIFS(Details!$BZ$5:$BZ261,Details!$AQ$5:$AQ261,'AP &amp; AR'!$I11)</f>
        <v>0</v>
      </c>
      <c r="P11" s="69" t="e">
        <f t="shared" si="1"/>
        <v>#DIV/0!</v>
      </c>
      <c r="Q11" s="65" cm="1">
        <f t="array" ref="Q11">COUNTA(_xlfn.UNIQUE(_xlfn._xlws.FILTER(Details!AO243:AO261,Details!AQ243:AQ261='AP &amp; AR'!$I11)))</f>
        <v>2</v>
      </c>
      <c r="R11" s="11">
        <f t="shared" si="2"/>
        <v>0</v>
      </c>
      <c r="S11" s="74" t="e">
        <f t="shared" si="3"/>
        <v>#DIV/0!</v>
      </c>
      <c r="U11" s="331">
        <v>46049</v>
      </c>
      <c r="V11" s="3" t="s">
        <v>2407</v>
      </c>
      <c r="W11" s="3" t="s">
        <v>2408</v>
      </c>
      <c r="X11" s="3" t="s">
        <v>1102</v>
      </c>
      <c r="Y11" s="3" t="s">
        <v>2892</v>
      </c>
      <c r="Z11" s="3" t="s">
        <v>2737</v>
      </c>
      <c r="AA11" s="3" t="s">
        <v>250</v>
      </c>
      <c r="AB11" s="3">
        <v>78643.78</v>
      </c>
      <c r="AC11" s="3">
        <v>457375.24</v>
      </c>
      <c r="AD11" s="3" t="s">
        <v>2949</v>
      </c>
      <c r="AE11" s="3" t="s">
        <v>251</v>
      </c>
      <c r="AF11" s="3">
        <v>12500000</v>
      </c>
      <c r="AG11" s="3">
        <v>0</v>
      </c>
      <c r="AH11" s="3" t="s">
        <v>1354</v>
      </c>
      <c r="AI11" s="3" t="s">
        <v>3310</v>
      </c>
      <c r="AJ11" s="3" t="e">
        <f>_xlfn.XLOOKUP($Z11,'Pune MIS'!$R:$R,'Pune MIS'!$O:$O)</f>
        <v>#N/A</v>
      </c>
      <c r="AL11" s="3" t="str">
        <v>STAR DECONTAMINATION AND RECYCLING</v>
      </c>
      <c r="AM11" s="76">
        <f t="shared" si="4"/>
        <v>0</v>
      </c>
    </row>
    <row r="12" spans="1:39" ht="15.6" hidden="1" x14ac:dyDescent="0.3">
      <c r="B12" s="64" t="str">
        <f>_xlfn.XLOOKUP(C12,Details!$G$5:$G$243,Details!$F$5:$F$243)</f>
        <v>Customs duty</v>
      </c>
      <c r="C12" s="11"/>
      <c r="D12" s="65">
        <f>SUMIFS(Details!$Q$5:$Q$243,Details!$G$5:$G$243,'AP &amp; AR'!C12)</f>
        <v>0</v>
      </c>
      <c r="G12" s="64"/>
      <c r="H12" s="64"/>
      <c r="I12" s="65">
        <f>(_xlfn.XLOOKUP(H12,Details!$AR$5:$AR$243,Details!$AQ$5:$AQ$243))</f>
        <v>0</v>
      </c>
      <c r="J12" s="65">
        <f>SUMIFS(Details!BB:BB,Details!AQ:AQ,'AP &amp; AR'!$I12)</f>
        <v>0</v>
      </c>
      <c r="K12" s="65">
        <f>SUMIFS(Details!BO:BO,Details!AQ:AQ,'AP &amp; AR'!$I12)</f>
        <v>0</v>
      </c>
      <c r="L12" s="65">
        <f>SUMIFS(Details!BP:BP,Details!AQ:AQ,'AP &amp; AR'!$I12)</f>
        <v>0</v>
      </c>
      <c r="M12" s="68" t="e">
        <f t="shared" ref="M12" si="5">L12/K12</f>
        <v>#DIV/0!</v>
      </c>
      <c r="N12" s="11">
        <f>SUMIFS(Details!$AY$5:$AY262,Details!$AQ$5:$AQ262,'AP &amp; AR'!$I12)</f>
        <v>0</v>
      </c>
      <c r="O12" s="65">
        <f>-SUMIFS(Details!$BZ$5:$BZ262,Details!$AQ$5:$AQ262,'AP &amp; AR'!$I12)</f>
        <v>0</v>
      </c>
      <c r="P12" s="69" t="e">
        <f t="shared" ref="P12" si="6">O12/N12</f>
        <v>#DIV/0!</v>
      </c>
      <c r="Q12" s="65" cm="1">
        <f t="array" ref="Q12">COUNTA(_xlfn.UNIQUE(_xlfn._xlws.FILTER(Details!AO243:AO262,Details!AQ243:AQ262='AP &amp; AR'!$I12)))</f>
        <v>2</v>
      </c>
      <c r="R12" s="11">
        <f t="shared" ref="R12" si="7">N12/Q12</f>
        <v>0</v>
      </c>
      <c r="S12" s="74" t="e">
        <f t="shared" ref="S12" si="8">N12/J12</f>
        <v>#DIV/0!</v>
      </c>
      <c r="U12" s="331">
        <v>46076</v>
      </c>
      <c r="V12" s="3" t="s">
        <v>2407</v>
      </c>
      <c r="W12" s="3" t="s">
        <v>2408</v>
      </c>
      <c r="X12" s="3" t="s">
        <v>4158</v>
      </c>
      <c r="Y12" s="3" t="s">
        <v>2897</v>
      </c>
      <c r="Z12" s="3" t="s">
        <v>2835</v>
      </c>
      <c r="AA12" s="3" t="s">
        <v>2435</v>
      </c>
      <c r="AB12" s="3">
        <v>2863.98</v>
      </c>
      <c r="AC12" s="3">
        <v>1598003.2</v>
      </c>
      <c r="AD12" s="3" t="s">
        <v>2949</v>
      </c>
      <c r="AE12" s="3" t="s">
        <v>2954</v>
      </c>
      <c r="AF12" s="3">
        <v>10000000</v>
      </c>
      <c r="AG12" s="3">
        <v>0</v>
      </c>
      <c r="AH12" s="3" t="s">
        <v>3008</v>
      </c>
      <c r="AI12" s="3" t="s">
        <v>3310</v>
      </c>
      <c r="AJ12" s="3" t="str">
        <f>_xlfn.XLOOKUP($Z12,'Pune MIS'!$R:$R,'Pune MIS'!$O:$O)</f>
        <v>Warehouse</v>
      </c>
      <c r="AL12" s="3" t="str">
        <v>RETECK ENVIROTECH PRIVATE LIMITED</v>
      </c>
      <c r="AM12" s="76">
        <f t="shared" si="4"/>
        <v>0</v>
      </c>
    </row>
    <row r="13" spans="1:39" ht="15.6" hidden="1" x14ac:dyDescent="0.3">
      <c r="B13" s="64" t="str">
        <f>_xlfn.XLOOKUP(C13,Details!$G$5:$G$243,Details!$F$5:$F$243)</f>
        <v>Customs duty</v>
      </c>
      <c r="C13" s="11"/>
      <c r="D13" s="65">
        <f>SUMIFS(Details!$Q$5:$Q$243,Details!$G$5:$G$243,'AP &amp; AR'!C13)</f>
        <v>0</v>
      </c>
      <c r="G13" s="64"/>
      <c r="H13" s="64"/>
      <c r="I13" s="65">
        <f>(_xlfn.XLOOKUP(H13,Details!$AR$5:$AR$243,Details!$AQ$5:$AQ$243))</f>
        <v>0</v>
      </c>
      <c r="J13" s="65">
        <f>SUMIFS(Details!BB:BB,Details!AQ:AQ,'AP &amp; AR'!$I13)</f>
        <v>0</v>
      </c>
      <c r="K13" s="65">
        <f>SUMIFS(Details!BO:BO,Details!AQ:AQ,'AP &amp; AR'!$I13)</f>
        <v>0</v>
      </c>
      <c r="L13" s="65">
        <f>SUMIFS(Details!BP:BP,Details!AQ:AQ,'AP &amp; AR'!$I13)</f>
        <v>0</v>
      </c>
      <c r="M13" s="68" t="e">
        <f t="shared" ref="M13:M17" si="9">L13/K13</f>
        <v>#DIV/0!</v>
      </c>
      <c r="N13" s="11">
        <f>SUMIFS(Details!$AY$5:$AY263,Details!$AQ$5:$AQ263,'AP &amp; AR'!$I13)</f>
        <v>0</v>
      </c>
      <c r="O13" s="65">
        <f>-SUMIFS(Details!$BZ$5:$BZ263,Details!$AQ$5:$AQ263,'AP &amp; AR'!$I13)</f>
        <v>0</v>
      </c>
      <c r="P13" s="69" t="e">
        <f t="shared" ref="P13:P17" si="10">O13/N13</f>
        <v>#DIV/0!</v>
      </c>
      <c r="Q13" s="65" cm="1">
        <f t="array" ref="Q13">COUNTA(_xlfn.UNIQUE(_xlfn._xlws.FILTER(Details!AO243:AO263,Details!AQ243:AQ263='AP &amp; AR'!$I13)))</f>
        <v>2</v>
      </c>
      <c r="R13" s="11">
        <f t="shared" ref="R13:R17" si="11">N13/Q13</f>
        <v>0</v>
      </c>
      <c r="S13" s="74" t="e">
        <f t="shared" ref="S13:S17" si="12">N13/J13</f>
        <v>#DIV/0!</v>
      </c>
      <c r="U13" s="331">
        <v>46072</v>
      </c>
      <c r="V13" s="3" t="s">
        <v>2407</v>
      </c>
      <c r="W13" s="3" t="s">
        <v>2408</v>
      </c>
      <c r="X13" s="3" t="s">
        <v>2347</v>
      </c>
      <c r="Y13" s="3" t="s">
        <v>3314</v>
      </c>
      <c r="Z13" s="3" t="s">
        <v>2815</v>
      </c>
      <c r="AA13" s="3" t="s">
        <v>1465</v>
      </c>
      <c r="AB13" s="3">
        <v>4453.08</v>
      </c>
      <c r="AC13" s="3">
        <v>809149.58</v>
      </c>
      <c r="AD13" s="3" t="s">
        <v>2955</v>
      </c>
      <c r="AE13" s="3" t="s">
        <v>1489</v>
      </c>
      <c r="AF13" s="3">
        <v>30000000</v>
      </c>
      <c r="AG13" s="3">
        <v>0</v>
      </c>
      <c r="AH13" s="3" t="s">
        <v>1354</v>
      </c>
      <c r="AI13" s="3" t="s">
        <v>3310</v>
      </c>
      <c r="AJ13" s="3" t="str">
        <f>_xlfn.XLOOKUP($Z13,'Pune MIS'!$R:$R,'Pune MIS'!$O:$O)</f>
        <v>Warehouse</v>
      </c>
      <c r="AL13" s="3" t="str">
        <v>JETY STEEL</v>
      </c>
      <c r="AM13" s="76">
        <f t="shared" si="4"/>
        <v>0</v>
      </c>
    </row>
    <row r="14" spans="1:39" ht="15.6" hidden="1" x14ac:dyDescent="0.3">
      <c r="B14" s="64" t="str">
        <f>_xlfn.XLOOKUP(C14,Details!$G$5:$G$243,Details!$F$5:$F$243)</f>
        <v>Customs duty</v>
      </c>
      <c r="C14" s="11"/>
      <c r="D14" s="65">
        <f>SUMIFS(Details!$Q$5:$Q$243,Details!$G$5:$G$243,'AP &amp; AR'!C14)</f>
        <v>0</v>
      </c>
      <c r="G14" s="64"/>
      <c r="H14" s="64"/>
      <c r="I14" s="65">
        <f>(_xlfn.XLOOKUP(H14,Details!$AR$5:$AR$243,Details!$AQ$5:$AQ$243))</f>
        <v>0</v>
      </c>
      <c r="J14" s="65">
        <f>SUMIFS(Details!BB:BB,Details!AQ:AQ,'AP &amp; AR'!$I14)</f>
        <v>0</v>
      </c>
      <c r="K14" s="65">
        <f>SUMIFS(Details!BO:BO,Details!AQ:AQ,'AP &amp; AR'!$I14)</f>
        <v>0</v>
      </c>
      <c r="L14" s="65">
        <f>SUMIFS(Details!BP:BP,Details!AQ:AQ,'AP &amp; AR'!$I14)</f>
        <v>0</v>
      </c>
      <c r="M14" s="68" t="e">
        <f t="shared" si="9"/>
        <v>#DIV/0!</v>
      </c>
      <c r="N14" s="11">
        <f>SUMIFS(Details!$AY$5:$AY264,Details!$AQ$5:$AQ264,'AP &amp; AR'!$I14)</f>
        <v>0</v>
      </c>
      <c r="O14" s="65">
        <f>-SUMIFS(Details!$BZ$5:$BZ264,Details!$AQ$5:$AQ264,'AP &amp; AR'!$I14)</f>
        <v>0</v>
      </c>
      <c r="P14" s="69" t="e">
        <f t="shared" si="10"/>
        <v>#DIV/0!</v>
      </c>
      <c r="Q14" s="65" cm="1">
        <f t="array" ref="Q14">COUNTA(_xlfn.UNIQUE(_xlfn._xlws.FILTER(Details!AO243:AO264,Details!AQ243:AQ264='AP &amp; AR'!$I14)))</f>
        <v>2</v>
      </c>
      <c r="R14" s="11">
        <f t="shared" si="11"/>
        <v>0</v>
      </c>
      <c r="S14" s="74" t="e">
        <f t="shared" si="12"/>
        <v>#DIV/0!</v>
      </c>
      <c r="U14" s="331">
        <v>46072</v>
      </c>
      <c r="V14" s="3" t="s">
        <v>2407</v>
      </c>
      <c r="W14" s="3" t="s">
        <v>2408</v>
      </c>
      <c r="X14" s="3" t="s">
        <v>2347</v>
      </c>
      <c r="Y14" s="3" t="s">
        <v>3314</v>
      </c>
      <c r="Z14" s="3" t="s">
        <v>2816</v>
      </c>
      <c r="AA14" s="3" t="s">
        <v>1465</v>
      </c>
      <c r="AB14" s="3">
        <v>5785.87</v>
      </c>
      <c r="AC14" s="3">
        <v>1023528.04</v>
      </c>
      <c r="AD14" s="3" t="s">
        <v>2955</v>
      </c>
      <c r="AE14" s="3" t="s">
        <v>1489</v>
      </c>
      <c r="AF14" s="3">
        <v>30000000</v>
      </c>
      <c r="AG14" s="3">
        <v>0</v>
      </c>
      <c r="AH14" s="3" t="s">
        <v>1354</v>
      </c>
      <c r="AI14" s="3" t="s">
        <v>3310</v>
      </c>
      <c r="AJ14" s="3" t="str">
        <f>_xlfn.XLOOKUP($Z14,'Pune MIS'!$R:$R,'Pune MIS'!$O:$O)</f>
        <v>Warehouse</v>
      </c>
      <c r="AL14" s="3" t="str">
        <v>MUNGIPA CORPORATION INDIA PRIVATE LIMITED</v>
      </c>
      <c r="AM14" s="76">
        <f t="shared" si="4"/>
        <v>0</v>
      </c>
    </row>
    <row r="15" spans="1:39" ht="15.6" hidden="1" x14ac:dyDescent="0.3">
      <c r="B15" s="64" t="str">
        <f>_xlfn.XLOOKUP(C15,Details!$G$5:$G$243,Details!$F$5:$F$243)</f>
        <v>Customs duty</v>
      </c>
      <c r="D15" s="65">
        <f>SUMIFS(Details!$Q$5:$Q$243,Details!$G$5:$G$243,'AP &amp; AR'!C15)</f>
        <v>0</v>
      </c>
      <c r="I15" s="65">
        <f>(_xlfn.XLOOKUP(H15,Details!$AR$5:$AR$243,Details!$AQ$5:$AQ$243))</f>
        <v>0</v>
      </c>
      <c r="J15" s="65">
        <f>SUMIFS(Details!BB:BB,Details!AQ:AQ,'AP &amp; AR'!$I15)</f>
        <v>0</v>
      </c>
      <c r="K15" s="65">
        <f>SUMIFS(Details!BO:BO,Details!AQ:AQ,'AP &amp; AR'!$I15)</f>
        <v>0</v>
      </c>
      <c r="L15" s="65">
        <f>SUMIFS(Details!BP:BP,Details!AQ:AQ,'AP &amp; AR'!$I15)</f>
        <v>0</v>
      </c>
      <c r="M15" s="68" t="e">
        <f t="shared" si="9"/>
        <v>#DIV/0!</v>
      </c>
      <c r="N15" s="11">
        <f>SUMIFS(Details!$AY$5:$AY265,Details!$AQ$5:$AQ265,'AP &amp; AR'!$I15)</f>
        <v>0</v>
      </c>
      <c r="O15" s="65">
        <f>-SUMIFS(Details!$BZ$5:$BZ265,Details!$AQ$5:$AQ265,'AP &amp; AR'!$I15)</f>
        <v>0</v>
      </c>
      <c r="P15" s="69" t="e">
        <f t="shared" si="10"/>
        <v>#DIV/0!</v>
      </c>
      <c r="Q15" s="65" cm="1">
        <f t="array" ref="Q15">COUNTA(_xlfn.UNIQUE(_xlfn._xlws.FILTER(Details!AO243:AO265,Details!AQ243:AQ265='AP &amp; AR'!$I15)))</f>
        <v>2</v>
      </c>
      <c r="R15" s="11">
        <f t="shared" si="11"/>
        <v>0</v>
      </c>
      <c r="S15" s="74" t="e">
        <f t="shared" si="12"/>
        <v>#DIV/0!</v>
      </c>
      <c r="U15" s="331">
        <v>46073</v>
      </c>
      <c r="V15" s="3" t="s">
        <v>2407</v>
      </c>
      <c r="W15" s="3" t="s">
        <v>2408</v>
      </c>
      <c r="X15" s="3" t="s">
        <v>4159</v>
      </c>
      <c r="Y15" s="3" t="s">
        <v>2895</v>
      </c>
      <c r="Z15" s="3" t="s">
        <v>2817</v>
      </c>
      <c r="AA15" s="3" t="s">
        <v>1465</v>
      </c>
      <c r="AB15" s="3">
        <v>10701.37</v>
      </c>
      <c r="AC15" s="3">
        <v>1080830.6200000001</v>
      </c>
      <c r="AD15" s="3" t="s">
        <v>2955</v>
      </c>
      <c r="AE15" s="3" t="s">
        <v>1489</v>
      </c>
      <c r="AF15" s="3">
        <v>30000000</v>
      </c>
      <c r="AG15" s="3">
        <v>0</v>
      </c>
      <c r="AH15" s="3" t="s">
        <v>1354</v>
      </c>
      <c r="AI15" s="3" t="s">
        <v>3310</v>
      </c>
      <c r="AJ15" s="3" t="str">
        <f>_xlfn.XLOOKUP($Z15,'Pune MIS'!$R:$R,'Pune MIS'!$O:$O)</f>
        <v>Warehouse</v>
      </c>
      <c r="AL15" s="3" t="str">
        <v>JSW STEEL LIMITED (27)</v>
      </c>
      <c r="AM15" s="76">
        <f t="shared" si="4"/>
        <v>7079940.2300000004</v>
      </c>
    </row>
    <row r="16" spans="1:39" ht="15.6" hidden="1" x14ac:dyDescent="0.3">
      <c r="B16" s="64" t="str">
        <f>_xlfn.XLOOKUP(C16,Details!$G$5:$G$243,Details!$F$5:$F$243)</f>
        <v>Customs duty</v>
      </c>
      <c r="C16" s="11"/>
      <c r="D16" s="65">
        <f>SUMIFS(Details!$Q$5:$Q$243,Details!$G$5:$G$243,'AP &amp; AR'!C16)</f>
        <v>0</v>
      </c>
      <c r="G16" s="64"/>
      <c r="H16" s="64"/>
      <c r="I16" s="65">
        <f>(_xlfn.XLOOKUP(H16,Details!$AR$5:$AR$243,Details!$AQ$5:$AQ$243))</f>
        <v>0</v>
      </c>
      <c r="J16" s="65">
        <f>SUMIFS(Details!BB:BB,Details!AQ:AQ,'AP &amp; AR'!$I16)</f>
        <v>0</v>
      </c>
      <c r="K16" s="65">
        <f>SUMIFS(Details!BO:BO,Details!AQ:AQ,'AP &amp; AR'!$I16)</f>
        <v>0</v>
      </c>
      <c r="L16" s="65">
        <f>SUMIFS(Details!BP:BP,Details!AQ:AQ,'AP &amp; AR'!$I16)</f>
        <v>0</v>
      </c>
      <c r="M16" s="68" t="e">
        <f t="shared" si="9"/>
        <v>#DIV/0!</v>
      </c>
      <c r="N16" s="11">
        <f>SUMIFS(Details!$AY$5:$AY266,Details!$AQ$5:$AQ266,'AP &amp; AR'!$I16)</f>
        <v>0</v>
      </c>
      <c r="O16" s="65">
        <f>-SUMIFS(Details!$BZ$5:$BZ266,Details!$AQ$5:$AQ266,'AP &amp; AR'!$I16)</f>
        <v>0</v>
      </c>
      <c r="P16" s="69" t="e">
        <f t="shared" si="10"/>
        <v>#DIV/0!</v>
      </c>
      <c r="Q16" s="65" cm="1">
        <f t="array" ref="Q16">COUNTA(_xlfn.UNIQUE(_xlfn._xlws.FILTER(Details!AO243:AO266,Details!AQ243:AQ266='AP &amp; AR'!$I16)))</f>
        <v>2</v>
      </c>
      <c r="R16" s="11">
        <f t="shared" si="11"/>
        <v>0</v>
      </c>
      <c r="S16" s="74" t="e">
        <f t="shared" si="12"/>
        <v>#DIV/0!</v>
      </c>
      <c r="U16" s="331">
        <v>46074</v>
      </c>
      <c r="V16" s="3" t="s">
        <v>2407</v>
      </c>
      <c r="W16" s="3" t="s">
        <v>2408</v>
      </c>
      <c r="X16" s="3" t="s">
        <v>4109</v>
      </c>
      <c r="Y16" s="3" t="s">
        <v>3315</v>
      </c>
      <c r="Z16" s="3" t="s">
        <v>2818</v>
      </c>
      <c r="AA16" s="3" t="s">
        <v>1465</v>
      </c>
      <c r="AB16" s="3">
        <v>11362.74</v>
      </c>
      <c r="AC16" s="3">
        <v>1147684.1200000001</v>
      </c>
      <c r="AD16" s="3" t="s">
        <v>2955</v>
      </c>
      <c r="AE16" s="3" t="s">
        <v>1489</v>
      </c>
      <c r="AF16" s="3">
        <v>30000000</v>
      </c>
      <c r="AG16" s="3">
        <v>0</v>
      </c>
      <c r="AH16" s="3" t="s">
        <v>1354</v>
      </c>
      <c r="AI16" s="3" t="s">
        <v>3310</v>
      </c>
      <c r="AJ16" s="3" t="str">
        <f>_xlfn.XLOOKUP($Z16,'Pune MIS'!$R:$R,'Pune MIS'!$O:$O)</f>
        <v>Warehouse</v>
      </c>
      <c r="AL16" s="3" t="str">
        <v>SHARMA &amp; SONS</v>
      </c>
      <c r="AM16" s="76">
        <f t="shared" si="4"/>
        <v>0</v>
      </c>
    </row>
    <row r="17" spans="2:39" ht="15.6" hidden="1" x14ac:dyDescent="0.3">
      <c r="B17" s="64" t="str">
        <f>_xlfn.XLOOKUP(C17,Details!$G$5:$G$243,Details!$F$5:$F$243)</f>
        <v>Customs duty</v>
      </c>
      <c r="C17" s="11"/>
      <c r="D17" s="65">
        <f>SUMIFS(Details!$Q$5:$Q$243,Details!$G$5:$G$243,'AP &amp; AR'!C17)</f>
        <v>0</v>
      </c>
      <c r="G17" s="64"/>
      <c r="H17" s="64"/>
      <c r="I17" s="65">
        <f>(_xlfn.XLOOKUP(H17,Details!$AR$5:$AR$243,Details!$AQ$5:$AQ$243))</f>
        <v>0</v>
      </c>
      <c r="J17" s="65">
        <f>SUMIFS(Details!BB:BB,Details!AQ:AQ,'AP &amp; AR'!$I17)</f>
        <v>0</v>
      </c>
      <c r="K17" s="65">
        <f>SUMIFS(Details!BO:BO,Details!AQ:AQ,'AP &amp; AR'!$I17)</f>
        <v>0</v>
      </c>
      <c r="L17" s="65">
        <f>SUMIFS(Details!BP:BP,Details!AQ:AQ,'AP &amp; AR'!$I17)</f>
        <v>0</v>
      </c>
      <c r="M17" s="68" t="e">
        <f t="shared" si="9"/>
        <v>#DIV/0!</v>
      </c>
      <c r="N17" s="11">
        <f>SUMIFS(Details!$AY$5:$AY268,Details!$AQ$5:$AQ268,'AP &amp; AR'!$I17)</f>
        <v>0</v>
      </c>
      <c r="O17" s="65">
        <f>-SUMIFS(Details!$BZ$5:$BZ268,Details!$AQ$5:$AQ268,'AP &amp; AR'!$I17)</f>
        <v>0</v>
      </c>
      <c r="P17" s="69" t="e">
        <f t="shared" si="10"/>
        <v>#DIV/0!</v>
      </c>
      <c r="Q17" s="65" cm="1">
        <f t="array" ref="Q17">COUNTA(_xlfn.UNIQUE(_xlfn._xlws.FILTER(Details!AO243:AO268,Details!AQ243:AQ268='AP &amp; AR'!$I17)))</f>
        <v>2</v>
      </c>
      <c r="R17" s="11">
        <f t="shared" si="11"/>
        <v>0</v>
      </c>
      <c r="S17" s="74" t="e">
        <f t="shared" si="12"/>
        <v>#DIV/0!</v>
      </c>
      <c r="U17" s="331">
        <v>46075</v>
      </c>
      <c r="V17" s="3" t="s">
        <v>2407</v>
      </c>
      <c r="W17" s="3" t="s">
        <v>2408</v>
      </c>
      <c r="X17" s="3" t="s">
        <v>4110</v>
      </c>
      <c r="Y17" s="3" t="s">
        <v>3316</v>
      </c>
      <c r="Z17" s="3" t="s">
        <v>2819</v>
      </c>
      <c r="AA17" s="3" t="s">
        <v>1465</v>
      </c>
      <c r="AB17" s="3">
        <v>10039.75</v>
      </c>
      <c r="AC17" s="3">
        <v>1135899.1000000001</v>
      </c>
      <c r="AD17" s="3" t="s">
        <v>2955</v>
      </c>
      <c r="AE17" s="3" t="s">
        <v>1489</v>
      </c>
      <c r="AF17" s="3">
        <v>30000000</v>
      </c>
      <c r="AG17" s="3">
        <v>0</v>
      </c>
      <c r="AH17" s="3" t="s">
        <v>1354</v>
      </c>
      <c r="AI17" s="3" t="s">
        <v>3310</v>
      </c>
      <c r="AJ17" s="3" t="str">
        <f>_xlfn.XLOOKUP($Z17,'Pune MIS'!$R:$R,'Pune MIS'!$O:$O)</f>
        <v>Warehouse</v>
      </c>
      <c r="AL17" s="3" t="str">
        <v>NILKANTH TRADING COMPANY</v>
      </c>
      <c r="AM17" s="76">
        <f t="shared" si="4"/>
        <v>0</v>
      </c>
    </row>
    <row r="18" spans="2:39" ht="15.6" hidden="1" x14ac:dyDescent="0.3">
      <c r="G18" s="64"/>
      <c r="H18" s="64"/>
      <c r="I18" s="65">
        <f>(_xlfn.XLOOKUP(H18,Details!$AR$5:$AR$243,Details!$AQ$5:$AQ$243))</f>
        <v>0</v>
      </c>
      <c r="J18" s="65">
        <f>SUMIFS(Details!BB:BB,Details!AQ:AQ,'AP &amp; AR'!$I18)</f>
        <v>0</v>
      </c>
      <c r="K18" s="65">
        <f>SUMIFS(Details!BO:BO,Details!AQ:AQ,'AP &amp; AR'!$I18)</f>
        <v>0</v>
      </c>
      <c r="L18" s="65">
        <f>SUMIFS(Details!BP:BP,Details!AQ:AQ,'AP &amp; AR'!$I18)</f>
        <v>0</v>
      </c>
      <c r="M18" s="68" t="e">
        <f t="shared" ref="M18" si="13">L18/K18</f>
        <v>#DIV/0!</v>
      </c>
      <c r="N18" s="11">
        <f>SUMIFS(Details!$AY$5:$AY269,Details!$AQ$5:$AQ269,'AP &amp; AR'!$I18)</f>
        <v>0</v>
      </c>
      <c r="O18" s="65">
        <f>-SUMIFS(Details!$BZ$5:$BZ269,Details!$AQ$5:$AQ269,'AP &amp; AR'!$I18)</f>
        <v>0</v>
      </c>
      <c r="P18" s="69" t="e">
        <f t="shared" ref="P18" si="14">O18/N18</f>
        <v>#DIV/0!</v>
      </c>
      <c r="Q18" s="65" cm="1">
        <f t="array" ref="Q18">COUNTA(_xlfn.UNIQUE(_xlfn._xlws.FILTER(Details!AO243:AO269,Details!AQ243:AQ269='AP &amp; AR'!$I18)))</f>
        <v>2</v>
      </c>
      <c r="R18" s="11">
        <f t="shared" ref="R18" si="15">N18/Q18</f>
        <v>0</v>
      </c>
      <c r="S18" s="74" t="e">
        <f t="shared" ref="S18" si="16">N18/J18</f>
        <v>#DIV/0!</v>
      </c>
      <c r="U18" s="331">
        <v>46076</v>
      </c>
      <c r="V18" s="3" t="s">
        <v>2407</v>
      </c>
      <c r="W18" s="3" t="s">
        <v>2408</v>
      </c>
      <c r="X18" s="3" t="s">
        <v>4111</v>
      </c>
      <c r="Y18" s="3" t="s">
        <v>3317</v>
      </c>
      <c r="Z18" s="3" t="s">
        <v>2843</v>
      </c>
      <c r="AA18" s="3" t="s">
        <v>1465</v>
      </c>
      <c r="AB18" s="3">
        <v>10906.63</v>
      </c>
      <c r="AC18" s="3">
        <v>1101558</v>
      </c>
      <c r="AD18" s="3" t="s">
        <v>2955</v>
      </c>
      <c r="AE18" s="3" t="s">
        <v>1489</v>
      </c>
      <c r="AF18" s="3">
        <v>30000000</v>
      </c>
      <c r="AG18" s="3">
        <v>0</v>
      </c>
      <c r="AH18" s="3" t="s">
        <v>1354</v>
      </c>
      <c r="AI18" s="3" t="s">
        <v>3310</v>
      </c>
      <c r="AJ18" s="3" t="str">
        <f>_xlfn.XLOOKUP($Z18,'Pune MIS'!$R:$R,'Pune MIS'!$O:$O)</f>
        <v>Warehouse</v>
      </c>
      <c r="AL18" s="3" t="str">
        <v>R.H.TRADERS</v>
      </c>
      <c r="AM18" s="76">
        <f t="shared" si="4"/>
        <v>0</v>
      </c>
    </row>
    <row r="19" spans="2:39" ht="15.6" hidden="1" x14ac:dyDescent="0.3">
      <c r="U19" s="331">
        <v>46077</v>
      </c>
      <c r="V19" s="3" t="s">
        <v>2407</v>
      </c>
      <c r="W19" s="3" t="s">
        <v>2408</v>
      </c>
      <c r="X19" s="3" t="s">
        <v>4088</v>
      </c>
      <c r="Y19" s="3" t="s">
        <v>3318</v>
      </c>
      <c r="Z19" s="3" t="s">
        <v>2844</v>
      </c>
      <c r="AA19" s="3" t="s">
        <v>1465</v>
      </c>
      <c r="AB19" s="3">
        <v>10521.94</v>
      </c>
      <c r="AC19" s="3">
        <v>1062745.7</v>
      </c>
      <c r="AD19" s="3" t="s">
        <v>2955</v>
      </c>
      <c r="AE19" s="3" t="s">
        <v>1489</v>
      </c>
      <c r="AF19" s="3">
        <v>30000000</v>
      </c>
      <c r="AG19" s="3">
        <v>0</v>
      </c>
      <c r="AH19" s="3" t="s">
        <v>1354</v>
      </c>
      <c r="AI19" s="3" t="s">
        <v>3310</v>
      </c>
      <c r="AJ19" s="3" t="str">
        <f>_xlfn.XLOOKUP($Z19,'Pune MIS'!$R:$R,'Pune MIS'!$O:$O)</f>
        <v>Warehouse</v>
      </c>
      <c r="AL19" s="3">
        <v>0</v>
      </c>
      <c r="AM19" s="76">
        <v>0</v>
      </c>
    </row>
    <row r="20" spans="2:39" ht="15.6" hidden="1" x14ac:dyDescent="0.3">
      <c r="U20" s="331">
        <v>46077</v>
      </c>
      <c r="V20" s="3" t="s">
        <v>2407</v>
      </c>
      <c r="W20" s="3" t="s">
        <v>2408</v>
      </c>
      <c r="X20" s="3" t="s">
        <v>4088</v>
      </c>
      <c r="Y20" s="3" t="s">
        <v>3318</v>
      </c>
      <c r="Z20" s="3" t="s">
        <v>2845</v>
      </c>
      <c r="AA20" s="3" t="s">
        <v>1465</v>
      </c>
      <c r="AB20" s="3">
        <v>10084.35</v>
      </c>
      <c r="AC20" s="3">
        <v>1018448.28</v>
      </c>
      <c r="AD20" s="3" t="s">
        <v>2955</v>
      </c>
      <c r="AE20" s="3" t="s">
        <v>1489</v>
      </c>
      <c r="AF20" s="3">
        <v>30000000</v>
      </c>
      <c r="AG20" s="3">
        <v>0</v>
      </c>
      <c r="AH20" s="3" t="s">
        <v>1354</v>
      </c>
      <c r="AI20" s="3" t="s">
        <v>3310</v>
      </c>
      <c r="AJ20" s="3" t="str">
        <f>_xlfn.XLOOKUP($Z20,'Pune MIS'!$R:$R,'Pune MIS'!$O:$O)</f>
        <v>Warehouse</v>
      </c>
      <c r="AM20" s="76">
        <f t="shared" si="4"/>
        <v>0</v>
      </c>
    </row>
    <row r="21" spans="2:39" ht="15.6" hidden="1" x14ac:dyDescent="0.3">
      <c r="U21" s="331">
        <v>46079</v>
      </c>
      <c r="V21" s="3" t="s">
        <v>2407</v>
      </c>
      <c r="W21" s="3" t="s">
        <v>2408</v>
      </c>
      <c r="X21" s="3" t="s">
        <v>2279</v>
      </c>
      <c r="Y21" s="3" t="s">
        <v>3319</v>
      </c>
      <c r="Z21" s="3" t="s">
        <v>2847</v>
      </c>
      <c r="AA21" s="3" t="s">
        <v>1465</v>
      </c>
      <c r="AB21" s="3">
        <v>10876.46</v>
      </c>
      <c r="AC21" s="3">
        <v>1098509.1399999999</v>
      </c>
      <c r="AD21" s="3" t="s">
        <v>2955</v>
      </c>
      <c r="AE21" s="3" t="s">
        <v>1489</v>
      </c>
      <c r="AF21" s="3">
        <v>30000000</v>
      </c>
      <c r="AG21" s="3">
        <v>0</v>
      </c>
      <c r="AH21" s="3" t="s">
        <v>1354</v>
      </c>
      <c r="AI21" s="3" t="s">
        <v>3310</v>
      </c>
      <c r="AJ21" s="3" t="str">
        <f>_xlfn.XLOOKUP($Z21,'Pune MIS'!$R:$R,'Pune MIS'!$O:$O)</f>
        <v>Warehouse</v>
      </c>
      <c r="AM21" s="76"/>
    </row>
    <row r="22" spans="2:39" ht="15.6" hidden="1" x14ac:dyDescent="0.3">
      <c r="B22" s="3">
        <f>COUNTA(_xlfn.UNIQUE(B24:B61))-1</f>
        <v>7</v>
      </c>
      <c r="C22" s="3">
        <f>COUNTA(_xlfn.UNIQUE(C23:C53))-1</f>
        <v>20</v>
      </c>
      <c r="U22" s="331">
        <v>46079</v>
      </c>
      <c r="V22" s="3" t="s">
        <v>2407</v>
      </c>
      <c r="W22" s="3" t="s">
        <v>2408</v>
      </c>
      <c r="X22" s="3" t="s">
        <v>2279</v>
      </c>
      <c r="Y22" s="3" t="s">
        <v>3319</v>
      </c>
      <c r="Z22" s="3" t="s">
        <v>2846</v>
      </c>
      <c r="AA22" s="3" t="s">
        <v>1465</v>
      </c>
      <c r="AB22" s="3">
        <v>11025.06</v>
      </c>
      <c r="AC22" s="3">
        <v>1113546.2</v>
      </c>
      <c r="AD22" s="3" t="s">
        <v>2955</v>
      </c>
      <c r="AE22" s="3" t="s">
        <v>1489</v>
      </c>
      <c r="AF22" s="3">
        <v>30000000</v>
      </c>
      <c r="AG22" s="3">
        <v>0</v>
      </c>
      <c r="AH22" s="3" t="s">
        <v>1354</v>
      </c>
      <c r="AI22" s="3" t="s">
        <v>3310</v>
      </c>
      <c r="AJ22" s="3" t="str">
        <f>_xlfn.XLOOKUP($Z22,'Pune MIS'!$R:$R,'Pune MIS'!$O:$O)</f>
        <v>Warehouse</v>
      </c>
      <c r="AM22" s="76"/>
    </row>
    <row r="23" spans="2:39" ht="15.6" hidden="1" x14ac:dyDescent="0.3">
      <c r="B23" s="3" t="e" cm="1" vm="1">
        <f t="array" aca="1" ref="B23" ca="1">_xlfn.UNIQUE('Details PC'!AB4:AB421)</f>
        <v>#VALUE!</v>
      </c>
      <c r="C23" s="3" t="str" cm="1">
        <f t="array" ref="C23:C27">_xlfn.UNIQUE(Details!F4:F243)</f>
        <v>Vendor Name</v>
      </c>
      <c r="U23" s="331">
        <v>46080</v>
      </c>
      <c r="V23" s="3" t="s">
        <v>2407</v>
      </c>
      <c r="W23" s="3" t="s">
        <v>2408</v>
      </c>
      <c r="X23" s="3" t="s">
        <v>4160</v>
      </c>
      <c r="Y23" s="3" t="s">
        <v>3320</v>
      </c>
      <c r="Z23" s="3" t="s">
        <v>2848</v>
      </c>
      <c r="AA23" s="3" t="s">
        <v>1465</v>
      </c>
      <c r="AB23" s="3">
        <v>7321</v>
      </c>
      <c r="AC23" s="3">
        <v>739451.42</v>
      </c>
      <c r="AD23" s="3" t="s">
        <v>2955</v>
      </c>
      <c r="AE23" s="3" t="s">
        <v>1489</v>
      </c>
      <c r="AF23" s="3">
        <v>30000000</v>
      </c>
      <c r="AG23" s="3">
        <v>0</v>
      </c>
      <c r="AH23" s="3" t="s">
        <v>1354</v>
      </c>
      <c r="AI23" s="3" t="s">
        <v>3310</v>
      </c>
      <c r="AJ23" s="3" t="str">
        <f>_xlfn.XLOOKUP($Z23,'Pune MIS'!$R:$R,'Pune MIS'!$O:$O)</f>
        <v>Warehouse</v>
      </c>
      <c r="AM23" s="76"/>
    </row>
    <row r="24" spans="2:39" ht="15.6" hidden="1" x14ac:dyDescent="0.3">
      <c r="C24" s="3" t="str">
        <v>BLACK GOLD RECYCLING PRIVATE LIMITED</v>
      </c>
      <c r="U24" s="331">
        <v>46088</v>
      </c>
      <c r="V24" s="3" t="s">
        <v>2407</v>
      </c>
      <c r="W24" s="3" t="s">
        <v>2408</v>
      </c>
      <c r="X24" s="3" t="s">
        <v>4161</v>
      </c>
      <c r="Y24" s="3" t="s">
        <v>2898</v>
      </c>
      <c r="Z24" s="3" t="s">
        <v>2866</v>
      </c>
      <c r="AA24" s="3" t="s">
        <v>1465</v>
      </c>
      <c r="AB24" s="3">
        <v>5273.01</v>
      </c>
      <c r="AC24" s="3">
        <v>532592</v>
      </c>
      <c r="AD24" s="3" t="s">
        <v>2955</v>
      </c>
      <c r="AE24" s="3" t="s">
        <v>1489</v>
      </c>
      <c r="AF24" s="3">
        <v>30000000</v>
      </c>
      <c r="AG24" s="3">
        <v>0</v>
      </c>
      <c r="AH24" s="3" t="s">
        <v>1354</v>
      </c>
      <c r="AI24" s="3" t="s">
        <v>3310</v>
      </c>
      <c r="AJ24" s="3" t="str">
        <f>_xlfn.XLOOKUP($Z24,'Pune MIS'!$R:$R,'Pune MIS'!$O:$O)</f>
        <v>Warehouse</v>
      </c>
      <c r="AM24" s="76"/>
    </row>
    <row r="25" spans="2:39" x14ac:dyDescent="0.3">
      <c r="C25" s="3" t="str">
        <v>BIRLA COPPER ASOJ PRIVATE LIMITED</v>
      </c>
      <c r="U25" s="331">
        <v>46101</v>
      </c>
      <c r="V25" s="3" t="s">
        <v>2407</v>
      </c>
      <c r="W25" s="3" t="s">
        <v>2408</v>
      </c>
      <c r="X25" s="3" t="s">
        <v>1972</v>
      </c>
      <c r="Y25" s="3" t="s">
        <v>2894</v>
      </c>
      <c r="Z25" s="3" t="s">
        <v>2977</v>
      </c>
      <c r="AA25" s="3" t="s">
        <v>431</v>
      </c>
      <c r="AB25" s="3">
        <v>18277.900000000001</v>
      </c>
      <c r="AC25" s="3">
        <v>84379</v>
      </c>
      <c r="AD25" s="3" t="s">
        <v>2949</v>
      </c>
      <c r="AE25" s="3" t="s">
        <v>432</v>
      </c>
      <c r="AF25" s="3">
        <v>500000</v>
      </c>
      <c r="AG25" s="3">
        <v>0</v>
      </c>
      <c r="AH25" s="3" t="s">
        <v>1354</v>
      </c>
      <c r="AI25" s="3" t="s">
        <v>3310</v>
      </c>
      <c r="AJ25" s="3" t="e">
        <f>_xlfn.XLOOKUP($Z25,'Pune MIS'!$R:$R,'Pune MIS'!$O:$O)</f>
        <v>#N/A</v>
      </c>
    </row>
    <row r="26" spans="2:39" hidden="1" x14ac:dyDescent="0.3">
      <c r="C26" s="3" t="str">
        <v>Customs duty</v>
      </c>
      <c r="U26" s="331">
        <v>46102</v>
      </c>
      <c r="V26" s="3" t="s">
        <v>2407</v>
      </c>
      <c r="W26" s="3" t="s">
        <v>2408</v>
      </c>
      <c r="X26" s="3" t="s">
        <v>1972</v>
      </c>
      <c r="Y26" s="3" t="s">
        <v>2894</v>
      </c>
      <c r="Z26" s="3" t="s">
        <v>2979</v>
      </c>
      <c r="AA26" s="3" t="s">
        <v>250</v>
      </c>
      <c r="AB26" s="3">
        <v>75967.22</v>
      </c>
      <c r="AC26" s="3">
        <v>75967.22</v>
      </c>
      <c r="AD26" s="3" t="s">
        <v>2949</v>
      </c>
      <c r="AE26" s="3" t="s">
        <v>251</v>
      </c>
      <c r="AF26" s="3">
        <v>12500000</v>
      </c>
      <c r="AG26" s="3">
        <v>0</v>
      </c>
      <c r="AH26" s="3" t="s">
        <v>1354</v>
      </c>
      <c r="AI26" s="3" t="s">
        <v>3310</v>
      </c>
      <c r="AJ26" s="3" t="str">
        <f>_xlfn.XLOOKUP($Z26,'Pune MIS'!$R:$R,'Pune MIS'!$O:$O)</f>
        <v>Warehouse</v>
      </c>
    </row>
    <row r="27" spans="2:39" x14ac:dyDescent="0.3">
      <c r="C27" s="3">
        <v>0</v>
      </c>
      <c r="U27" s="331">
        <v>46105</v>
      </c>
      <c r="V27" s="3" t="s">
        <v>2407</v>
      </c>
      <c r="W27" s="3" t="s">
        <v>2408</v>
      </c>
      <c r="X27" s="3" t="s">
        <v>4162</v>
      </c>
      <c r="Y27" s="3" t="s">
        <v>2893</v>
      </c>
      <c r="Z27" s="3" t="s">
        <v>3017</v>
      </c>
      <c r="AA27" s="3" t="s">
        <v>250</v>
      </c>
      <c r="AB27" s="3">
        <v>103108.7</v>
      </c>
      <c r="AC27" s="3">
        <v>103108.7</v>
      </c>
      <c r="AD27" s="3" t="s">
        <v>2949</v>
      </c>
      <c r="AE27" s="3" t="s">
        <v>251</v>
      </c>
      <c r="AF27" s="3">
        <v>12500000</v>
      </c>
      <c r="AG27" s="3">
        <v>0</v>
      </c>
      <c r="AH27" s="3" t="s">
        <v>1354</v>
      </c>
      <c r="AI27" s="3" t="s">
        <v>3310</v>
      </c>
      <c r="AJ27" s="3" t="e">
        <f>_xlfn.XLOOKUP($Z27,'Pune MIS'!$R:$R,'Pune MIS'!$O:$O)</f>
        <v>#N/A</v>
      </c>
    </row>
    <row r="28" spans="2:39" x14ac:dyDescent="0.3">
      <c r="U28" s="331">
        <v>46105</v>
      </c>
      <c r="V28" s="3" t="s">
        <v>2407</v>
      </c>
      <c r="W28" s="3" t="s">
        <v>2408</v>
      </c>
      <c r="X28" s="3" t="s">
        <v>4162</v>
      </c>
      <c r="Y28" s="3" t="s">
        <v>2893</v>
      </c>
      <c r="Z28" s="3" t="s">
        <v>3016</v>
      </c>
      <c r="AA28" s="3" t="s">
        <v>250</v>
      </c>
      <c r="AB28" s="3">
        <v>260113.54</v>
      </c>
      <c r="AC28" s="3">
        <v>260113.54</v>
      </c>
      <c r="AD28" s="3" t="s">
        <v>2949</v>
      </c>
      <c r="AE28" s="3" t="s">
        <v>251</v>
      </c>
      <c r="AF28" s="3">
        <v>12500000</v>
      </c>
      <c r="AG28" s="3">
        <v>0</v>
      </c>
      <c r="AH28" s="3" t="s">
        <v>1354</v>
      </c>
      <c r="AI28" s="3" t="s">
        <v>3310</v>
      </c>
      <c r="AJ28" s="3" t="e">
        <f>_xlfn.XLOOKUP($Z28,'Pune MIS'!$R:$R,'Pune MIS'!$O:$O)</f>
        <v>#N/A</v>
      </c>
    </row>
    <row r="29" spans="2:39" x14ac:dyDescent="0.3">
      <c r="U29" s="331">
        <v>46107</v>
      </c>
      <c r="V29" s="3" t="s">
        <v>2407</v>
      </c>
      <c r="W29" s="3" t="s">
        <v>2408</v>
      </c>
      <c r="X29" s="3" t="s">
        <v>1972</v>
      </c>
      <c r="Y29" s="3" t="s">
        <v>2894</v>
      </c>
      <c r="Z29" s="3" t="s">
        <v>3021</v>
      </c>
      <c r="AA29" s="3" t="s">
        <v>250</v>
      </c>
      <c r="AB29" s="3">
        <v>222847.12</v>
      </c>
      <c r="AC29" s="3">
        <v>222847.12</v>
      </c>
      <c r="AD29" s="3" t="s">
        <v>2949</v>
      </c>
      <c r="AE29" s="3" t="s">
        <v>251</v>
      </c>
      <c r="AF29" s="3">
        <v>12500000</v>
      </c>
      <c r="AG29" s="3">
        <v>0</v>
      </c>
      <c r="AH29" s="3" t="s">
        <v>1354</v>
      </c>
      <c r="AI29" s="3" t="s">
        <v>3310</v>
      </c>
      <c r="AJ29" s="3" t="e">
        <f>_xlfn.XLOOKUP($Z29,'Pune MIS'!$R:$R,'Pune MIS'!$O:$O)</f>
        <v>#N/A</v>
      </c>
    </row>
    <row r="30" spans="2:39" x14ac:dyDescent="0.3">
      <c r="U30" s="331">
        <v>46107</v>
      </c>
      <c r="V30" s="3" t="s">
        <v>2407</v>
      </c>
      <c r="W30" s="3" t="s">
        <v>2408</v>
      </c>
      <c r="X30" s="3" t="s">
        <v>1972</v>
      </c>
      <c r="Y30" s="3" t="s">
        <v>2894</v>
      </c>
      <c r="Z30" s="3" t="s">
        <v>3019</v>
      </c>
      <c r="AA30" s="3" t="s">
        <v>250</v>
      </c>
      <c r="AB30" s="3">
        <v>353609.33</v>
      </c>
      <c r="AC30" s="3">
        <v>353609.33</v>
      </c>
      <c r="AD30" s="3" t="s">
        <v>2949</v>
      </c>
      <c r="AE30" s="3" t="s">
        <v>251</v>
      </c>
      <c r="AF30" s="3">
        <v>12500000</v>
      </c>
      <c r="AG30" s="3">
        <v>0</v>
      </c>
      <c r="AH30" s="3" t="s">
        <v>1354</v>
      </c>
      <c r="AI30" s="3" t="s">
        <v>3310</v>
      </c>
      <c r="AJ30" s="3" t="e">
        <f>_xlfn.XLOOKUP($Z30,'Pune MIS'!$R:$R,'Pune MIS'!$O:$O)</f>
        <v>#N/A</v>
      </c>
    </row>
    <row r="31" spans="2:39" hidden="1" x14ac:dyDescent="0.3">
      <c r="U31" s="331">
        <v>46107</v>
      </c>
      <c r="V31" s="3" t="s">
        <v>2407</v>
      </c>
      <c r="W31" s="3" t="s">
        <v>2408</v>
      </c>
      <c r="X31" s="3" t="s">
        <v>4163</v>
      </c>
      <c r="Y31" s="3" t="s">
        <v>3044</v>
      </c>
      <c r="Z31" s="3" t="s">
        <v>3020</v>
      </c>
      <c r="AA31" s="3" t="s">
        <v>250</v>
      </c>
      <c r="AB31" s="3">
        <v>5900</v>
      </c>
      <c r="AC31" s="3">
        <v>5900</v>
      </c>
      <c r="AD31" s="3" t="s">
        <v>2949</v>
      </c>
      <c r="AE31" s="3" t="s">
        <v>251</v>
      </c>
      <c r="AF31" s="3">
        <v>12500000</v>
      </c>
      <c r="AG31" s="3">
        <v>0</v>
      </c>
      <c r="AH31" s="3" t="s">
        <v>1354</v>
      </c>
      <c r="AI31" s="3" t="s">
        <v>3310</v>
      </c>
      <c r="AJ31" s="3" t="str">
        <f>_xlfn.XLOOKUP($Z31,'Pune MIS'!$R:$R,'Pune MIS'!$O:$O)</f>
        <v>Warehouse</v>
      </c>
    </row>
    <row r="32" spans="2:39" hidden="1" x14ac:dyDescent="0.3">
      <c r="U32" s="331">
        <v>46107</v>
      </c>
      <c r="V32" s="3" t="s">
        <v>2407</v>
      </c>
      <c r="W32" s="3" t="s">
        <v>2408</v>
      </c>
      <c r="X32" s="3" t="s">
        <v>4163</v>
      </c>
      <c r="Y32" s="3" t="s">
        <v>3044</v>
      </c>
      <c r="Z32" s="3" t="s">
        <v>3018</v>
      </c>
      <c r="AA32" s="3" t="s">
        <v>250</v>
      </c>
      <c r="AB32" s="3">
        <v>14932.25</v>
      </c>
      <c r="AC32" s="3">
        <v>14932.25</v>
      </c>
      <c r="AD32" s="3" t="s">
        <v>2949</v>
      </c>
      <c r="AE32" s="3" t="s">
        <v>251</v>
      </c>
      <c r="AF32" s="3">
        <v>12500000</v>
      </c>
      <c r="AG32" s="3">
        <v>0</v>
      </c>
      <c r="AH32" s="3" t="s">
        <v>1354</v>
      </c>
      <c r="AI32" s="3" t="s">
        <v>3310</v>
      </c>
      <c r="AJ32" s="3" t="str">
        <f>_xlfn.XLOOKUP($Z32,'Pune MIS'!$R:$R,'Pune MIS'!$O:$O)</f>
        <v>Warehouse</v>
      </c>
    </row>
    <row r="33" spans="2:36" hidden="1" x14ac:dyDescent="0.3">
      <c r="U33" s="331">
        <v>46102</v>
      </c>
      <c r="V33" s="3" t="s">
        <v>2407</v>
      </c>
      <c r="W33" s="3" t="s">
        <v>2408</v>
      </c>
      <c r="X33" s="3" t="s">
        <v>4164</v>
      </c>
      <c r="Y33" s="3" t="s">
        <v>3010</v>
      </c>
      <c r="Z33" s="3" t="s">
        <v>2981</v>
      </c>
      <c r="AA33" s="3" t="s">
        <v>2982</v>
      </c>
      <c r="AB33" s="3">
        <v>1201334</v>
      </c>
      <c r="AC33" s="3">
        <v>1201334</v>
      </c>
      <c r="AD33" s="3" t="s">
        <v>2952</v>
      </c>
      <c r="AE33" s="3" t="s">
        <v>3011</v>
      </c>
      <c r="AF33" s="3">
        <v>36500000</v>
      </c>
      <c r="AG33" s="3">
        <v>0</v>
      </c>
      <c r="AH33" s="3" t="s">
        <v>3009</v>
      </c>
      <c r="AI33" s="3" t="s">
        <v>3310</v>
      </c>
      <c r="AJ33" s="3" t="str">
        <f>_xlfn.XLOOKUP($Z33,'Pune MIS'!$R:$R,'Pune MIS'!$O:$O)</f>
        <v>Warehouse</v>
      </c>
    </row>
    <row r="34" spans="2:36" hidden="1" x14ac:dyDescent="0.3">
      <c r="U34" s="331">
        <v>46114</v>
      </c>
      <c r="V34" s="3" t="s">
        <v>2407</v>
      </c>
      <c r="W34" s="3" t="s">
        <v>2408</v>
      </c>
      <c r="X34" s="3" t="s">
        <v>4112</v>
      </c>
      <c r="Y34" s="3" t="s">
        <v>3321</v>
      </c>
      <c r="Z34" s="3" t="s">
        <v>3277</v>
      </c>
      <c r="AA34" s="3" t="s">
        <v>2918</v>
      </c>
      <c r="AB34" s="3">
        <v>111.66</v>
      </c>
      <c r="AC34" s="3">
        <v>21349.26</v>
      </c>
      <c r="AD34" s="3" t="s">
        <v>2952</v>
      </c>
      <c r="AE34" s="3" t="s">
        <v>3043</v>
      </c>
      <c r="AF34" s="3">
        <v>50000</v>
      </c>
      <c r="AG34" s="3">
        <v>0</v>
      </c>
      <c r="AH34" s="3" t="s">
        <v>1354</v>
      </c>
      <c r="AI34" s="3" t="s">
        <v>3310</v>
      </c>
      <c r="AJ34" s="3" t="str">
        <f>_xlfn.XLOOKUP($Z34,'Pune MIS'!$R:$R,'Pune MIS'!$O:$O)</f>
        <v>Warehouse</v>
      </c>
    </row>
    <row r="35" spans="2:36" hidden="1" x14ac:dyDescent="0.3">
      <c r="U35" s="331">
        <v>46154</v>
      </c>
      <c r="V35" s="3" t="s">
        <v>2407</v>
      </c>
      <c r="W35" s="3" t="s">
        <v>2408</v>
      </c>
      <c r="X35" s="3" t="s">
        <v>1837</v>
      </c>
      <c r="Y35" s="3" t="s">
        <v>3632</v>
      </c>
      <c r="Z35" s="3" t="s">
        <v>3621</v>
      </c>
      <c r="AA35" s="3" t="s">
        <v>2325</v>
      </c>
      <c r="AB35" s="3">
        <v>4175048</v>
      </c>
      <c r="AC35" s="3">
        <v>4175048</v>
      </c>
      <c r="AD35" s="3" t="s">
        <v>2952</v>
      </c>
      <c r="AE35" s="3" t="s">
        <v>2326</v>
      </c>
      <c r="AF35" s="3">
        <v>4200000</v>
      </c>
      <c r="AG35" s="3">
        <v>0</v>
      </c>
      <c r="AH35" s="3" t="s">
        <v>3008</v>
      </c>
      <c r="AI35" s="3" t="s">
        <v>3310</v>
      </c>
      <c r="AJ35" s="3" t="str">
        <f>_xlfn.XLOOKUP($Z35,'Pune MIS'!$R:$R,'Pune MIS'!$O:$O)</f>
        <v>Warehouse</v>
      </c>
    </row>
    <row r="36" spans="2:36" hidden="1" x14ac:dyDescent="0.3">
      <c r="U36" s="331">
        <v>46169</v>
      </c>
      <c r="V36" s="3" t="s">
        <v>2407</v>
      </c>
      <c r="W36" s="3" t="s">
        <v>2408</v>
      </c>
      <c r="X36" s="3" t="s">
        <v>490</v>
      </c>
      <c r="Y36" s="3" t="s">
        <v>3723</v>
      </c>
      <c r="Z36" s="3" t="s">
        <v>3722</v>
      </c>
      <c r="AA36" s="3" t="s">
        <v>2353</v>
      </c>
      <c r="AB36" s="3">
        <v>16071</v>
      </c>
      <c r="AC36" s="3">
        <v>949357.2</v>
      </c>
      <c r="AD36" s="3" t="s">
        <v>3724</v>
      </c>
      <c r="AE36" s="3" t="s">
        <v>3725</v>
      </c>
      <c r="AF36" s="3">
        <v>149000000</v>
      </c>
      <c r="AG36" s="3">
        <v>7079940.2300000004</v>
      </c>
      <c r="AH36" s="3" t="s">
        <v>3008</v>
      </c>
      <c r="AI36" s="3" t="s">
        <v>3310</v>
      </c>
      <c r="AJ36" s="3" t="str">
        <f>_xlfn.XLOOKUP($Z36,'Pune MIS'!$R:$R,'Pune MIS'!$O:$O)</f>
        <v>Warehouse</v>
      </c>
    </row>
    <row r="37" spans="2:36" hidden="1" x14ac:dyDescent="0.3">
      <c r="C37" s="3" t="str" cm="1">
        <f t="array" ref="C37:C54">_xlfn.UNIQUE('Details PC'!H4:H421)</f>
        <v>Vendor Name</v>
      </c>
      <c r="U37" s="331">
        <v>46171</v>
      </c>
      <c r="V37" s="3" t="s">
        <v>2407</v>
      </c>
      <c r="W37" s="3" t="s">
        <v>2408</v>
      </c>
      <c r="X37" s="3" t="s">
        <v>388</v>
      </c>
      <c r="Y37" s="3" t="s">
        <v>3762</v>
      </c>
      <c r="Z37" s="3" t="s">
        <v>3745</v>
      </c>
      <c r="AA37" s="3" t="s">
        <v>2353</v>
      </c>
      <c r="AB37" s="3">
        <v>15952.2</v>
      </c>
      <c r="AC37" s="3">
        <v>947020.80000000005</v>
      </c>
      <c r="AD37" s="3" t="s">
        <v>3724</v>
      </c>
      <c r="AE37" s="3" t="s">
        <v>3725</v>
      </c>
      <c r="AF37" s="3">
        <v>149000000</v>
      </c>
      <c r="AG37" s="3">
        <v>0</v>
      </c>
      <c r="AH37" s="3" t="s">
        <v>3008</v>
      </c>
      <c r="AI37" s="3" t="s">
        <v>3310</v>
      </c>
      <c r="AJ37" s="3" t="str">
        <f>_xlfn.XLOOKUP($Z37,'Pune MIS'!$R:$R,'Pune MIS'!$O:$O)</f>
        <v>Warehouse</v>
      </c>
    </row>
    <row r="38" spans="2:36" hidden="1" x14ac:dyDescent="0.3">
      <c r="C38" s="3" t="str">
        <v>Tata Motors Passenger Vehicle Ltd</v>
      </c>
      <c r="U38" s="331">
        <v>46174</v>
      </c>
      <c r="V38" s="3" t="s">
        <v>2407</v>
      </c>
      <c r="W38" s="3" t="s">
        <v>2408</v>
      </c>
      <c r="X38" s="3" t="s">
        <v>385</v>
      </c>
      <c r="Y38" s="3" t="s">
        <v>4089</v>
      </c>
      <c r="Z38" s="3" t="s">
        <v>3979</v>
      </c>
      <c r="AA38" s="3" t="s">
        <v>2353</v>
      </c>
      <c r="AB38" s="3">
        <v>168610.2</v>
      </c>
      <c r="AC38" s="3">
        <v>1214928</v>
      </c>
      <c r="AD38" s="3" t="s">
        <v>3724</v>
      </c>
      <c r="AE38" s="3" t="s">
        <v>3725</v>
      </c>
      <c r="AF38" s="3">
        <v>149000000</v>
      </c>
      <c r="AG38" s="3">
        <v>0</v>
      </c>
      <c r="AH38" s="3" t="s">
        <v>3008</v>
      </c>
      <c r="AI38" s="3" t="s">
        <v>3310</v>
      </c>
      <c r="AJ38" s="3" t="str">
        <f>_xlfn.XLOOKUP($Z38,'Pune MIS'!$R:$R,'Pune MIS'!$O:$O)</f>
        <v>Warehouse</v>
      </c>
    </row>
    <row r="39" spans="2:36" hidden="1" x14ac:dyDescent="0.3">
      <c r="C39" s="3" t="str">
        <v>Tata Motors Ltd</v>
      </c>
      <c r="U39" s="331">
        <v>46180</v>
      </c>
      <c r="V39" s="3" t="s">
        <v>2407</v>
      </c>
      <c r="W39" s="3" t="s">
        <v>2408</v>
      </c>
      <c r="X39" s="3" t="s">
        <v>335</v>
      </c>
      <c r="Y39" s="3" t="s">
        <v>4090</v>
      </c>
      <c r="Z39" s="3" t="s">
        <v>3981</v>
      </c>
      <c r="AA39" s="3" t="s">
        <v>2353</v>
      </c>
      <c r="AB39" s="3">
        <v>941062.98</v>
      </c>
      <c r="AC39" s="3">
        <v>953056.5</v>
      </c>
      <c r="AD39" s="3" t="s">
        <v>3724</v>
      </c>
      <c r="AE39" s="3" t="s">
        <v>3725</v>
      </c>
      <c r="AF39" s="3">
        <v>149000000</v>
      </c>
      <c r="AG39" s="3">
        <v>0</v>
      </c>
      <c r="AH39" s="3" t="s">
        <v>3008</v>
      </c>
      <c r="AI39" s="3" t="s">
        <v>3310</v>
      </c>
      <c r="AJ39" s="3" t="str">
        <f>_xlfn.XLOOKUP($Z39,'Pune MIS'!$R:$R,'Pune MIS'!$O:$O)</f>
        <v>Warehouse</v>
      </c>
    </row>
    <row r="40" spans="2:36" hidden="1" x14ac:dyDescent="0.3">
      <c r="C40" s="3" t="str">
        <v>Mahindra &amp; Mahindra Limited Automotive Division</v>
      </c>
      <c r="U40" s="331">
        <v>46184</v>
      </c>
      <c r="V40" s="3" t="s">
        <v>2407</v>
      </c>
      <c r="W40" s="3" t="s">
        <v>2408</v>
      </c>
      <c r="X40" s="3" t="s">
        <v>331</v>
      </c>
      <c r="Y40" s="3" t="s">
        <v>4091</v>
      </c>
      <c r="Z40" s="3" t="s">
        <v>3983</v>
      </c>
      <c r="AA40" s="3" t="s">
        <v>2353</v>
      </c>
      <c r="AB40" s="3">
        <v>948383.7</v>
      </c>
      <c r="AC40" s="3">
        <v>971942.40000000002</v>
      </c>
      <c r="AD40" s="3" t="s">
        <v>3724</v>
      </c>
      <c r="AE40" s="3" t="s">
        <v>3725</v>
      </c>
      <c r="AF40" s="3">
        <v>149000000</v>
      </c>
      <c r="AG40" s="3">
        <v>0</v>
      </c>
      <c r="AH40" s="3" t="s">
        <v>3008</v>
      </c>
      <c r="AI40" s="3" t="s">
        <v>3310</v>
      </c>
      <c r="AJ40" s="3" t="str">
        <f>_xlfn.XLOOKUP($Z40,'Pune MIS'!$R:$R,'Pune MIS'!$O:$O)</f>
        <v>Warehouse</v>
      </c>
    </row>
    <row r="41" spans="2:36" x14ac:dyDescent="0.3">
      <c r="C41" s="3" t="str">
        <v>Mother Stamping</v>
      </c>
      <c r="U41" s="331">
        <v>46197</v>
      </c>
      <c r="V41" s="3" t="s">
        <v>4092</v>
      </c>
      <c r="W41" s="3" t="s">
        <v>2408</v>
      </c>
      <c r="X41" s="3" t="s">
        <v>329</v>
      </c>
      <c r="Y41" s="3" t="s">
        <v>4093</v>
      </c>
      <c r="Z41" s="3" t="s">
        <v>4083</v>
      </c>
      <c r="AA41" s="3" t="s">
        <v>2812</v>
      </c>
      <c r="AB41" s="3">
        <v>2023</v>
      </c>
      <c r="AC41" s="3">
        <v>77295.600000000006</v>
      </c>
      <c r="AD41" s="3" t="s">
        <v>2956</v>
      </c>
      <c r="AE41" s="3" t="s">
        <v>2813</v>
      </c>
      <c r="AF41" s="3">
        <v>500000</v>
      </c>
      <c r="AG41" s="3">
        <v>0</v>
      </c>
      <c r="AH41" s="3" t="s">
        <v>3009</v>
      </c>
      <c r="AI41" s="3" t="s">
        <v>3310</v>
      </c>
      <c r="AJ41" s="3" t="e">
        <f>_xlfn.XLOOKUP($Z41,'Pune MIS'!$R:$R,'Pune MIS'!$O:$O)</f>
        <v>#N/A</v>
      </c>
    </row>
    <row r="42" spans="2:36" x14ac:dyDescent="0.3">
      <c r="C42" s="3" t="str">
        <v>SUYASH INDUSTRIES</v>
      </c>
      <c r="U42" s="331">
        <v>46199</v>
      </c>
      <c r="V42" s="3" t="s">
        <v>4092</v>
      </c>
      <c r="W42" s="3" t="s">
        <v>2408</v>
      </c>
      <c r="X42" s="3" t="s">
        <v>329</v>
      </c>
      <c r="Y42" s="3" t="s">
        <v>4113</v>
      </c>
      <c r="Z42" s="3" t="s">
        <v>4105</v>
      </c>
      <c r="AA42" s="3" t="s">
        <v>235</v>
      </c>
      <c r="AB42" s="3">
        <v>128216.85</v>
      </c>
      <c r="AC42" s="3">
        <v>310336.2</v>
      </c>
      <c r="AD42" s="3" t="s">
        <v>2953</v>
      </c>
      <c r="AE42" s="3" t="s">
        <v>236</v>
      </c>
      <c r="AF42" s="3">
        <v>1000000</v>
      </c>
      <c r="AG42" s="3">
        <v>0</v>
      </c>
      <c r="AH42" s="3" t="s">
        <v>1354</v>
      </c>
      <c r="AI42" s="3" t="s">
        <v>3310</v>
      </c>
      <c r="AJ42" s="3" t="e">
        <f>_xlfn.XLOOKUP($Z42,'Pune MIS'!$R:$R,'Pune MIS'!$O:$O)</f>
        <v>#N/A</v>
      </c>
    </row>
    <row r="43" spans="2:36" x14ac:dyDescent="0.3">
      <c r="C43" s="3" t="str">
        <v>AUTOCOMP CORPORATION PANSE PVT LTD</v>
      </c>
      <c r="U43" s="331">
        <v>46199</v>
      </c>
      <c r="V43" s="3" t="s">
        <v>2409</v>
      </c>
      <c r="W43" s="3" t="s">
        <v>2408</v>
      </c>
      <c r="X43" s="3" t="s">
        <v>329</v>
      </c>
      <c r="Y43" s="3" t="s">
        <v>4113</v>
      </c>
      <c r="Z43" s="3" t="s">
        <v>4104</v>
      </c>
      <c r="AA43" s="3" t="s">
        <v>235</v>
      </c>
      <c r="AB43" s="3">
        <v>86659</v>
      </c>
      <c r="AC43" s="3">
        <v>86659</v>
      </c>
      <c r="AD43" s="3" t="s">
        <v>2953</v>
      </c>
      <c r="AE43" s="3" t="s">
        <v>236</v>
      </c>
      <c r="AF43" s="3">
        <v>1000000</v>
      </c>
      <c r="AG43" s="3">
        <v>0</v>
      </c>
      <c r="AH43" s="3" t="s">
        <v>1354</v>
      </c>
      <c r="AI43" s="3" t="s">
        <v>3310</v>
      </c>
      <c r="AJ43" s="3" t="e">
        <f>_xlfn.XLOOKUP($Z43,'Pune MIS'!$R:$R,'Pune MIS'!$O:$O)</f>
        <v>#N/A</v>
      </c>
    </row>
    <row r="44" spans="2:36" x14ac:dyDescent="0.3">
      <c r="C44" s="3" t="str">
        <v>Yash Enterprises</v>
      </c>
      <c r="U44" s="331">
        <v>46202</v>
      </c>
      <c r="V44" s="3" t="s">
        <v>2409</v>
      </c>
      <c r="W44" s="3" t="s">
        <v>2408</v>
      </c>
      <c r="X44" s="3" t="s">
        <v>329</v>
      </c>
      <c r="Y44" s="3" t="s">
        <v>4165</v>
      </c>
      <c r="Z44" s="3" t="s">
        <v>4133</v>
      </c>
      <c r="AA44" s="3" t="s">
        <v>235</v>
      </c>
      <c r="AB44" s="3">
        <v>63550</v>
      </c>
      <c r="AC44" s="3">
        <v>63550</v>
      </c>
      <c r="AD44" s="3" t="s">
        <v>2953</v>
      </c>
      <c r="AE44" s="3" t="s">
        <v>236</v>
      </c>
      <c r="AF44" s="3">
        <v>1000000</v>
      </c>
      <c r="AG44" s="3">
        <v>0</v>
      </c>
      <c r="AH44" s="3" t="s">
        <v>1354</v>
      </c>
      <c r="AI44" s="3" t="s">
        <v>3310</v>
      </c>
      <c r="AJ44" s="3" t="e">
        <f>_xlfn.XLOOKUP($Z44,'Pune MIS'!$R:$R,'Pune MIS'!$O:$O)</f>
        <v>#N/A</v>
      </c>
    </row>
    <row r="45" spans="2:36" x14ac:dyDescent="0.3">
      <c r="C45" s="3" t="str">
        <v>Ultra Corpotech Pvt Ltd</v>
      </c>
      <c r="U45" s="331">
        <v>46202</v>
      </c>
      <c r="V45" s="3" t="s">
        <v>2409</v>
      </c>
      <c r="W45" s="3" t="s">
        <v>2408</v>
      </c>
      <c r="X45" s="3" t="s">
        <v>329</v>
      </c>
      <c r="Y45" s="3" t="s">
        <v>4165</v>
      </c>
      <c r="Z45" s="3" t="s">
        <v>4132</v>
      </c>
      <c r="AA45" s="3" t="s">
        <v>235</v>
      </c>
      <c r="AB45" s="3">
        <v>95072.5</v>
      </c>
      <c r="AC45" s="3">
        <v>95072.5</v>
      </c>
      <c r="AD45" s="3" t="s">
        <v>2953</v>
      </c>
      <c r="AE45" s="3" t="s">
        <v>236</v>
      </c>
      <c r="AF45" s="3">
        <v>1000000</v>
      </c>
      <c r="AG45" s="3">
        <v>0</v>
      </c>
      <c r="AH45" s="3" t="s">
        <v>1354</v>
      </c>
      <c r="AI45" s="3" t="s">
        <v>3310</v>
      </c>
      <c r="AJ45" s="3" t="e">
        <f>_xlfn.XLOOKUP($Z45,'Pune MIS'!$R:$R,'Pune MIS'!$O:$O)</f>
        <v>#N/A</v>
      </c>
    </row>
    <row r="46" spans="2:36" x14ac:dyDescent="0.3">
      <c r="B46" s="3" t="str" cm="1">
        <f t="array" ref="B46:B52">_xlfn.UNIQUE(Details!AQ5:AQ243)</f>
        <v>R.H.TRADERS</v>
      </c>
      <c r="C46" s="3" t="str">
        <v>ULTRA CORPOTECH PRIVATE LIMITED</v>
      </c>
      <c r="U46" s="331">
        <v>46202</v>
      </c>
      <c r="V46" s="3" t="s">
        <v>2409</v>
      </c>
      <c r="W46" s="3" t="s">
        <v>2408</v>
      </c>
      <c r="X46" s="3" t="s">
        <v>329</v>
      </c>
      <c r="Y46" s="3" t="s">
        <v>4165</v>
      </c>
      <c r="Z46" s="3" t="s">
        <v>4135</v>
      </c>
      <c r="AA46" s="3" t="s">
        <v>235</v>
      </c>
      <c r="AB46" s="3">
        <v>54764</v>
      </c>
      <c r="AC46" s="3">
        <v>54764</v>
      </c>
      <c r="AD46" s="3" t="s">
        <v>2953</v>
      </c>
      <c r="AE46" s="3" t="s">
        <v>236</v>
      </c>
      <c r="AF46" s="3">
        <v>1000000</v>
      </c>
      <c r="AG46" s="3">
        <v>0</v>
      </c>
      <c r="AH46" s="3" t="s">
        <v>1354</v>
      </c>
      <c r="AI46" s="3" t="s">
        <v>3310</v>
      </c>
      <c r="AJ46" s="3" t="e">
        <f>_xlfn.XLOOKUP($Z46,'Pune MIS'!$R:$R,'Pune MIS'!$O:$O)</f>
        <v>#N/A</v>
      </c>
    </row>
    <row r="47" spans="2:36" x14ac:dyDescent="0.3">
      <c r="B47" s="3" t="str">
        <v>NILKANTH TRADING COMPANY</v>
      </c>
      <c r="C47" s="3" t="str">
        <v>AUTOCOMP CORPORATION PANSE PRIVATE LIMITED</v>
      </c>
      <c r="U47" s="331">
        <v>46202</v>
      </c>
      <c r="V47" s="3" t="s">
        <v>4092</v>
      </c>
      <c r="W47" s="3" t="s">
        <v>2408</v>
      </c>
      <c r="X47" s="3" t="s">
        <v>329</v>
      </c>
      <c r="Y47" s="3" t="s">
        <v>4165</v>
      </c>
      <c r="Z47" s="3" t="s">
        <v>4137</v>
      </c>
      <c r="AA47" s="3" t="s">
        <v>1938</v>
      </c>
      <c r="AB47" s="3">
        <v>6448.4</v>
      </c>
      <c r="AC47" s="3">
        <v>99734.34</v>
      </c>
      <c r="AD47" s="3" t="s">
        <v>2952</v>
      </c>
      <c r="AE47" s="3" t="s">
        <v>1939</v>
      </c>
      <c r="AF47" s="3">
        <v>1500000</v>
      </c>
      <c r="AG47" s="3">
        <v>0</v>
      </c>
      <c r="AH47" s="3" t="s">
        <v>1354</v>
      </c>
      <c r="AI47" s="3" t="s">
        <v>3310</v>
      </c>
      <c r="AJ47" s="3" t="e">
        <f>_xlfn.XLOOKUP($Z47,'Pune MIS'!$R:$R,'Pune MIS'!$O:$O)</f>
        <v>#N/A</v>
      </c>
    </row>
    <row r="48" spans="2:36" x14ac:dyDescent="0.3">
      <c r="B48" s="3" t="str">
        <v>SAHIL TRADERS</v>
      </c>
      <c r="C48" s="3" t="str">
        <v>Anusaya Auto Press Parts Pvt Ltd</v>
      </c>
      <c r="U48" s="331">
        <v>46202</v>
      </c>
      <c r="V48" s="3" t="s">
        <v>2409</v>
      </c>
      <c r="W48" s="3" t="s">
        <v>2408</v>
      </c>
      <c r="X48" s="3" t="s">
        <v>329</v>
      </c>
      <c r="Y48" s="3" t="s">
        <v>4165</v>
      </c>
      <c r="Z48" s="3" t="s">
        <v>4134</v>
      </c>
      <c r="AA48" s="3" t="s">
        <v>235</v>
      </c>
      <c r="AB48" s="3">
        <v>81728.5</v>
      </c>
      <c r="AC48" s="3">
        <v>81728.5</v>
      </c>
      <c r="AD48" s="3" t="s">
        <v>2953</v>
      </c>
      <c r="AE48" s="3" t="s">
        <v>236</v>
      </c>
      <c r="AF48" s="3">
        <v>1000000</v>
      </c>
      <c r="AG48" s="3">
        <v>0</v>
      </c>
      <c r="AH48" s="3" t="s">
        <v>1354</v>
      </c>
      <c r="AI48" s="3" t="s">
        <v>3310</v>
      </c>
      <c r="AJ48" s="3" t="e">
        <f>_xlfn.XLOOKUP($Z48,'Pune MIS'!$R:$R,'Pune MIS'!$O:$O)</f>
        <v>#N/A</v>
      </c>
    </row>
    <row r="49" spans="2:36" x14ac:dyDescent="0.3">
      <c r="B49" s="3" t="str">
        <v>H R STEEL TRADERS</v>
      </c>
      <c r="C49" s="3" t="str">
        <v>ANUSAYA AUTO PRESS P P LTD</v>
      </c>
      <c r="U49" s="331">
        <v>46203</v>
      </c>
      <c r="V49" s="3" t="s">
        <v>2409</v>
      </c>
      <c r="W49" s="3" t="s">
        <v>2408</v>
      </c>
      <c r="X49" s="3" t="s">
        <v>329</v>
      </c>
      <c r="Y49" s="3" t="s">
        <v>4166</v>
      </c>
      <c r="Z49" s="3" t="s">
        <v>4136</v>
      </c>
      <c r="AA49" s="3" t="s">
        <v>235</v>
      </c>
      <c r="AB49" s="3">
        <v>34485.199999999997</v>
      </c>
      <c r="AC49" s="3">
        <v>34485.199999999997</v>
      </c>
      <c r="AD49" s="3" t="s">
        <v>2953</v>
      </c>
      <c r="AE49" s="3" t="s">
        <v>236</v>
      </c>
      <c r="AF49" s="3">
        <v>1000000</v>
      </c>
      <c r="AG49" s="3">
        <v>0</v>
      </c>
      <c r="AH49" s="3" t="s">
        <v>1354</v>
      </c>
      <c r="AI49" s="3" t="s">
        <v>3310</v>
      </c>
      <c r="AJ49" s="3" t="e">
        <f>_xlfn.XLOOKUP($Z49,'Pune MIS'!$R:$R,'Pune MIS'!$O:$O)</f>
        <v>#N/A</v>
      </c>
    </row>
    <row r="50" spans="2:36" x14ac:dyDescent="0.3">
      <c r="B50" s="3" t="str">
        <v>STAR DECONTAMINATION AND RECYCLING</v>
      </c>
      <c r="C50" s="3" t="str">
        <v>Track Components Limited</v>
      </c>
    </row>
    <row r="51" spans="2:36" x14ac:dyDescent="0.3">
      <c r="B51" s="3" t="str">
        <v>SHARMA &amp; SONS</v>
      </c>
      <c r="C51" s="3" t="str">
        <v>BLACK GOLD RECYCLING PRIVATE LIMITED</v>
      </c>
    </row>
    <row r="52" spans="2:36" x14ac:dyDescent="0.3">
      <c r="B52" s="3">
        <v>0</v>
      </c>
      <c r="C52" s="3" t="str">
        <v>HIND METAL &amp; ALLOYS PRIVATE LIMITED</v>
      </c>
    </row>
    <row r="53" spans="2:36" x14ac:dyDescent="0.3">
      <c r="C53" s="3" t="str">
        <v>SKH M India Private Limited</v>
      </c>
    </row>
    <row r="54" spans="2:36" x14ac:dyDescent="0.3">
      <c r="C54" s="3">
        <v>0</v>
      </c>
    </row>
  </sheetData>
  <autoFilter ref="U3:AJ49" xr:uid="{00000000-0001-0000-0600-000000000000}">
    <filterColumn colId="15">
      <filters>
        <filter val="#N/A"/>
      </filters>
    </filterColumn>
  </autoFilter>
  <conditionalFormatting sqref="B2:B1048576">
    <cfRule type="duplicateValues" dxfId="78" priority="19838"/>
  </conditionalFormatting>
  <conditionalFormatting sqref="C4:C9 C12:C14 C16:C17">
    <cfRule type="duplicateValues" dxfId="77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AG711"/>
  <sheetViews>
    <sheetView showGridLines="0" topLeftCell="A2" workbookViewId="0">
      <selection activeCell="C9" sqref="C9"/>
    </sheetView>
  </sheetViews>
  <sheetFormatPr defaultRowHeight="14.4" x14ac:dyDescent="0.3"/>
  <cols>
    <col min="1" max="1" width="4.33203125" customWidth="1"/>
    <col min="2" max="2" width="32.88671875" bestFit="1" customWidth="1"/>
    <col min="3" max="3" width="12.33203125" style="4" bestFit="1" customWidth="1"/>
    <col min="4" max="4" width="10.44140625" bestFit="1" customWidth="1"/>
    <col min="5" max="5" width="9.6640625" customWidth="1"/>
    <col min="6" max="6" width="28.77734375" bestFit="1" customWidth="1"/>
    <col min="7" max="7" width="13.109375" style="350" bestFit="1" customWidth="1"/>
    <col min="8" max="8" width="9.77734375" bestFit="1" customWidth="1"/>
    <col min="9" max="9" width="4.77734375" customWidth="1"/>
    <col min="10" max="10" width="35.5546875" bestFit="1" customWidth="1"/>
    <col min="11" max="11" width="10.21875" bestFit="1" customWidth="1"/>
    <col min="12" max="12" width="8" bestFit="1" customWidth="1"/>
    <col min="13" max="13" width="30.77734375" bestFit="1" customWidth="1"/>
    <col min="14" max="14" width="9.5546875" bestFit="1" customWidth="1"/>
    <col min="15" max="15" width="3.77734375" bestFit="1" customWidth="1"/>
    <col min="17" max="17" width="14.33203125" bestFit="1" customWidth="1"/>
    <col min="18" max="18" width="7.6640625" bestFit="1" customWidth="1"/>
    <col min="21" max="21" width="10.109375" bestFit="1" customWidth="1"/>
    <col min="22" max="22" width="11" bestFit="1" customWidth="1"/>
    <col min="23" max="23" width="15" bestFit="1" customWidth="1"/>
    <col min="24" max="24" width="20.21875" bestFit="1" customWidth="1"/>
    <col min="25" max="25" width="16.5546875" bestFit="1" customWidth="1"/>
    <col min="26" max="26" width="11.33203125" style="3" bestFit="1" customWidth="1"/>
    <col min="27" max="27" width="12.33203125" style="3" bestFit="1" customWidth="1"/>
    <col min="33" max="33" width="7.44140625" bestFit="1" customWidth="1"/>
  </cols>
  <sheetData>
    <row r="2" spans="2:27" ht="15" thickBot="1" x14ac:dyDescent="0.35">
      <c r="G2" s="350">
        <f>G7+G8+G9</f>
        <v>323587</v>
      </c>
      <c r="H2" s="22">
        <f>C6+C7+C9+C10+C11+C8</f>
        <v>262118.5</v>
      </c>
      <c r="Z2" s="66">
        <f>SUM(Z4:Z12)</f>
        <v>152962</v>
      </c>
      <c r="AA2" s="66">
        <f>SUM(AA4:AA12)</f>
        <v>4122422.04</v>
      </c>
    </row>
    <row r="3" spans="2:27" ht="15" thickBot="1" x14ac:dyDescent="0.35">
      <c r="C3" s="402"/>
      <c r="D3" s="1"/>
      <c r="F3" s="1"/>
      <c r="U3" s="352" t="s">
        <v>2961</v>
      </c>
      <c r="V3" s="489" t="s">
        <v>76</v>
      </c>
      <c r="W3" s="489" t="s">
        <v>2959</v>
      </c>
      <c r="X3" s="489" t="s">
        <v>112</v>
      </c>
      <c r="Y3" s="489" t="s">
        <v>2960</v>
      </c>
      <c r="Z3" s="345" t="s">
        <v>78</v>
      </c>
      <c r="AA3" s="346" t="s">
        <v>2958</v>
      </c>
    </row>
    <row r="4" spans="2:27" ht="15" thickBot="1" x14ac:dyDescent="0.35">
      <c r="J4" s="49" t="s">
        <v>130</v>
      </c>
      <c r="M4" s="49" t="s">
        <v>175</v>
      </c>
      <c r="Q4" s="49" t="s">
        <v>131</v>
      </c>
      <c r="U4" s="43">
        <v>46042</v>
      </c>
      <c r="V4" s="490" t="s">
        <v>2660</v>
      </c>
      <c r="W4" t="s">
        <v>2662</v>
      </c>
      <c r="X4" s="490" t="s">
        <v>2974</v>
      </c>
      <c r="Y4" t="s">
        <v>2666</v>
      </c>
      <c r="Z4" s="367">
        <v>14340</v>
      </c>
      <c r="AA4" s="18">
        <v>353179.86</v>
      </c>
    </row>
    <row r="5" spans="2:27" ht="15" thickBot="1" x14ac:dyDescent="0.35">
      <c r="B5" s="30" t="s">
        <v>65</v>
      </c>
      <c r="C5" s="31" t="s">
        <v>52</v>
      </c>
      <c r="F5" s="30" t="s">
        <v>66</v>
      </c>
      <c r="G5" s="349" t="s">
        <v>52</v>
      </c>
      <c r="H5" s="41" t="s">
        <v>78</v>
      </c>
      <c r="J5" s="30" t="s">
        <v>53</v>
      </c>
      <c r="K5" s="34">
        <f>Details!AD261</f>
        <v>46203</v>
      </c>
      <c r="M5" s="30" t="s">
        <v>65</v>
      </c>
      <c r="N5" s="31" t="s">
        <v>52</v>
      </c>
      <c r="O5" s="31" t="s">
        <v>78</v>
      </c>
      <c r="Q5" s="30" t="s">
        <v>134</v>
      </c>
      <c r="R5" s="31" t="s">
        <v>52</v>
      </c>
      <c r="U5" s="43">
        <v>46035</v>
      </c>
      <c r="V5" s="10" t="s">
        <v>2581</v>
      </c>
      <c r="W5" t="s">
        <v>2583</v>
      </c>
      <c r="X5" s="10" t="s">
        <v>2974</v>
      </c>
      <c r="Y5" t="s">
        <v>2587</v>
      </c>
      <c r="Z5" s="11">
        <v>10510</v>
      </c>
      <c r="AA5" s="18">
        <v>252776.01</v>
      </c>
    </row>
    <row r="6" spans="2:27" x14ac:dyDescent="0.3">
      <c r="B6" s="6"/>
      <c r="C6" s="13"/>
      <c r="F6" s="6" t="s">
        <v>3706</v>
      </c>
      <c r="G6" s="351">
        <v>433760.95</v>
      </c>
      <c r="H6" s="20"/>
      <c r="J6" s="6"/>
      <c r="K6" s="10"/>
      <c r="M6" s="6"/>
      <c r="N6" s="13"/>
      <c r="O6" s="16"/>
      <c r="Q6" s="6"/>
      <c r="R6" s="16"/>
      <c r="U6" s="43">
        <v>46022</v>
      </c>
      <c r="V6" s="10" t="s">
        <v>2414</v>
      </c>
      <c r="W6" t="s">
        <v>2417</v>
      </c>
      <c r="X6" s="10" t="s">
        <v>2974</v>
      </c>
      <c r="Y6" t="s">
        <v>2420</v>
      </c>
      <c r="Z6" s="11">
        <v>35215</v>
      </c>
      <c r="AA6" s="18">
        <v>842765.38</v>
      </c>
    </row>
    <row r="7" spans="2:27" x14ac:dyDescent="0.3">
      <c r="B7" s="6"/>
      <c r="C7" s="13"/>
      <c r="F7" s="6" t="s">
        <v>4151</v>
      </c>
      <c r="G7" s="351">
        <f>87450+32000+43174+87450+32000+41513</f>
        <v>323587</v>
      </c>
      <c r="H7" s="20"/>
      <c r="J7" s="6" t="s">
        <v>75</v>
      </c>
      <c r="K7" s="11">
        <f>-Details!AW244</f>
        <v>-578061</v>
      </c>
      <c r="M7" s="6"/>
      <c r="N7" s="13"/>
      <c r="O7" s="16"/>
      <c r="Q7" s="6"/>
      <c r="R7" s="16"/>
      <c r="U7" s="43">
        <v>45961</v>
      </c>
      <c r="V7" s="10" t="s">
        <v>2750</v>
      </c>
      <c r="W7" s="361" t="s">
        <v>2963</v>
      </c>
      <c r="X7" s="10" t="s">
        <v>2598</v>
      </c>
      <c r="Y7" t="s">
        <v>2751</v>
      </c>
      <c r="Z7" s="11">
        <v>28470</v>
      </c>
      <c r="AA7" s="18">
        <v>933815.99999999988</v>
      </c>
    </row>
    <row r="8" spans="2:27" ht="15" thickBot="1" x14ac:dyDescent="0.35">
      <c r="B8" s="6" t="s">
        <v>4067</v>
      </c>
      <c r="C8" s="13">
        <f>Details!AC251</f>
        <v>262118.5</v>
      </c>
      <c r="D8" s="22"/>
      <c r="F8" s="6"/>
      <c r="G8" s="351"/>
      <c r="H8" s="20"/>
      <c r="J8" s="6" t="s">
        <v>430</v>
      </c>
      <c r="K8" s="11">
        <v>1508831.8</v>
      </c>
      <c r="M8" s="6"/>
      <c r="N8" s="13"/>
      <c r="O8" s="16"/>
      <c r="Q8" s="9"/>
      <c r="R8" s="21"/>
      <c r="U8" s="43">
        <v>45961</v>
      </c>
      <c r="V8" s="10" t="s">
        <v>2746</v>
      </c>
      <c r="W8" s="361" t="s">
        <v>2962</v>
      </c>
      <c r="X8" s="10" t="s">
        <v>1961</v>
      </c>
      <c r="Y8" t="s">
        <v>2747</v>
      </c>
      <c r="Z8" s="11">
        <v>10500</v>
      </c>
      <c r="AA8" s="18">
        <v>337050</v>
      </c>
    </row>
    <row r="9" spans="2:27" ht="15" thickBot="1" x14ac:dyDescent="0.35">
      <c r="B9" s="6"/>
      <c r="C9" s="13"/>
      <c r="F9" s="6"/>
      <c r="G9" s="351"/>
      <c r="H9" s="20"/>
      <c r="I9" s="22"/>
      <c r="J9" s="6" t="s">
        <v>328</v>
      </c>
      <c r="K9" s="11">
        <v>301497</v>
      </c>
      <c r="M9" s="6"/>
      <c r="N9" s="13"/>
      <c r="O9" s="16"/>
      <c r="R9" s="33">
        <f>SUM(R6:R8)</f>
        <v>0</v>
      </c>
      <c r="U9" s="43">
        <v>46065</v>
      </c>
      <c r="V9" s="10"/>
      <c r="W9" s="493" t="s">
        <v>2964</v>
      </c>
      <c r="X9" s="10" t="s">
        <v>2974</v>
      </c>
      <c r="Y9" t="s">
        <v>2968</v>
      </c>
      <c r="Z9" s="11">
        <v>16265</v>
      </c>
      <c r="AA9" s="18">
        <v>406218.38</v>
      </c>
    </row>
    <row r="10" spans="2:27" ht="15" thickBot="1" x14ac:dyDescent="0.35">
      <c r="B10" s="6"/>
      <c r="C10" s="13"/>
      <c r="F10" s="6"/>
      <c r="G10" s="351"/>
      <c r="H10" s="20"/>
      <c r="I10" s="22"/>
      <c r="J10" s="6" t="s">
        <v>263</v>
      </c>
      <c r="K10" s="11">
        <f>K19</f>
        <v>0</v>
      </c>
      <c r="M10" s="6"/>
      <c r="N10" s="13"/>
      <c r="O10" s="16"/>
      <c r="Q10" s="49" t="s">
        <v>131</v>
      </c>
      <c r="R10" s="22"/>
      <c r="U10" s="43">
        <v>46073</v>
      </c>
      <c r="V10" s="10"/>
      <c r="W10" s="493" t="s">
        <v>2965</v>
      </c>
      <c r="X10" s="10" t="s">
        <v>2974</v>
      </c>
      <c r="Y10" t="s">
        <v>2969</v>
      </c>
      <c r="Z10" s="11">
        <v>16865</v>
      </c>
      <c r="AA10" s="18">
        <v>448524.68</v>
      </c>
    </row>
    <row r="11" spans="2:27" ht="15" thickBot="1" x14ac:dyDescent="0.35">
      <c r="B11" s="6"/>
      <c r="C11" s="13"/>
      <c r="F11" s="504"/>
      <c r="G11" s="351"/>
      <c r="H11" s="20"/>
      <c r="I11" s="22"/>
      <c r="J11" s="9"/>
      <c r="K11" s="21"/>
      <c r="M11" s="6"/>
      <c r="N11" s="13"/>
      <c r="O11" s="16"/>
      <c r="Q11" s="30" t="s">
        <v>134</v>
      </c>
      <c r="R11" s="62" t="s">
        <v>78</v>
      </c>
      <c r="U11" s="43">
        <v>46086</v>
      </c>
      <c r="V11" s="10" t="s">
        <v>2970</v>
      </c>
      <c r="W11" s="493" t="s">
        <v>2966</v>
      </c>
      <c r="X11" s="10" t="s">
        <v>2974</v>
      </c>
      <c r="Y11" t="s">
        <v>2971</v>
      </c>
      <c r="Z11" s="11">
        <v>6967</v>
      </c>
      <c r="AA11" s="18">
        <v>184625.5</v>
      </c>
    </row>
    <row r="12" spans="2:27" ht="15" thickBot="1" x14ac:dyDescent="0.35">
      <c r="B12" s="6"/>
      <c r="C12" s="13"/>
      <c r="F12" s="6"/>
      <c r="G12" s="351"/>
      <c r="H12" s="20"/>
      <c r="I12" s="22"/>
      <c r="J12" s="7" t="s">
        <v>62</v>
      </c>
      <c r="K12" s="12">
        <f>SUM(K7:K11)-H19</f>
        <v>1232267.8</v>
      </c>
      <c r="M12" s="6"/>
      <c r="N12" s="13"/>
      <c r="O12" s="16"/>
      <c r="Q12" s="6"/>
      <c r="R12" s="10"/>
      <c r="U12" s="377">
        <v>46099</v>
      </c>
      <c r="V12" s="19" t="s">
        <v>2972</v>
      </c>
      <c r="W12" s="494" t="s">
        <v>2967</v>
      </c>
      <c r="X12" s="19" t="s">
        <v>2974</v>
      </c>
      <c r="Y12" s="15" t="s">
        <v>2973</v>
      </c>
      <c r="Z12" s="491">
        <v>13830</v>
      </c>
      <c r="AA12" s="492">
        <v>363466.23</v>
      </c>
    </row>
    <row r="13" spans="2:27" x14ac:dyDescent="0.3">
      <c r="B13" s="6"/>
      <c r="C13" s="13"/>
      <c r="F13" s="6" t="s">
        <v>496</v>
      </c>
      <c r="G13" s="351">
        <v>696360</v>
      </c>
      <c r="H13" s="20"/>
      <c r="I13" s="22"/>
      <c r="J13" s="2"/>
      <c r="K13" s="14"/>
      <c r="M13" s="6"/>
      <c r="N13" s="13"/>
      <c r="O13" s="16"/>
      <c r="Q13" s="6"/>
      <c r="R13" s="10"/>
    </row>
    <row r="14" spans="2:27" x14ac:dyDescent="0.3">
      <c r="B14" s="6"/>
      <c r="C14" s="13"/>
      <c r="F14" s="6" t="s">
        <v>494</v>
      </c>
      <c r="G14" s="351">
        <v>-584850</v>
      </c>
      <c r="H14" s="20"/>
      <c r="I14" s="22"/>
      <c r="J14" s="2"/>
      <c r="K14" s="14"/>
      <c r="M14" s="6"/>
      <c r="N14" s="13"/>
      <c r="O14" s="16"/>
      <c r="Q14" s="6"/>
      <c r="R14" s="10"/>
    </row>
    <row r="15" spans="2:27" x14ac:dyDescent="0.3">
      <c r="B15" s="6"/>
      <c r="C15" s="13"/>
      <c r="F15" s="503" t="s">
        <v>498</v>
      </c>
      <c r="G15" s="351">
        <v>-748329.5</v>
      </c>
      <c r="H15" s="20"/>
      <c r="I15" s="22"/>
      <c r="J15" s="2"/>
      <c r="K15" s="14"/>
      <c r="M15" s="6"/>
      <c r="N15" s="13"/>
      <c r="O15" s="16"/>
      <c r="Q15" s="6"/>
      <c r="R15" s="10"/>
    </row>
    <row r="16" spans="2:27" x14ac:dyDescent="0.3">
      <c r="B16" s="6"/>
      <c r="C16" s="13"/>
      <c r="F16" s="6" t="s">
        <v>387</v>
      </c>
      <c r="G16" s="351">
        <v>-33915</v>
      </c>
      <c r="H16" s="20"/>
      <c r="I16" s="22"/>
      <c r="J16" s="2"/>
      <c r="K16" s="14"/>
      <c r="M16" s="6"/>
      <c r="N16" s="13"/>
      <c r="O16" s="16"/>
      <c r="Q16" s="6"/>
      <c r="R16" s="10"/>
    </row>
    <row r="17" spans="2:18" x14ac:dyDescent="0.3">
      <c r="B17" s="6"/>
      <c r="C17" s="13"/>
      <c r="F17" s="6" t="s">
        <v>490</v>
      </c>
      <c r="G17" s="351">
        <v>2019775.6</v>
      </c>
      <c r="H17" s="20"/>
      <c r="I17" s="22"/>
      <c r="J17" s="2"/>
      <c r="K17" s="14"/>
      <c r="M17" s="6"/>
      <c r="N17" s="13"/>
      <c r="O17" s="16"/>
      <c r="Q17" s="6"/>
      <c r="R17" s="10"/>
    </row>
    <row r="18" spans="2:18" ht="15" thickBot="1" x14ac:dyDescent="0.35">
      <c r="B18" s="6"/>
      <c r="C18" s="351"/>
      <c r="F18" t="s">
        <v>492</v>
      </c>
      <c r="G18" s="351">
        <v>-1696343.5</v>
      </c>
      <c r="H18" s="20"/>
      <c r="I18" s="22"/>
      <c r="J18" s="2"/>
      <c r="K18" s="14"/>
      <c r="M18" s="6"/>
      <c r="N18" s="13"/>
      <c r="O18" s="16"/>
      <c r="Q18" s="6"/>
      <c r="R18" s="10"/>
    </row>
    <row r="19" spans="2:18" ht="15" thickBot="1" x14ac:dyDescent="0.35">
      <c r="B19" s="7" t="s">
        <v>74</v>
      </c>
      <c r="C19" s="42">
        <f>SUM(C6:C18)</f>
        <v>262118.5</v>
      </c>
      <c r="F19" s="45" t="s">
        <v>74</v>
      </c>
      <c r="G19" s="354">
        <f>SUBTOTAL(9,G6:G18)</f>
        <v>410045.54999999981</v>
      </c>
      <c r="H19" s="47">
        <f>SUBTOTAL(9,H6:H18)</f>
        <v>0</v>
      </c>
      <c r="I19" s="22"/>
      <c r="J19" s="2"/>
      <c r="K19" s="14"/>
      <c r="M19" s="45" t="s">
        <v>74</v>
      </c>
      <c r="N19" s="61">
        <f>SUM(N6:N18)</f>
        <v>0</v>
      </c>
      <c r="O19" s="47">
        <f>SUM(O6:O18)</f>
        <v>0</v>
      </c>
      <c r="Q19" s="6"/>
      <c r="R19" s="10"/>
    </row>
    <row r="20" spans="2:18" x14ac:dyDescent="0.3">
      <c r="B20" s="2"/>
      <c r="C20" s="38"/>
      <c r="F20" s="2"/>
      <c r="G20" s="355"/>
      <c r="J20" s="2"/>
      <c r="K20" s="14"/>
      <c r="M20" s="22"/>
      <c r="Q20" s="6"/>
      <c r="R20" s="10"/>
    </row>
    <row r="21" spans="2:18" ht="15" thickBot="1" x14ac:dyDescent="0.35">
      <c r="B21" s="2"/>
      <c r="C21" s="38"/>
      <c r="F21" s="2"/>
      <c r="G21" s="355"/>
      <c r="J21" s="2"/>
      <c r="K21" s="14"/>
      <c r="M21" s="22"/>
      <c r="Q21" s="6"/>
      <c r="R21" s="10"/>
    </row>
    <row r="22" spans="2:18" ht="15" thickBot="1" x14ac:dyDescent="0.35">
      <c r="B22" s="30" t="s">
        <v>67</v>
      </c>
      <c r="C22" s="35" t="s">
        <v>52</v>
      </c>
      <c r="F22" s="30" t="s">
        <v>68</v>
      </c>
      <c r="G22" s="349" t="s">
        <v>52</v>
      </c>
      <c r="H22" s="31" t="s">
        <v>78</v>
      </c>
      <c r="J22" s="31" t="s">
        <v>77</v>
      </c>
      <c r="K22" s="14"/>
      <c r="M22" s="30" t="s">
        <v>65</v>
      </c>
      <c r="N22" s="31" t="s">
        <v>52</v>
      </c>
      <c r="Q22" s="6"/>
      <c r="R22" s="10"/>
    </row>
    <row r="23" spans="2:18" x14ac:dyDescent="0.3">
      <c r="B23" s="6"/>
      <c r="C23" s="36"/>
      <c r="F23" s="6"/>
      <c r="G23" s="356"/>
      <c r="H23" s="10"/>
      <c r="J23" s="10"/>
      <c r="K23" s="14"/>
      <c r="M23" s="6"/>
      <c r="N23" s="13"/>
      <c r="Q23" s="6"/>
      <c r="R23" s="10"/>
    </row>
    <row r="24" spans="2:18" x14ac:dyDescent="0.3">
      <c r="B24" s="6"/>
      <c r="C24" s="16"/>
      <c r="F24" s="6"/>
      <c r="G24" s="357"/>
      <c r="H24" s="10"/>
      <c r="J24" s="10"/>
      <c r="K24" s="14"/>
      <c r="M24" s="6" t="s">
        <v>4139</v>
      </c>
      <c r="N24" s="13">
        <v>-77275</v>
      </c>
      <c r="Q24" s="6"/>
      <c r="R24" s="10"/>
    </row>
    <row r="25" spans="2:18" x14ac:dyDescent="0.3">
      <c r="B25" s="6"/>
      <c r="C25" s="16"/>
      <c r="D25" s="5"/>
      <c r="E25" s="5"/>
      <c r="F25" s="6"/>
      <c r="G25" s="357"/>
      <c r="H25" s="10"/>
      <c r="J25" s="10"/>
      <c r="K25" s="14"/>
      <c r="M25" s="6" t="s">
        <v>4142</v>
      </c>
      <c r="N25" s="13">
        <v>-65192</v>
      </c>
      <c r="Q25" s="6"/>
      <c r="R25" s="10"/>
    </row>
    <row r="26" spans="2:18" ht="15" thickBot="1" x14ac:dyDescent="0.35">
      <c r="B26" s="6"/>
      <c r="C26" s="16"/>
      <c r="F26" s="6"/>
      <c r="G26" s="357"/>
      <c r="H26" s="10"/>
      <c r="J26" s="10"/>
      <c r="K26" s="14"/>
      <c r="M26" s="6" t="s">
        <v>4145</v>
      </c>
      <c r="N26" s="13">
        <v>-390109.24</v>
      </c>
      <c r="Q26" s="6"/>
      <c r="R26" s="10"/>
    </row>
    <row r="27" spans="2:18" ht="15" thickBot="1" x14ac:dyDescent="0.35">
      <c r="B27" s="6"/>
      <c r="C27" s="16"/>
      <c r="D27" s="5"/>
      <c r="E27" s="5"/>
      <c r="F27" s="6"/>
      <c r="G27" s="357"/>
      <c r="H27" s="10"/>
      <c r="J27" s="10"/>
      <c r="K27" s="14"/>
      <c r="M27" s="6" t="s">
        <v>4148</v>
      </c>
      <c r="N27" s="13">
        <v>-430937.7</v>
      </c>
      <c r="Q27" s="45" t="s">
        <v>74</v>
      </c>
      <c r="R27" s="33">
        <f>SUM(R12:R26)</f>
        <v>0</v>
      </c>
    </row>
    <row r="28" spans="2:18" x14ac:dyDescent="0.3">
      <c r="B28" s="6"/>
      <c r="C28" s="16"/>
      <c r="F28" s="6"/>
      <c r="G28" s="357"/>
      <c r="H28" s="10"/>
      <c r="J28" s="10"/>
      <c r="K28" s="14"/>
      <c r="M28" s="6" t="s">
        <v>4106</v>
      </c>
      <c r="N28" s="13">
        <v>-70812</v>
      </c>
    </row>
    <row r="29" spans="2:18" ht="15" thickBot="1" x14ac:dyDescent="0.35">
      <c r="B29" s="6"/>
      <c r="C29" s="16"/>
      <c r="F29" s="6"/>
      <c r="G29" s="357"/>
      <c r="H29" s="10"/>
      <c r="J29" s="10"/>
      <c r="K29" s="14"/>
      <c r="M29" s="6" t="s">
        <v>3985</v>
      </c>
      <c r="N29" s="13">
        <v>-74465</v>
      </c>
    </row>
    <row r="30" spans="2:18" ht="15" thickBot="1" x14ac:dyDescent="0.35">
      <c r="B30" s="7" t="s">
        <v>74</v>
      </c>
      <c r="C30" s="33">
        <f>SUM(C23:C29)</f>
        <v>0</v>
      </c>
      <c r="F30" s="7" t="s">
        <v>74</v>
      </c>
      <c r="G30" s="358">
        <f>SUBTOTAL(9,G23:G29)</f>
        <v>0</v>
      </c>
      <c r="H30" s="39">
        <v>0</v>
      </c>
      <c r="J30" s="40" t="s">
        <v>74</v>
      </c>
      <c r="K30" s="14"/>
      <c r="M30" s="6" t="s">
        <v>3974</v>
      </c>
      <c r="N30" s="13">
        <v>-1222300.98</v>
      </c>
    </row>
    <row r="31" spans="2:18" x14ac:dyDescent="0.3">
      <c r="M31" s="6" t="s">
        <v>3987</v>
      </c>
      <c r="N31" s="13">
        <v>-20794</v>
      </c>
    </row>
    <row r="32" spans="2:18" x14ac:dyDescent="0.3">
      <c r="M32" s="6" t="s">
        <v>3988</v>
      </c>
      <c r="N32" s="13">
        <v>-106536</v>
      </c>
    </row>
    <row r="33" spans="2:14" x14ac:dyDescent="0.3">
      <c r="B33" s="347" t="s">
        <v>2357</v>
      </c>
      <c r="C33" s="402"/>
      <c r="D33" s="1"/>
      <c r="M33" s="6" t="s">
        <v>3989</v>
      </c>
      <c r="N33" s="13">
        <v>-57886</v>
      </c>
    </row>
    <row r="34" spans="2:14" ht="15" thickBot="1" x14ac:dyDescent="0.35">
      <c r="B34" s="347" t="s">
        <v>66</v>
      </c>
      <c r="C34" s="348">
        <f>SUM(C36:C102)</f>
        <v>5132863.25</v>
      </c>
      <c r="D34" s="348">
        <f>SUM(D36:D102)</f>
        <v>-1600652.75</v>
      </c>
      <c r="F34" s="347" t="s">
        <v>2413</v>
      </c>
      <c r="H34" s="348">
        <f>SUM(G36:G76)+SUM(H36:H76)</f>
        <v>280297</v>
      </c>
      <c r="M34" s="6" t="s">
        <v>4066</v>
      </c>
      <c r="N34" s="13">
        <f>-206250-173488</f>
        <v>-379738</v>
      </c>
    </row>
    <row r="35" spans="2:14" ht="15" thickBot="1" x14ac:dyDescent="0.35">
      <c r="B35" s="30" t="s">
        <v>66</v>
      </c>
      <c r="C35" s="349" t="s">
        <v>52</v>
      </c>
      <c r="D35" s="349" t="s">
        <v>2568</v>
      </c>
      <c r="F35" s="30" t="s">
        <v>68</v>
      </c>
      <c r="G35" s="349" t="s">
        <v>52</v>
      </c>
      <c r="H35" s="349" t="s">
        <v>2568</v>
      </c>
      <c r="M35" s="6" t="s">
        <v>3626</v>
      </c>
      <c r="N35" s="13">
        <v>-48125</v>
      </c>
    </row>
    <row r="36" spans="2:14" x14ac:dyDescent="0.3">
      <c r="B36" s="6" t="s">
        <v>3278</v>
      </c>
      <c r="C36" s="351">
        <v>1004150</v>
      </c>
      <c r="D36" s="351">
        <v>-723853</v>
      </c>
      <c r="F36" s="6" t="s">
        <v>3278</v>
      </c>
      <c r="G36" s="357">
        <v>1004150</v>
      </c>
      <c r="H36" s="357">
        <v>-723853</v>
      </c>
      <c r="M36" s="6" t="s">
        <v>3765</v>
      </c>
      <c r="N36" s="13">
        <v>-255351.42</v>
      </c>
    </row>
    <row r="37" spans="2:14" x14ac:dyDescent="0.3">
      <c r="B37" s="6" t="s">
        <v>3277</v>
      </c>
      <c r="C37" s="351">
        <v>106941</v>
      </c>
      <c r="D37" s="351"/>
      <c r="F37" s="6"/>
      <c r="G37" s="357"/>
      <c r="H37" s="357"/>
      <c r="M37" s="6" t="s">
        <v>3766</v>
      </c>
      <c r="N37" s="13">
        <v>-119115</v>
      </c>
    </row>
    <row r="38" spans="2:14" x14ac:dyDescent="0.3">
      <c r="B38" s="6" t="s">
        <v>3279</v>
      </c>
      <c r="C38" s="351">
        <v>420280</v>
      </c>
      <c r="D38" s="351"/>
      <c r="F38" s="6"/>
      <c r="G38" s="357"/>
      <c r="H38" s="357"/>
      <c r="M38" s="6" t="s">
        <v>3767</v>
      </c>
      <c r="N38" s="13">
        <v>-553787.18999999994</v>
      </c>
    </row>
    <row r="39" spans="2:14" x14ac:dyDescent="0.3">
      <c r="B39" s="6" t="s">
        <v>3022</v>
      </c>
      <c r="C39" s="351"/>
      <c r="D39" s="351">
        <v>-3690</v>
      </c>
      <c r="F39" s="6"/>
      <c r="G39" s="357"/>
      <c r="H39" s="357"/>
      <c r="M39" s="6" t="s">
        <v>3272</v>
      </c>
      <c r="N39" s="13">
        <v>-86900</v>
      </c>
    </row>
    <row r="40" spans="2:14" x14ac:dyDescent="0.3">
      <c r="B40" s="6" t="s">
        <v>3722</v>
      </c>
      <c r="C40" s="357">
        <v>678495.5</v>
      </c>
      <c r="D40" s="357">
        <v>-75000.05</v>
      </c>
      <c r="F40" s="6"/>
      <c r="G40" s="357"/>
      <c r="H40" s="357"/>
      <c r="M40" s="6" t="s">
        <v>3273</v>
      </c>
      <c r="N40" s="13">
        <v>-143910</v>
      </c>
    </row>
    <row r="41" spans="2:14" ht="15" thickBot="1" x14ac:dyDescent="0.35">
      <c r="B41" s="6" t="s">
        <v>3745</v>
      </c>
      <c r="C41" s="357">
        <v>677312</v>
      </c>
      <c r="D41" s="357">
        <v>-20609</v>
      </c>
      <c r="F41" s="6"/>
      <c r="G41" s="357"/>
      <c r="H41" s="357"/>
      <c r="M41" s="6" t="s">
        <v>3494</v>
      </c>
      <c r="N41" s="351">
        <v>-196613.12</v>
      </c>
    </row>
    <row r="42" spans="2:14" ht="15" thickBot="1" x14ac:dyDescent="0.35">
      <c r="B42" s="6" t="s">
        <v>3979</v>
      </c>
      <c r="C42" s="357">
        <v>868920</v>
      </c>
      <c r="D42" s="357">
        <v>-748329.5</v>
      </c>
      <c r="F42" s="6"/>
      <c r="G42" s="357"/>
      <c r="H42" s="357"/>
      <c r="M42" s="7" t="s">
        <v>74</v>
      </c>
      <c r="N42" s="42">
        <f>SUM(N23:N41)</f>
        <v>-4299847.6499999994</v>
      </c>
    </row>
    <row r="43" spans="2:14" x14ac:dyDescent="0.3">
      <c r="B43" s="6" t="s">
        <v>3981</v>
      </c>
      <c r="C43" s="357">
        <v>681628.75</v>
      </c>
      <c r="D43" s="357"/>
      <c r="F43" s="6"/>
      <c r="G43" s="357"/>
      <c r="H43" s="357"/>
    </row>
    <row r="44" spans="2:14" x14ac:dyDescent="0.3">
      <c r="B44" s="6" t="s">
        <v>3983</v>
      </c>
      <c r="C44" s="357">
        <v>695136</v>
      </c>
      <c r="D44" s="357"/>
      <c r="F44" s="6"/>
      <c r="G44" s="357"/>
      <c r="H44" s="357"/>
    </row>
    <row r="45" spans="2:14" x14ac:dyDescent="0.3">
      <c r="B45" s="6" t="s">
        <v>3276</v>
      </c>
      <c r="C45" s="357"/>
      <c r="D45" s="357">
        <v>-3743.95</v>
      </c>
      <c r="F45" s="6"/>
      <c r="G45" s="357"/>
      <c r="H45" s="357"/>
    </row>
    <row r="46" spans="2:14" x14ac:dyDescent="0.3">
      <c r="B46" s="6" t="s">
        <v>3980</v>
      </c>
      <c r="C46" s="357"/>
      <c r="D46" s="357">
        <v>-8578</v>
      </c>
      <c r="F46" s="6"/>
      <c r="G46" s="357"/>
      <c r="H46" s="357"/>
    </row>
    <row r="47" spans="2:14" x14ac:dyDescent="0.3">
      <c r="B47" s="6" t="s">
        <v>3982</v>
      </c>
      <c r="C47" s="357"/>
      <c r="D47" s="357">
        <v>-16849.25</v>
      </c>
      <c r="F47" s="6"/>
      <c r="G47" s="357"/>
      <c r="H47" s="357"/>
    </row>
    <row r="48" spans="2:14" x14ac:dyDescent="0.3">
      <c r="B48" s="6"/>
      <c r="C48" s="357"/>
      <c r="D48" s="357"/>
      <c r="F48" s="6"/>
      <c r="G48" s="357"/>
      <c r="H48" s="357"/>
    </row>
    <row r="49" spans="2:8" x14ac:dyDescent="0.3">
      <c r="B49" s="6"/>
      <c r="C49" s="357"/>
      <c r="D49" s="357"/>
      <c r="F49" s="6"/>
      <c r="G49" s="357"/>
      <c r="H49" s="357"/>
    </row>
    <row r="50" spans="2:8" x14ac:dyDescent="0.3">
      <c r="B50" s="6"/>
      <c r="C50" s="357"/>
      <c r="D50" s="357"/>
      <c r="F50" s="6"/>
      <c r="G50" s="357"/>
      <c r="H50" s="357"/>
    </row>
    <row r="51" spans="2:8" x14ac:dyDescent="0.3">
      <c r="B51" s="6"/>
      <c r="C51" s="357"/>
      <c r="D51" s="357"/>
      <c r="F51" s="6"/>
      <c r="G51" s="357"/>
      <c r="H51" s="357"/>
    </row>
    <row r="52" spans="2:8" x14ac:dyDescent="0.3">
      <c r="B52" s="6"/>
      <c r="C52" s="357"/>
      <c r="D52" s="357"/>
      <c r="F52" s="6"/>
      <c r="G52" s="357"/>
      <c r="H52" s="357"/>
    </row>
    <row r="53" spans="2:8" x14ac:dyDescent="0.3">
      <c r="B53" s="6"/>
      <c r="C53" s="357"/>
      <c r="D53" s="357"/>
      <c r="F53" s="6"/>
      <c r="G53" s="357"/>
      <c r="H53" s="357"/>
    </row>
    <row r="54" spans="2:8" x14ac:dyDescent="0.3">
      <c r="B54" s="6"/>
      <c r="C54" s="357"/>
      <c r="D54" s="357"/>
      <c r="F54" s="6"/>
      <c r="G54" s="357"/>
      <c r="H54" s="357"/>
    </row>
    <row r="55" spans="2:8" x14ac:dyDescent="0.3">
      <c r="B55" s="6"/>
      <c r="C55" s="357"/>
      <c r="D55" s="357"/>
      <c r="F55" s="6"/>
      <c r="G55" s="357"/>
      <c r="H55" s="357"/>
    </row>
    <row r="56" spans="2:8" x14ac:dyDescent="0.3">
      <c r="B56" s="6"/>
      <c r="C56" s="357"/>
      <c r="D56" s="357"/>
      <c r="F56" s="6"/>
      <c r="G56" s="357"/>
      <c r="H56" s="357"/>
    </row>
    <row r="57" spans="2:8" x14ac:dyDescent="0.3">
      <c r="B57" s="6"/>
      <c r="C57" s="357"/>
      <c r="D57" s="357"/>
      <c r="F57" s="6"/>
      <c r="G57" s="357"/>
      <c r="H57" s="357"/>
    </row>
    <row r="58" spans="2:8" x14ac:dyDescent="0.3">
      <c r="B58" s="6"/>
      <c r="C58" s="357"/>
      <c r="D58" s="357"/>
      <c r="F58" s="6"/>
      <c r="G58" s="357"/>
      <c r="H58" s="357"/>
    </row>
    <row r="59" spans="2:8" x14ac:dyDescent="0.3">
      <c r="B59" s="6"/>
      <c r="C59" s="357"/>
      <c r="D59" s="357"/>
      <c r="F59" s="6"/>
      <c r="G59" s="357"/>
      <c r="H59" s="357"/>
    </row>
    <row r="60" spans="2:8" x14ac:dyDescent="0.3">
      <c r="B60" s="6"/>
      <c r="C60" s="357"/>
      <c r="D60" s="357"/>
      <c r="F60" s="6"/>
      <c r="G60" s="357"/>
      <c r="H60" s="357"/>
    </row>
    <row r="61" spans="2:8" x14ac:dyDescent="0.3">
      <c r="B61" s="6"/>
      <c r="C61" s="357"/>
      <c r="D61" s="357"/>
      <c r="F61" s="6"/>
      <c r="G61" s="357"/>
      <c r="H61" s="357"/>
    </row>
    <row r="62" spans="2:8" x14ac:dyDescent="0.3">
      <c r="B62" s="6"/>
      <c r="C62" s="357"/>
      <c r="D62" s="357"/>
      <c r="F62" s="6"/>
      <c r="G62" s="357"/>
      <c r="H62" s="357"/>
    </row>
    <row r="63" spans="2:8" x14ac:dyDescent="0.3">
      <c r="B63" s="6"/>
      <c r="C63" s="357"/>
      <c r="D63" s="357"/>
      <c r="F63" s="6"/>
      <c r="G63" s="357"/>
      <c r="H63" s="357"/>
    </row>
    <row r="64" spans="2:8" x14ac:dyDescent="0.3">
      <c r="B64" s="6"/>
      <c r="C64" s="357"/>
      <c r="D64" s="357"/>
      <c r="F64" s="6"/>
      <c r="G64" s="357"/>
      <c r="H64" s="357"/>
    </row>
    <row r="65" spans="2:8" x14ac:dyDescent="0.3">
      <c r="B65" s="6"/>
      <c r="C65" s="357"/>
      <c r="D65" s="357"/>
      <c r="F65" s="6"/>
      <c r="G65" s="357"/>
      <c r="H65" s="357"/>
    </row>
    <row r="66" spans="2:8" x14ac:dyDescent="0.3">
      <c r="B66" s="6"/>
      <c r="C66" s="357"/>
      <c r="D66" s="357"/>
      <c r="F66" s="6"/>
      <c r="G66" s="357"/>
      <c r="H66" s="357"/>
    </row>
    <row r="67" spans="2:8" x14ac:dyDescent="0.3">
      <c r="B67" s="6"/>
      <c r="C67" s="357"/>
      <c r="D67" s="357"/>
      <c r="F67" s="6"/>
      <c r="G67" s="357"/>
      <c r="H67" s="357"/>
    </row>
    <row r="68" spans="2:8" x14ac:dyDescent="0.3">
      <c r="B68" s="6"/>
      <c r="C68" s="357"/>
      <c r="D68" s="357"/>
      <c r="F68" s="6"/>
      <c r="G68" s="357"/>
      <c r="H68" s="357"/>
    </row>
    <row r="69" spans="2:8" x14ac:dyDescent="0.3">
      <c r="B69" s="6"/>
      <c r="C69" s="357"/>
      <c r="D69" s="357"/>
      <c r="F69" s="6"/>
      <c r="G69" s="357"/>
      <c r="H69" s="357"/>
    </row>
    <row r="70" spans="2:8" x14ac:dyDescent="0.3">
      <c r="B70" s="6"/>
      <c r="C70" s="357"/>
      <c r="D70" s="357"/>
      <c r="F70" s="6"/>
      <c r="G70" s="357"/>
      <c r="H70" s="357"/>
    </row>
    <row r="71" spans="2:8" x14ac:dyDescent="0.3">
      <c r="B71" s="6"/>
      <c r="C71" s="357"/>
      <c r="D71" s="357"/>
      <c r="F71" s="6"/>
      <c r="G71" s="357"/>
      <c r="H71" s="357"/>
    </row>
    <row r="72" spans="2:8" x14ac:dyDescent="0.3">
      <c r="B72" s="6"/>
      <c r="C72" s="357"/>
      <c r="D72" s="357"/>
      <c r="F72" s="6"/>
      <c r="G72" s="357"/>
      <c r="H72" s="357"/>
    </row>
    <row r="73" spans="2:8" x14ac:dyDescent="0.3">
      <c r="B73" s="6"/>
      <c r="C73" s="357"/>
      <c r="D73" s="357"/>
      <c r="F73" s="6"/>
      <c r="G73" s="357"/>
      <c r="H73" s="357"/>
    </row>
    <row r="74" spans="2:8" x14ac:dyDescent="0.3">
      <c r="B74" s="6"/>
      <c r="C74" s="357"/>
      <c r="D74" s="357"/>
      <c r="F74" s="6"/>
      <c r="G74" s="357"/>
      <c r="H74" s="357"/>
    </row>
    <row r="75" spans="2:8" x14ac:dyDescent="0.3">
      <c r="B75" s="6"/>
      <c r="C75" s="357"/>
      <c r="D75" s="357"/>
      <c r="F75" s="6"/>
      <c r="G75" s="357"/>
      <c r="H75" s="357"/>
    </row>
    <row r="76" spans="2:8" ht="15" thickBot="1" x14ac:dyDescent="0.35">
      <c r="B76" s="6"/>
      <c r="C76" s="357"/>
      <c r="D76" s="357"/>
      <c r="F76" s="9"/>
      <c r="G76" s="359"/>
      <c r="H76" s="359"/>
    </row>
    <row r="77" spans="2:8" x14ac:dyDescent="0.3">
      <c r="B77" s="6"/>
      <c r="C77" s="357"/>
      <c r="D77" s="357"/>
    </row>
    <row r="78" spans="2:8" x14ac:dyDescent="0.3">
      <c r="B78" s="6"/>
      <c r="C78" s="357"/>
      <c r="D78" s="357"/>
    </row>
    <row r="79" spans="2:8" x14ac:dyDescent="0.3">
      <c r="B79" s="6"/>
      <c r="C79" s="357"/>
      <c r="D79" s="357"/>
    </row>
    <row r="80" spans="2:8" x14ac:dyDescent="0.3">
      <c r="B80" s="6"/>
      <c r="C80" s="357"/>
      <c r="D80" s="357"/>
    </row>
    <row r="81" spans="3:4" x14ac:dyDescent="0.3">
      <c r="C81" s="357"/>
      <c r="D81" s="357"/>
    </row>
    <row r="82" spans="3:4" x14ac:dyDescent="0.3">
      <c r="C82" s="357"/>
      <c r="D82" s="357"/>
    </row>
    <row r="83" spans="3:4" x14ac:dyDescent="0.3">
      <c r="C83" s="357"/>
      <c r="D83" s="357"/>
    </row>
    <row r="84" spans="3:4" x14ac:dyDescent="0.3">
      <c r="C84" s="357"/>
      <c r="D84" s="357"/>
    </row>
    <row r="85" spans="3:4" x14ac:dyDescent="0.3">
      <c r="C85" s="357"/>
      <c r="D85" s="357"/>
    </row>
    <row r="86" spans="3:4" x14ac:dyDescent="0.3">
      <c r="C86" s="357"/>
      <c r="D86" s="357"/>
    </row>
    <row r="87" spans="3:4" x14ac:dyDescent="0.3">
      <c r="C87" s="357"/>
      <c r="D87" s="357"/>
    </row>
    <row r="88" spans="3:4" x14ac:dyDescent="0.3">
      <c r="C88" s="357"/>
    </row>
    <row r="89" spans="3:4" x14ac:dyDescent="0.3">
      <c r="C89" s="357"/>
    </row>
    <row r="90" spans="3:4" x14ac:dyDescent="0.3">
      <c r="C90" s="357"/>
    </row>
    <row r="706" spans="33:33" x14ac:dyDescent="0.3">
      <c r="AG706">
        <v>-568957</v>
      </c>
    </row>
    <row r="711" spans="33:33" x14ac:dyDescent="0.3">
      <c r="AG711">
        <f>-AG707+AG708-AG709</f>
        <v>0</v>
      </c>
    </row>
  </sheetData>
  <conditionalFormatting sqref="B6:B9">
    <cfRule type="duplicateValues" dxfId="40" priority="70"/>
    <cfRule type="duplicateValues" dxfId="39" priority="69"/>
    <cfRule type="duplicateValues" dxfId="38" priority="67"/>
  </conditionalFormatting>
  <conditionalFormatting sqref="B6:B14 F6:F18">
    <cfRule type="duplicateValues" dxfId="37" priority="17795"/>
  </conditionalFormatting>
  <conditionalFormatting sqref="B6:B18 F6:F18">
    <cfRule type="duplicateValues" dxfId="36" priority="17798"/>
  </conditionalFormatting>
  <conditionalFormatting sqref="B18">
    <cfRule type="duplicateValues" dxfId="35" priority="15"/>
    <cfRule type="duplicateValues" dxfId="34" priority="16"/>
  </conditionalFormatting>
  <conditionalFormatting sqref="B36:B39">
    <cfRule type="duplicateValues" dxfId="33" priority="17"/>
    <cfRule type="duplicateValues" dxfId="32" priority="18"/>
    <cfRule type="duplicateValues" dxfId="31" priority="19"/>
    <cfRule type="duplicateValues" dxfId="30" priority="20"/>
  </conditionalFormatting>
  <conditionalFormatting sqref="D39">
    <cfRule type="duplicateValues" dxfId="29" priority="12"/>
  </conditionalFormatting>
  <conditionalFormatting sqref="F6:F18">
    <cfRule type="duplicateValues" dxfId="28" priority="17797"/>
  </conditionalFormatting>
  <conditionalFormatting sqref="F7:F8">
    <cfRule type="duplicateValues" dxfId="27" priority="1"/>
    <cfRule type="duplicateValues" dxfId="26" priority="2"/>
    <cfRule type="duplicateValues" dxfId="25" priority="3"/>
  </conditionalFormatting>
  <conditionalFormatting sqref="F18">
    <cfRule type="duplicateValues" dxfId="24" priority="28"/>
  </conditionalFormatting>
  <conditionalFormatting sqref="F23">
    <cfRule type="duplicateValues" dxfId="23" priority="30"/>
    <cfRule type="duplicateValues" dxfId="22" priority="31"/>
    <cfRule type="duplicateValues" dxfId="21" priority="32"/>
    <cfRule type="duplicateValues" dxfId="20" priority="33"/>
    <cfRule type="duplicateValues" dxfId="19" priority="29"/>
  </conditionalFormatting>
  <conditionalFormatting sqref="G36:G63 C36:C90">
    <cfRule type="duplicateValues" dxfId="18" priority="21033"/>
  </conditionalFormatting>
  <conditionalFormatting sqref="H36:H63">
    <cfRule type="duplicateValues" dxfId="17" priority="13"/>
  </conditionalFormatting>
  <conditionalFormatting sqref="M6">
    <cfRule type="duplicateValues" dxfId="16" priority="42"/>
    <cfRule type="duplicateValues" dxfId="15" priority="43"/>
    <cfRule type="duplicateValues" dxfId="14" priority="41"/>
  </conditionalFormatting>
  <conditionalFormatting sqref="M6:M14">
    <cfRule type="duplicateValues" dxfId="13" priority="44"/>
  </conditionalFormatting>
  <conditionalFormatting sqref="M6:M18 B6:B18 F6:F18">
    <cfRule type="duplicateValues" dxfId="12" priority="17807"/>
  </conditionalFormatting>
  <conditionalFormatting sqref="M6:M18">
    <cfRule type="duplicateValues" dxfId="11" priority="17813"/>
  </conditionalFormatting>
  <conditionalFormatting sqref="M15">
    <cfRule type="duplicateValues" dxfId="10" priority="27"/>
    <cfRule type="duplicateValues" dxfId="9" priority="26"/>
  </conditionalFormatting>
  <conditionalFormatting sqref="M23:M32">
    <cfRule type="duplicateValues" dxfId="8" priority="21217"/>
    <cfRule type="duplicateValues" dxfId="7" priority="21218"/>
    <cfRule type="duplicateValues" dxfId="6" priority="21219"/>
  </conditionalFormatting>
  <conditionalFormatting sqref="M23:M37">
    <cfRule type="duplicateValues" dxfId="5" priority="21223"/>
  </conditionalFormatting>
  <conditionalFormatting sqref="M23:M41">
    <cfRule type="duplicateValues" dxfId="4" priority="21225"/>
  </conditionalFormatting>
  <conditionalFormatting sqref="M41">
    <cfRule type="duplicateValues" dxfId="3" priority="5"/>
    <cfRule type="duplicateValues" dxfId="2" priority="4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R68"/>
  <sheetViews>
    <sheetView showGridLines="0" topLeftCell="F37" workbookViewId="0">
      <selection activeCell="K57" sqref="K57"/>
    </sheetView>
  </sheetViews>
  <sheetFormatPr defaultRowHeight="14.4" x14ac:dyDescent="0.3"/>
  <cols>
    <col min="2" max="2" width="14.77734375" customWidth="1"/>
    <col min="3" max="3" width="14.44140625" bestFit="1" customWidth="1"/>
    <col min="4" max="4" width="18" bestFit="1" customWidth="1"/>
    <col min="5" max="5" width="55.33203125" bestFit="1" customWidth="1"/>
    <col min="6" max="7" width="9.44140625" bestFit="1" customWidth="1"/>
    <col min="8" max="8" width="20.109375" customWidth="1"/>
    <col min="9" max="9" width="15" bestFit="1" customWidth="1"/>
    <col min="10" max="10" width="18.109375" bestFit="1" customWidth="1"/>
    <col min="11" max="11" width="53.6640625" bestFit="1" customWidth="1"/>
    <col min="12" max="12" width="10.77734375" bestFit="1" customWidth="1"/>
    <col min="13" max="13" width="9.77734375" bestFit="1" customWidth="1"/>
    <col min="14" max="14" width="36.21875" bestFit="1" customWidth="1"/>
    <col min="15" max="15" width="15.88671875" bestFit="1" customWidth="1"/>
    <col min="16" max="16" width="13.5546875" bestFit="1" customWidth="1"/>
    <col min="17" max="17" width="22.6640625" bestFit="1" customWidth="1"/>
    <col min="18" max="18" width="8.109375" bestFit="1" customWidth="1"/>
  </cols>
  <sheetData>
    <row r="1" spans="2:18" ht="15" thickBot="1" x14ac:dyDescent="0.35"/>
    <row r="2" spans="2:18" ht="15" thickBot="1" x14ac:dyDescent="0.35">
      <c r="D2" s="220" t="s">
        <v>85</v>
      </c>
      <c r="E2" s="221" t="s">
        <v>83</v>
      </c>
      <c r="F2" s="225" t="s">
        <v>52</v>
      </c>
      <c r="J2" s="220" t="s">
        <v>85</v>
      </c>
      <c r="K2" s="221" t="s">
        <v>83</v>
      </c>
      <c r="L2" s="225" t="s">
        <v>52</v>
      </c>
    </row>
    <row r="3" spans="2:18" x14ac:dyDescent="0.3">
      <c r="D3" s="222"/>
      <c r="E3" s="17" t="s">
        <v>113</v>
      </c>
      <c r="F3" s="227"/>
      <c r="J3" s="222"/>
      <c r="K3" s="17" t="s">
        <v>117</v>
      </c>
      <c r="L3" s="227"/>
    </row>
    <row r="4" spans="2:18" x14ac:dyDescent="0.3">
      <c r="D4" s="222"/>
      <c r="E4" s="17" t="s">
        <v>114</v>
      </c>
      <c r="F4" s="228"/>
      <c r="J4" s="222"/>
      <c r="K4" s="17" t="s">
        <v>118</v>
      </c>
      <c r="L4" s="228"/>
    </row>
    <row r="5" spans="2:18" x14ac:dyDescent="0.3">
      <c r="D5" s="222"/>
      <c r="E5" s="17"/>
      <c r="F5" s="228"/>
      <c r="J5" s="222"/>
      <c r="K5" s="17"/>
      <c r="L5" s="228"/>
    </row>
    <row r="6" spans="2:18" x14ac:dyDescent="0.3">
      <c r="D6" s="222"/>
      <c r="E6" s="17"/>
      <c r="F6" s="228"/>
      <c r="J6" s="222"/>
      <c r="K6" s="17"/>
      <c r="L6" s="228"/>
    </row>
    <row r="7" spans="2:18" x14ac:dyDescent="0.3">
      <c r="D7" s="222"/>
      <c r="E7" s="17"/>
      <c r="F7" s="229">
        <f>SUBTOTAL(9,F3:F6)</f>
        <v>0</v>
      </c>
      <c r="J7" s="222"/>
      <c r="K7" s="17"/>
      <c r="L7" s="229"/>
    </row>
    <row r="8" spans="2:18" x14ac:dyDescent="0.3">
      <c r="D8" s="222"/>
      <c r="E8" s="17" t="s">
        <v>115</v>
      </c>
      <c r="F8" s="228">
        <f>F47</f>
        <v>0</v>
      </c>
      <c r="J8" s="222"/>
      <c r="K8" s="17" t="s">
        <v>86</v>
      </c>
      <c r="L8" s="228">
        <f>L6</f>
        <v>0</v>
      </c>
    </row>
    <row r="9" spans="2:18" ht="15" thickBot="1" x14ac:dyDescent="0.35">
      <c r="D9" s="222"/>
      <c r="E9" s="17" t="s">
        <v>99</v>
      </c>
      <c r="F9" s="230"/>
      <c r="J9" s="222"/>
      <c r="K9" s="17" t="s">
        <v>87</v>
      </c>
      <c r="L9" s="230">
        <f>'Last year''s'!L68</f>
        <v>0</v>
      </c>
    </row>
    <row r="10" spans="2:18" ht="15" thickBot="1" x14ac:dyDescent="0.35">
      <c r="D10" s="223"/>
      <c r="E10" s="224"/>
      <c r="F10" s="226">
        <f>F7-F8</f>
        <v>0</v>
      </c>
      <c r="J10" s="223"/>
      <c r="K10" s="224" t="s">
        <v>88</v>
      </c>
      <c r="L10" s="226">
        <f>L8-L9</f>
        <v>0</v>
      </c>
    </row>
    <row r="11" spans="2:18" x14ac:dyDescent="0.3">
      <c r="F11" s="1"/>
    </row>
    <row r="12" spans="2:18" ht="15" thickBot="1" x14ac:dyDescent="0.35">
      <c r="B12" s="44" t="s">
        <v>3704</v>
      </c>
      <c r="C12" s="44"/>
      <c r="F12" s="22">
        <f>-SUM(F14:F46)</f>
        <v>-30861.525423728817</v>
      </c>
      <c r="H12" s="48" t="s">
        <v>3705</v>
      </c>
      <c r="I12" s="48"/>
      <c r="J12" s="48"/>
      <c r="L12" s="1">
        <f>-SUM(L14:L67)</f>
        <v>-149552</v>
      </c>
      <c r="N12" s="44" t="s">
        <v>177</v>
      </c>
      <c r="O12" s="44"/>
      <c r="P12" s="44"/>
    </row>
    <row r="13" spans="2:18" ht="15" thickBot="1" x14ac:dyDescent="0.35">
      <c r="B13" s="32" t="s">
        <v>76</v>
      </c>
      <c r="C13" s="27" t="s">
        <v>80</v>
      </c>
      <c r="D13" s="28" t="s">
        <v>81</v>
      </c>
      <c r="E13" s="27" t="s">
        <v>112</v>
      </c>
      <c r="F13" s="29" t="s">
        <v>72</v>
      </c>
      <c r="H13" s="26" t="s">
        <v>76</v>
      </c>
      <c r="I13" s="27" t="s">
        <v>69</v>
      </c>
      <c r="J13" s="28" t="s">
        <v>70</v>
      </c>
      <c r="K13" s="27" t="s">
        <v>71</v>
      </c>
      <c r="L13" s="29" t="s">
        <v>116</v>
      </c>
      <c r="N13" s="30" t="s">
        <v>109</v>
      </c>
      <c r="O13" s="31" t="s">
        <v>110</v>
      </c>
      <c r="P13" s="41" t="s">
        <v>111</v>
      </c>
      <c r="Q13" s="41" t="s">
        <v>112</v>
      </c>
      <c r="R13" s="41" t="s">
        <v>52</v>
      </c>
    </row>
    <row r="14" spans="2:18" x14ac:dyDescent="0.3">
      <c r="B14" s="10" t="s">
        <v>3409</v>
      </c>
      <c r="C14" s="46">
        <v>46135</v>
      </c>
      <c r="D14" t="s">
        <v>3410</v>
      </c>
      <c r="E14" s="10" t="s">
        <v>250</v>
      </c>
      <c r="F14" s="20">
        <v>1950</v>
      </c>
      <c r="H14" s="6" t="s">
        <v>3409</v>
      </c>
      <c r="I14" s="46">
        <v>46135</v>
      </c>
      <c r="J14" t="s">
        <v>3428</v>
      </c>
      <c r="K14" s="10" t="s">
        <v>1465</v>
      </c>
      <c r="L14" s="18">
        <v>2016</v>
      </c>
      <c r="N14" s="43">
        <v>45762</v>
      </c>
      <c r="O14" s="10" t="s">
        <v>280</v>
      </c>
      <c r="P14" s="8"/>
      <c r="Q14" s="8" t="s">
        <v>250</v>
      </c>
      <c r="R14" s="20">
        <v>43229</v>
      </c>
    </row>
    <row r="15" spans="2:18" x14ac:dyDescent="0.3">
      <c r="B15" s="10" t="s">
        <v>3411</v>
      </c>
      <c r="C15" s="46">
        <v>46135</v>
      </c>
      <c r="D15" t="s">
        <v>3412</v>
      </c>
      <c r="E15" s="10" t="s">
        <v>250</v>
      </c>
      <c r="F15" s="20">
        <v>2275</v>
      </c>
      <c r="H15" s="6" t="s">
        <v>3411</v>
      </c>
      <c r="I15" s="46">
        <v>46135</v>
      </c>
      <c r="J15" t="s">
        <v>3429</v>
      </c>
      <c r="K15" s="10" t="s">
        <v>1465</v>
      </c>
      <c r="L15" s="18">
        <v>2352</v>
      </c>
      <c r="N15" s="43"/>
      <c r="O15" s="10"/>
      <c r="P15" s="8"/>
      <c r="Q15" s="8"/>
      <c r="R15" s="20"/>
    </row>
    <row r="16" spans="2:18" x14ac:dyDescent="0.3">
      <c r="B16" s="10" t="s">
        <v>3413</v>
      </c>
      <c r="C16" s="46">
        <v>46135</v>
      </c>
      <c r="D16" t="s">
        <v>3414</v>
      </c>
      <c r="E16" s="10" t="s">
        <v>250</v>
      </c>
      <c r="F16" s="20">
        <v>1950</v>
      </c>
      <c r="H16" s="6" t="s">
        <v>3413</v>
      </c>
      <c r="I16" s="46">
        <v>46135</v>
      </c>
      <c r="J16" t="s">
        <v>3430</v>
      </c>
      <c r="K16" s="10" t="s">
        <v>1465</v>
      </c>
      <c r="L16" s="18">
        <v>2010</v>
      </c>
      <c r="N16" s="43"/>
      <c r="O16" s="10"/>
      <c r="P16" s="8"/>
      <c r="Q16" s="8"/>
      <c r="R16" s="20"/>
    </row>
    <row r="17" spans="2:18" x14ac:dyDescent="0.3">
      <c r="B17" s="10" t="s">
        <v>3415</v>
      </c>
      <c r="C17" s="46">
        <v>46135</v>
      </c>
      <c r="D17" t="s">
        <v>3416</v>
      </c>
      <c r="E17" s="10" t="s">
        <v>250</v>
      </c>
      <c r="F17" s="20">
        <v>4550</v>
      </c>
      <c r="H17" s="6" t="s">
        <v>3415</v>
      </c>
      <c r="I17" s="46">
        <v>46135</v>
      </c>
      <c r="J17" t="s">
        <v>3431</v>
      </c>
      <c r="K17" s="10" t="s">
        <v>1465</v>
      </c>
      <c r="L17" s="18">
        <v>4690</v>
      </c>
      <c r="N17" s="43"/>
      <c r="O17" s="10"/>
      <c r="P17" s="8"/>
      <c r="Q17" s="8"/>
      <c r="R17" s="20"/>
    </row>
    <row r="18" spans="2:18" x14ac:dyDescent="0.3">
      <c r="B18" s="10" t="s">
        <v>3417</v>
      </c>
      <c r="C18" s="46">
        <v>46135</v>
      </c>
      <c r="D18" t="s">
        <v>3418</v>
      </c>
      <c r="E18" s="10" t="s">
        <v>250</v>
      </c>
      <c r="F18" s="20">
        <v>975</v>
      </c>
      <c r="H18" s="6" t="s">
        <v>3417</v>
      </c>
      <c r="I18" s="46">
        <v>46135</v>
      </c>
      <c r="J18" t="s">
        <v>3432</v>
      </c>
      <c r="K18" s="10" t="s">
        <v>1465</v>
      </c>
      <c r="L18" s="18">
        <v>1005</v>
      </c>
      <c r="N18" s="43"/>
      <c r="O18" s="10"/>
      <c r="P18" s="8"/>
      <c r="Q18" s="8"/>
      <c r="R18" s="20"/>
    </row>
    <row r="19" spans="2:18" x14ac:dyDescent="0.3">
      <c r="B19" s="10" t="s">
        <v>3419</v>
      </c>
      <c r="C19" s="46">
        <v>46135</v>
      </c>
      <c r="D19" t="s">
        <v>3420</v>
      </c>
      <c r="E19" s="10" t="s">
        <v>250</v>
      </c>
      <c r="F19" s="20">
        <v>3225</v>
      </c>
      <c r="H19" s="6" t="s">
        <v>3419</v>
      </c>
      <c r="I19" s="46">
        <v>46135</v>
      </c>
      <c r="J19" t="s">
        <v>3433</v>
      </c>
      <c r="K19" s="10" t="s">
        <v>1465</v>
      </c>
      <c r="L19" s="18">
        <v>3320</v>
      </c>
      <c r="N19" s="43"/>
      <c r="O19" s="10"/>
      <c r="P19" s="8"/>
      <c r="Q19" s="8"/>
      <c r="R19" s="20"/>
    </row>
    <row r="20" spans="2:18" x14ac:dyDescent="0.3">
      <c r="B20" s="10" t="s">
        <v>3421</v>
      </c>
      <c r="C20" s="46">
        <v>46135</v>
      </c>
      <c r="D20" t="s">
        <v>3422</v>
      </c>
      <c r="E20" s="10" t="s">
        <v>250</v>
      </c>
      <c r="F20" s="20">
        <v>2902.5084745762711</v>
      </c>
      <c r="H20" s="6" t="s">
        <v>3421</v>
      </c>
      <c r="I20" s="46">
        <v>46135</v>
      </c>
      <c r="J20" t="s">
        <v>3434</v>
      </c>
      <c r="K20" s="10" t="s">
        <v>1465</v>
      </c>
      <c r="L20" s="18">
        <v>2988</v>
      </c>
      <c r="N20" s="43"/>
      <c r="O20" s="10"/>
      <c r="P20" s="8"/>
      <c r="Q20" s="8"/>
      <c r="R20" s="20"/>
    </row>
    <row r="21" spans="2:18" x14ac:dyDescent="0.3">
      <c r="B21" s="10" t="s">
        <v>3423</v>
      </c>
      <c r="C21" s="46">
        <v>46135</v>
      </c>
      <c r="D21" t="s">
        <v>3424</v>
      </c>
      <c r="E21" s="10" t="s">
        <v>250</v>
      </c>
      <c r="F21" s="20">
        <v>2257.5084745762711</v>
      </c>
      <c r="H21" s="6" t="s">
        <v>3423</v>
      </c>
      <c r="I21" s="46">
        <v>46135</v>
      </c>
      <c r="J21" t="s">
        <v>3435</v>
      </c>
      <c r="K21" s="10" t="s">
        <v>1465</v>
      </c>
      <c r="L21" s="18">
        <v>2324</v>
      </c>
      <c r="N21" s="43"/>
      <c r="O21" s="10"/>
      <c r="P21" s="8"/>
      <c r="Q21" s="8"/>
      <c r="R21" s="20"/>
    </row>
    <row r="22" spans="2:18" x14ac:dyDescent="0.3">
      <c r="B22" s="10" t="s">
        <v>3425</v>
      </c>
      <c r="C22" s="46">
        <v>46135</v>
      </c>
      <c r="D22" t="s">
        <v>3426</v>
      </c>
      <c r="E22" s="10" t="s">
        <v>250</v>
      </c>
      <c r="F22" s="20">
        <v>1925.9999999999998</v>
      </c>
      <c r="H22" s="6" t="s">
        <v>3425</v>
      </c>
      <c r="I22" s="46">
        <v>46135</v>
      </c>
      <c r="J22" t="s">
        <v>3436</v>
      </c>
      <c r="K22" s="10" t="s">
        <v>1465</v>
      </c>
      <c r="L22" s="18">
        <v>1992</v>
      </c>
      <c r="N22" s="43"/>
      <c r="O22" s="10"/>
      <c r="P22" s="8"/>
      <c r="Q22" s="8"/>
      <c r="R22" s="20"/>
    </row>
    <row r="23" spans="2:18" x14ac:dyDescent="0.3">
      <c r="B23" s="10" t="s">
        <v>3408</v>
      </c>
      <c r="C23" s="46">
        <v>46135</v>
      </c>
      <c r="D23" t="s">
        <v>3427</v>
      </c>
      <c r="E23" s="10" t="s">
        <v>250</v>
      </c>
      <c r="F23" s="20">
        <v>5778</v>
      </c>
      <c r="H23" s="6" t="s">
        <v>3408</v>
      </c>
      <c r="I23" s="46">
        <v>46135</v>
      </c>
      <c r="J23" t="s">
        <v>3437</v>
      </c>
      <c r="K23" s="10" t="s">
        <v>1465</v>
      </c>
      <c r="L23" s="18">
        <v>5976</v>
      </c>
      <c r="N23" s="43"/>
      <c r="O23" s="10"/>
      <c r="P23" s="8"/>
      <c r="Q23" s="8"/>
      <c r="R23" s="20"/>
    </row>
    <row r="24" spans="2:18" x14ac:dyDescent="0.3">
      <c r="B24" s="10" t="s">
        <v>4024</v>
      </c>
      <c r="C24" s="46">
        <v>46174</v>
      </c>
      <c r="D24" t="s">
        <v>4026</v>
      </c>
      <c r="E24" s="10" t="s">
        <v>250</v>
      </c>
      <c r="F24" s="20">
        <v>1935.0000000000002</v>
      </c>
      <c r="H24" s="6" t="s">
        <v>3622</v>
      </c>
      <c r="I24" s="46">
        <v>46155</v>
      </c>
      <c r="J24" t="s">
        <v>3623</v>
      </c>
      <c r="K24" s="10" t="s">
        <v>1465</v>
      </c>
      <c r="L24" s="18">
        <v>3685</v>
      </c>
      <c r="N24" s="43"/>
      <c r="O24" s="10"/>
      <c r="P24" s="8"/>
      <c r="Q24" s="8"/>
      <c r="R24" s="20"/>
    </row>
    <row r="25" spans="2:18" x14ac:dyDescent="0.3">
      <c r="B25" s="10" t="s">
        <v>4025</v>
      </c>
      <c r="C25" s="46">
        <v>46178</v>
      </c>
      <c r="D25" t="s">
        <v>4027</v>
      </c>
      <c r="E25" s="10" t="s">
        <v>250</v>
      </c>
      <c r="F25" s="20">
        <v>1137.5084745762713</v>
      </c>
      <c r="H25" s="6" t="s">
        <v>3624</v>
      </c>
      <c r="I25" s="46">
        <v>46155</v>
      </c>
      <c r="J25" t="s">
        <v>3625</v>
      </c>
      <c r="K25" s="10" t="s">
        <v>1465</v>
      </c>
      <c r="L25" s="18">
        <v>3015</v>
      </c>
      <c r="N25" s="43"/>
      <c r="O25" s="10"/>
      <c r="P25" s="8"/>
      <c r="Q25" s="8"/>
      <c r="R25" s="20"/>
    </row>
    <row r="26" spans="2:18" x14ac:dyDescent="0.3">
      <c r="B26" s="10"/>
      <c r="C26" s="46"/>
      <c r="E26" s="10"/>
      <c r="F26" s="20"/>
      <c r="H26" s="6" t="s">
        <v>4024</v>
      </c>
      <c r="I26" s="46">
        <v>46174</v>
      </c>
      <c r="J26" t="s">
        <v>4028</v>
      </c>
      <c r="K26" s="10" t="s">
        <v>1465</v>
      </c>
      <c r="L26" s="18">
        <v>1992</v>
      </c>
      <c r="N26" s="43"/>
      <c r="O26" s="10"/>
      <c r="P26" s="8"/>
      <c r="Q26" s="8"/>
      <c r="R26" s="20"/>
    </row>
    <row r="27" spans="2:18" x14ac:dyDescent="0.3">
      <c r="B27" s="10"/>
      <c r="C27" s="46"/>
      <c r="E27" s="10"/>
      <c r="F27" s="20"/>
      <c r="H27" s="6" t="s">
        <v>4025</v>
      </c>
      <c r="I27" s="46">
        <v>46178</v>
      </c>
      <c r="J27" t="s">
        <v>4029</v>
      </c>
      <c r="K27" s="10" t="s">
        <v>1465</v>
      </c>
      <c r="L27" s="18">
        <v>1172.5</v>
      </c>
      <c r="N27" s="43"/>
      <c r="O27" s="10"/>
      <c r="P27" s="8"/>
      <c r="Q27" s="8"/>
      <c r="R27" s="20"/>
    </row>
    <row r="28" spans="2:18" x14ac:dyDescent="0.3">
      <c r="B28" s="10"/>
      <c r="C28" s="46"/>
      <c r="E28" s="10"/>
      <c r="F28" s="20"/>
      <c r="H28" s="6" t="s">
        <v>1468</v>
      </c>
      <c r="I28" s="46">
        <v>46174</v>
      </c>
      <c r="J28" t="s">
        <v>4034</v>
      </c>
      <c r="K28" s="10" t="s">
        <v>1465</v>
      </c>
      <c r="L28" s="18">
        <v>8412</v>
      </c>
      <c r="N28" s="43"/>
      <c r="O28" s="10"/>
      <c r="P28" s="8"/>
      <c r="Q28" s="8"/>
      <c r="R28" s="20"/>
    </row>
    <row r="29" spans="2:18" x14ac:dyDescent="0.3">
      <c r="B29" s="10"/>
      <c r="C29" s="46"/>
      <c r="E29" s="10"/>
      <c r="F29" s="20"/>
      <c r="H29" s="6" t="s">
        <v>1470</v>
      </c>
      <c r="I29" s="46">
        <v>46174</v>
      </c>
      <c r="J29" t="s">
        <v>4035</v>
      </c>
      <c r="K29" s="10" t="s">
        <v>1465</v>
      </c>
      <c r="L29" s="18">
        <v>3505</v>
      </c>
      <c r="N29" s="43"/>
      <c r="O29" s="10"/>
      <c r="P29" s="8"/>
      <c r="Q29" s="8"/>
      <c r="R29" s="20"/>
    </row>
    <row r="30" spans="2:18" x14ac:dyDescent="0.3">
      <c r="B30" s="10"/>
      <c r="C30" s="46"/>
      <c r="E30" s="10"/>
      <c r="F30" s="20"/>
      <c r="H30" s="6" t="s">
        <v>1578</v>
      </c>
      <c r="I30" s="46">
        <v>46174</v>
      </c>
      <c r="J30" t="s">
        <v>4036</v>
      </c>
      <c r="K30" s="10" t="s">
        <v>1465</v>
      </c>
      <c r="L30" s="18">
        <v>2025</v>
      </c>
      <c r="N30" s="43"/>
      <c r="O30" s="10"/>
      <c r="P30" s="8"/>
      <c r="Q30" s="8"/>
      <c r="R30" s="20"/>
    </row>
    <row r="31" spans="2:18" x14ac:dyDescent="0.3">
      <c r="B31" s="10"/>
      <c r="C31" s="46"/>
      <c r="E31" s="10"/>
      <c r="F31" s="20"/>
      <c r="H31" s="6" t="s">
        <v>1722</v>
      </c>
      <c r="I31" s="46">
        <v>46174</v>
      </c>
      <c r="J31" t="s">
        <v>4037</v>
      </c>
      <c r="K31" s="10" t="s">
        <v>1465</v>
      </c>
      <c r="L31" s="18">
        <v>2836</v>
      </c>
      <c r="N31" s="43"/>
      <c r="O31" s="10"/>
      <c r="P31" s="8"/>
      <c r="Q31" s="8"/>
      <c r="R31" s="20"/>
    </row>
    <row r="32" spans="2:18" x14ac:dyDescent="0.3">
      <c r="B32" s="10"/>
      <c r="C32" s="46"/>
      <c r="E32" s="10"/>
      <c r="F32" s="20"/>
      <c r="H32" s="6" t="s">
        <v>1820</v>
      </c>
      <c r="I32" s="46">
        <v>46174</v>
      </c>
      <c r="J32" t="s">
        <v>4038</v>
      </c>
      <c r="K32" s="10" t="s">
        <v>1465</v>
      </c>
      <c r="L32" s="18">
        <v>4254</v>
      </c>
      <c r="N32" s="43"/>
      <c r="O32" s="10"/>
      <c r="P32" s="8"/>
      <c r="Q32" s="8"/>
      <c r="R32" s="20"/>
    </row>
    <row r="33" spans="2:18" x14ac:dyDescent="0.3">
      <c r="B33" s="10"/>
      <c r="C33" s="46"/>
      <c r="E33" s="10"/>
      <c r="F33" s="20"/>
      <c r="H33" s="6" t="s">
        <v>1823</v>
      </c>
      <c r="I33" s="46">
        <v>46174</v>
      </c>
      <c r="J33" t="s">
        <v>4039</v>
      </c>
      <c r="K33" s="10" t="s">
        <v>1465</v>
      </c>
      <c r="L33" s="18">
        <v>3367.75</v>
      </c>
      <c r="N33" s="43"/>
      <c r="O33" s="10"/>
      <c r="P33" s="8"/>
      <c r="Q33" s="8"/>
      <c r="R33" s="20"/>
    </row>
    <row r="34" spans="2:18" x14ac:dyDescent="0.3">
      <c r="B34" s="10"/>
      <c r="C34" s="46"/>
      <c r="E34" s="10"/>
      <c r="F34" s="20"/>
      <c r="H34" s="6" t="s">
        <v>1887</v>
      </c>
      <c r="I34" s="46">
        <v>46174</v>
      </c>
      <c r="J34" t="s">
        <v>4040</v>
      </c>
      <c r="K34" s="10" t="s">
        <v>1465</v>
      </c>
      <c r="L34" s="18">
        <v>3015</v>
      </c>
      <c r="N34" s="43"/>
      <c r="O34" s="10"/>
      <c r="P34" s="8"/>
      <c r="Q34" s="8"/>
      <c r="R34" s="20"/>
    </row>
    <row r="35" spans="2:18" ht="15" thickBot="1" x14ac:dyDescent="0.35">
      <c r="B35" s="10"/>
      <c r="C35" s="46"/>
      <c r="E35" s="10"/>
      <c r="F35" s="20"/>
      <c r="H35" s="6" t="s">
        <v>1920</v>
      </c>
      <c r="I35" s="46">
        <v>46174</v>
      </c>
      <c r="J35" t="s">
        <v>4041</v>
      </c>
      <c r="K35" s="10" t="s">
        <v>1465</v>
      </c>
      <c r="L35" s="18">
        <v>3013.25</v>
      </c>
      <c r="N35" s="43"/>
      <c r="O35" s="10"/>
      <c r="P35" s="8"/>
      <c r="Q35" s="8"/>
      <c r="R35" s="20"/>
    </row>
    <row r="36" spans="2:18" ht="15" thickBot="1" x14ac:dyDescent="0.35">
      <c r="B36" s="10"/>
      <c r="C36" s="46"/>
      <c r="E36" s="10"/>
      <c r="F36" s="20"/>
      <c r="H36" s="6" t="s">
        <v>1963</v>
      </c>
      <c r="I36" s="46">
        <v>46174</v>
      </c>
      <c r="J36" t="s">
        <v>4042</v>
      </c>
      <c r="K36" s="10" t="s">
        <v>1465</v>
      </c>
      <c r="L36" s="18">
        <v>5695</v>
      </c>
      <c r="N36" s="570" t="s">
        <v>74</v>
      </c>
      <c r="O36" s="571"/>
      <c r="P36" s="571"/>
      <c r="Q36" s="572"/>
      <c r="R36" s="33">
        <f>SUM(R14:R35)</f>
        <v>43229</v>
      </c>
    </row>
    <row r="37" spans="2:18" x14ac:dyDescent="0.3">
      <c r="B37" s="10"/>
      <c r="C37" s="46"/>
      <c r="E37" s="10"/>
      <c r="F37" s="20"/>
      <c r="H37" s="6" t="s">
        <v>1966</v>
      </c>
      <c r="I37" s="46">
        <v>46174</v>
      </c>
      <c r="J37" t="s">
        <v>4043</v>
      </c>
      <c r="K37" s="10" t="s">
        <v>1465</v>
      </c>
      <c r="L37" s="18">
        <v>2680</v>
      </c>
    </row>
    <row r="38" spans="2:18" x14ac:dyDescent="0.3">
      <c r="B38" s="10"/>
      <c r="C38" s="46"/>
      <c r="E38" s="10"/>
      <c r="F38" s="20"/>
      <c r="H38" s="6" t="s">
        <v>2308</v>
      </c>
      <c r="I38" s="46">
        <v>46174</v>
      </c>
      <c r="J38" t="s">
        <v>4044</v>
      </c>
      <c r="K38" s="10" t="s">
        <v>1465</v>
      </c>
      <c r="L38" s="18">
        <v>830</v>
      </c>
    </row>
    <row r="39" spans="2:18" x14ac:dyDescent="0.3">
      <c r="B39" s="10"/>
      <c r="C39" s="46"/>
      <c r="E39" s="10"/>
      <c r="F39" s="20"/>
      <c r="H39" s="6" t="s">
        <v>2044</v>
      </c>
      <c r="I39" s="46">
        <v>46181</v>
      </c>
      <c r="J39" t="s">
        <v>4045</v>
      </c>
      <c r="K39" s="10" t="s">
        <v>1465</v>
      </c>
      <c r="L39" s="18">
        <v>2680</v>
      </c>
    </row>
    <row r="40" spans="2:18" x14ac:dyDescent="0.3">
      <c r="B40" s="10"/>
      <c r="C40" s="46"/>
      <c r="E40" s="10"/>
      <c r="F40" s="20"/>
      <c r="H40" s="6" t="s">
        <v>1607</v>
      </c>
      <c r="I40" s="46">
        <v>46188</v>
      </c>
      <c r="J40" t="s">
        <v>4046</v>
      </c>
      <c r="K40" s="10" t="s">
        <v>1497</v>
      </c>
      <c r="L40" s="18">
        <v>3927</v>
      </c>
    </row>
    <row r="41" spans="2:18" x14ac:dyDescent="0.3">
      <c r="B41" s="10"/>
      <c r="C41" s="46"/>
      <c r="E41" s="10"/>
      <c r="F41" s="20"/>
      <c r="H41" s="6" t="s">
        <v>1503</v>
      </c>
      <c r="I41" s="46">
        <v>46188</v>
      </c>
      <c r="J41" t="s">
        <v>4047</v>
      </c>
      <c r="K41" s="10" t="s">
        <v>1497</v>
      </c>
      <c r="L41" s="18">
        <v>14001</v>
      </c>
    </row>
    <row r="42" spans="2:18" x14ac:dyDescent="0.3">
      <c r="B42" s="10"/>
      <c r="C42" s="46"/>
      <c r="E42" s="10"/>
      <c r="F42" s="20"/>
      <c r="H42" s="6" t="s">
        <v>1567</v>
      </c>
      <c r="I42" s="46">
        <v>46188</v>
      </c>
      <c r="J42" t="s">
        <v>4048</v>
      </c>
      <c r="K42" s="10" t="s">
        <v>1497</v>
      </c>
      <c r="L42" s="18">
        <v>6462</v>
      </c>
    </row>
    <row r="43" spans="2:18" x14ac:dyDescent="0.3">
      <c r="B43" s="10"/>
      <c r="C43" s="46"/>
      <c r="E43" s="10"/>
      <c r="F43" s="20"/>
      <c r="H43" s="6" t="s">
        <v>1521</v>
      </c>
      <c r="I43" s="46">
        <v>46188</v>
      </c>
      <c r="J43" t="s">
        <v>4049</v>
      </c>
      <c r="K43" s="10" t="s">
        <v>1497</v>
      </c>
      <c r="L43" s="18">
        <v>2142</v>
      </c>
    </row>
    <row r="44" spans="2:18" x14ac:dyDescent="0.3">
      <c r="B44" s="10"/>
      <c r="C44" s="46"/>
      <c r="E44" s="10"/>
      <c r="F44" s="20"/>
      <c r="H44" s="6" t="s">
        <v>1623</v>
      </c>
      <c r="I44" s="46">
        <v>46188</v>
      </c>
      <c r="J44" t="s">
        <v>4050</v>
      </c>
      <c r="K44" s="10" t="s">
        <v>1497</v>
      </c>
      <c r="L44" s="18">
        <v>4641</v>
      </c>
    </row>
    <row r="45" spans="2:18" x14ac:dyDescent="0.3">
      <c r="B45" s="10"/>
      <c r="C45" s="46"/>
      <c r="E45" s="10"/>
      <c r="F45" s="20"/>
      <c r="H45" s="6" t="s">
        <v>1684</v>
      </c>
      <c r="I45" s="46">
        <v>46188</v>
      </c>
      <c r="J45" t="s">
        <v>4051</v>
      </c>
      <c r="K45" s="10" t="s">
        <v>1497</v>
      </c>
      <c r="L45" s="18">
        <v>3570</v>
      </c>
    </row>
    <row r="46" spans="2:18" ht="15" thickBot="1" x14ac:dyDescent="0.35">
      <c r="B46" s="10"/>
      <c r="C46" s="46"/>
      <c r="E46" s="10"/>
      <c r="F46" s="20"/>
      <c r="H46" s="6" t="s">
        <v>1683</v>
      </c>
      <c r="I46" s="46">
        <v>46188</v>
      </c>
      <c r="J46" t="s">
        <v>4052</v>
      </c>
      <c r="K46" s="10" t="s">
        <v>1497</v>
      </c>
      <c r="L46" s="18">
        <v>359</v>
      </c>
    </row>
    <row r="47" spans="2:18" ht="15" thickBot="1" x14ac:dyDescent="0.35">
      <c r="B47" s="570" t="s">
        <v>74</v>
      </c>
      <c r="C47" s="571"/>
      <c r="D47" s="571"/>
      <c r="E47" s="572"/>
      <c r="F47" s="33"/>
      <c r="H47" s="6" t="s">
        <v>1821</v>
      </c>
      <c r="I47" s="46">
        <v>46188</v>
      </c>
      <c r="J47" t="s">
        <v>4053</v>
      </c>
      <c r="K47" s="10" t="s">
        <v>1497</v>
      </c>
      <c r="L47" s="18">
        <v>3727.5</v>
      </c>
    </row>
    <row r="48" spans="2:18" x14ac:dyDescent="0.3">
      <c r="H48" s="6" t="s">
        <v>2292</v>
      </c>
      <c r="I48" s="46">
        <v>46188</v>
      </c>
      <c r="J48" t="s">
        <v>4054</v>
      </c>
      <c r="K48" s="10" t="s">
        <v>1497</v>
      </c>
      <c r="L48" s="18">
        <v>1050</v>
      </c>
    </row>
    <row r="49" spans="8:12" x14ac:dyDescent="0.3">
      <c r="H49" s="6" t="s">
        <v>1822</v>
      </c>
      <c r="I49" s="46">
        <v>46188</v>
      </c>
      <c r="J49" t="s">
        <v>4055</v>
      </c>
      <c r="K49" s="10" t="s">
        <v>1497</v>
      </c>
      <c r="L49" s="18">
        <v>2692.5</v>
      </c>
    </row>
    <row r="50" spans="8:12" x14ac:dyDescent="0.3">
      <c r="H50" s="6" t="s">
        <v>1883</v>
      </c>
      <c r="I50" s="46">
        <v>46188</v>
      </c>
      <c r="J50" t="s">
        <v>4056</v>
      </c>
      <c r="K50" s="10" t="s">
        <v>1497</v>
      </c>
      <c r="L50" s="18">
        <v>1775</v>
      </c>
    </row>
    <row r="51" spans="8:12" x14ac:dyDescent="0.3">
      <c r="H51" s="6" t="s">
        <v>2042</v>
      </c>
      <c r="I51" s="46">
        <v>46188</v>
      </c>
      <c r="J51" t="s">
        <v>4057</v>
      </c>
      <c r="K51" s="10" t="s">
        <v>1497</v>
      </c>
      <c r="L51" s="18">
        <v>2485</v>
      </c>
    </row>
    <row r="52" spans="8:12" x14ac:dyDescent="0.3">
      <c r="H52" s="6" t="s">
        <v>2222</v>
      </c>
      <c r="I52" s="46">
        <v>46188</v>
      </c>
      <c r="J52" t="s">
        <v>4058</v>
      </c>
      <c r="K52" s="10" t="s">
        <v>1497</v>
      </c>
      <c r="L52" s="18">
        <v>690</v>
      </c>
    </row>
    <row r="53" spans="8:12" x14ac:dyDescent="0.3">
      <c r="H53" s="6" t="s">
        <v>2295</v>
      </c>
      <c r="I53" s="46">
        <v>46188</v>
      </c>
      <c r="J53" t="s">
        <v>4059</v>
      </c>
      <c r="K53" s="10" t="s">
        <v>1497</v>
      </c>
      <c r="L53" s="18">
        <v>1380</v>
      </c>
    </row>
    <row r="54" spans="8:12" x14ac:dyDescent="0.3">
      <c r="H54" s="6" t="s">
        <v>2297</v>
      </c>
      <c r="I54" s="46">
        <v>46188</v>
      </c>
      <c r="J54" t="s">
        <v>4060</v>
      </c>
      <c r="K54" s="10" t="s">
        <v>1497</v>
      </c>
      <c r="L54" s="18">
        <v>4312.5</v>
      </c>
    </row>
    <row r="55" spans="8:12" x14ac:dyDescent="0.3">
      <c r="H55" s="6" t="s">
        <v>2436</v>
      </c>
      <c r="I55" s="46">
        <v>46188</v>
      </c>
      <c r="J55" t="s">
        <v>4061</v>
      </c>
      <c r="K55" s="10" t="s">
        <v>1497</v>
      </c>
      <c r="L55" s="18">
        <v>4930</v>
      </c>
    </row>
    <row r="56" spans="8:12" x14ac:dyDescent="0.3">
      <c r="H56" s="6" t="s">
        <v>2333</v>
      </c>
      <c r="I56" s="46">
        <v>46188</v>
      </c>
      <c r="J56" t="s">
        <v>4062</v>
      </c>
      <c r="K56" s="10" t="s">
        <v>1497</v>
      </c>
      <c r="L56" s="18">
        <v>6300</v>
      </c>
    </row>
    <row r="57" spans="8:12" x14ac:dyDescent="0.3">
      <c r="H57" s="6" t="s">
        <v>1521</v>
      </c>
      <c r="I57" s="46">
        <v>46188</v>
      </c>
      <c r="J57" t="s">
        <v>4063</v>
      </c>
      <c r="K57" s="10" t="s">
        <v>1497</v>
      </c>
      <c r="L57" s="18">
        <v>1631</v>
      </c>
    </row>
    <row r="58" spans="8:12" x14ac:dyDescent="0.3">
      <c r="H58" s="6" t="s">
        <v>1964</v>
      </c>
      <c r="I58" s="46">
        <v>46188</v>
      </c>
      <c r="J58" t="s">
        <v>4064</v>
      </c>
      <c r="K58" s="10" t="s">
        <v>1497</v>
      </c>
      <c r="L58" s="18">
        <v>710</v>
      </c>
    </row>
    <row r="59" spans="8:12" x14ac:dyDescent="0.3">
      <c r="H59" s="6" t="s">
        <v>1567</v>
      </c>
      <c r="I59" s="46">
        <v>46191</v>
      </c>
      <c r="J59" t="s">
        <v>4065</v>
      </c>
      <c r="K59" s="10" t="s">
        <v>1497</v>
      </c>
      <c r="L59" s="18">
        <v>1916</v>
      </c>
    </row>
    <row r="60" spans="8:12" x14ac:dyDescent="0.3">
      <c r="H60" s="6"/>
      <c r="I60" s="46"/>
      <c r="K60" s="10"/>
      <c r="L60" s="18"/>
    </row>
    <row r="61" spans="8:12" x14ac:dyDescent="0.3">
      <c r="H61" s="6"/>
      <c r="I61" s="46"/>
      <c r="K61" s="10"/>
      <c r="L61" s="18"/>
    </row>
    <row r="62" spans="8:12" x14ac:dyDescent="0.3">
      <c r="H62" s="6"/>
      <c r="I62" s="46"/>
      <c r="K62" s="10"/>
      <c r="L62" s="18"/>
    </row>
    <row r="63" spans="8:12" x14ac:dyDescent="0.3">
      <c r="H63" s="6"/>
      <c r="I63" s="46"/>
      <c r="K63" s="10"/>
      <c r="L63" s="18"/>
    </row>
    <row r="64" spans="8:12" x14ac:dyDescent="0.3">
      <c r="H64" s="6"/>
      <c r="I64" s="46"/>
      <c r="K64" s="10"/>
      <c r="L64" s="18"/>
    </row>
    <row r="65" spans="8:12" x14ac:dyDescent="0.3">
      <c r="H65" s="6"/>
      <c r="I65" s="46"/>
      <c r="K65" s="10"/>
      <c r="L65" s="18"/>
    </row>
    <row r="66" spans="8:12" x14ac:dyDescent="0.3">
      <c r="H66" s="6"/>
      <c r="I66" s="46"/>
      <c r="K66" s="10"/>
      <c r="L66" s="18"/>
    </row>
    <row r="67" spans="8:12" ht="15" thickBot="1" x14ac:dyDescent="0.35">
      <c r="H67" s="6"/>
      <c r="I67" s="46"/>
      <c r="K67" s="10"/>
      <c r="L67" s="18"/>
    </row>
    <row r="68" spans="8:12" ht="15" thickBot="1" x14ac:dyDescent="0.35">
      <c r="H68" s="9"/>
      <c r="I68" s="19"/>
      <c r="J68" s="15"/>
      <c r="K68" s="19"/>
      <c r="L68" s="37"/>
    </row>
  </sheetData>
  <mergeCells count="2">
    <mergeCell ref="B47:E47"/>
    <mergeCell ref="N36:Q36"/>
  </mergeCells>
  <conditionalFormatting sqref="B14:B45">
    <cfRule type="duplicateValues" dxfId="1" priority="19807"/>
  </conditionalFormatting>
  <conditionalFormatting sqref="H14:H66">
    <cfRule type="duplicateValues" dxfId="0" priority="21202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7BD9-D0DC-4A6F-B000-C75E9ECA53CF}">
  <sheetPr codeName="Sheet11"/>
  <dimension ref="B2:W25"/>
  <sheetViews>
    <sheetView showGridLines="0" showRowColHeaders="0" zoomScale="110" zoomScaleNormal="110" workbookViewId="0">
      <selection activeCell="J4" sqref="J4"/>
    </sheetView>
  </sheetViews>
  <sheetFormatPr defaultColWidth="8.77734375" defaultRowHeight="12" x14ac:dyDescent="0.25"/>
  <cols>
    <col min="1" max="1" width="8.77734375" style="256"/>
    <col min="2" max="2" width="13.44140625" style="256" bestFit="1" customWidth="1"/>
    <col min="3" max="3" width="9.21875" style="256" bestFit="1" customWidth="1"/>
    <col min="4" max="4" width="10.44140625" style="533" bestFit="1" customWidth="1"/>
    <col min="5" max="5" width="13.77734375" style="256" bestFit="1" customWidth="1"/>
    <col min="6" max="6" width="15.6640625" style="256" bestFit="1" customWidth="1"/>
    <col min="7" max="7" width="7.33203125" style="256" bestFit="1" customWidth="1"/>
    <col min="8" max="8" width="9" style="256" bestFit="1" customWidth="1"/>
    <col min="9" max="9" width="4.77734375" style="256" bestFit="1" customWidth="1"/>
    <col min="10" max="10" width="10.33203125" style="256" bestFit="1" customWidth="1"/>
    <col min="11" max="11" width="8.109375" style="256" bestFit="1" customWidth="1"/>
    <col min="12" max="12" width="9" style="256" bestFit="1" customWidth="1"/>
    <col min="13" max="13" width="8.77734375" style="253"/>
    <col min="14" max="14" width="18.109375" style="253" bestFit="1" customWidth="1"/>
    <col min="15" max="15" width="17.77734375" style="253" bestFit="1" customWidth="1"/>
    <col min="16" max="16" width="16" style="256" bestFit="1" customWidth="1"/>
    <col min="17" max="17" width="6.88671875" style="256" bestFit="1" customWidth="1"/>
    <col min="18" max="18" width="24.44140625" style="256" bestFit="1" customWidth="1"/>
    <col min="19" max="19" width="18.21875" style="256" bestFit="1" customWidth="1"/>
    <col min="20" max="20" width="13.77734375" style="256" bestFit="1" customWidth="1"/>
    <col min="21" max="21" width="11" style="256" bestFit="1" customWidth="1"/>
    <col min="22" max="22" width="8.77734375" style="256"/>
    <col min="23" max="23" width="5.88671875" style="256" bestFit="1" customWidth="1"/>
    <col min="24" max="16384" width="8.77734375" style="256"/>
  </cols>
  <sheetData>
    <row r="2" spans="2:23" ht="12.6" thickBot="1" x14ac:dyDescent="0.3">
      <c r="N2" s="534" t="s">
        <v>3047</v>
      </c>
      <c r="O2" s="253">
        <f>SUM(O4:O16)</f>
        <v>5094094.6800000006</v>
      </c>
      <c r="P2" s="253">
        <f>SUM(P4:P16)</f>
        <v>7959761.5549999997</v>
      </c>
      <c r="Q2" s="256">
        <v>150000</v>
      </c>
      <c r="T2" s="256">
        <f>SUBTOTAL(9,T4:T17)</f>
        <v>29779.999999999993</v>
      </c>
    </row>
    <row r="3" spans="2:23" ht="13.2" thickTop="1" thickBot="1" x14ac:dyDescent="0.3">
      <c r="B3" s="500" t="str" cm="1">
        <f t="array" ref="B3:B7">_xlfn.UNIQUE('Details PC'!P4:P395)</f>
        <v>Material_Generic</v>
      </c>
      <c r="C3" s="196" t="s">
        <v>3005</v>
      </c>
      <c r="D3" s="501" t="s">
        <v>3006</v>
      </c>
      <c r="E3" s="196" t="s">
        <v>3074</v>
      </c>
      <c r="F3" s="501" t="s">
        <v>3072</v>
      </c>
      <c r="G3" s="196" t="s">
        <v>3073</v>
      </c>
      <c r="H3" s="196" t="s">
        <v>194</v>
      </c>
      <c r="I3" s="501" t="s">
        <v>3067</v>
      </c>
      <c r="J3" s="196" t="s">
        <v>1359</v>
      </c>
      <c r="K3" s="501" t="s">
        <v>3071</v>
      </c>
      <c r="L3" s="196" t="s">
        <v>3070</v>
      </c>
      <c r="N3" s="500" t="s">
        <v>15</v>
      </c>
      <c r="O3" s="501" t="s">
        <v>3048</v>
      </c>
      <c r="P3" s="535" t="s">
        <v>3049</v>
      </c>
      <c r="R3" s="536" t="s">
        <v>549</v>
      </c>
      <c r="S3" s="537" t="s">
        <v>3004</v>
      </c>
      <c r="T3" s="537" t="s">
        <v>3051</v>
      </c>
      <c r="U3" s="537" t="s">
        <v>3052</v>
      </c>
    </row>
    <row r="4" spans="2:23" ht="12.6" thickBot="1" x14ac:dyDescent="0.3">
      <c r="B4" s="496" t="str">
        <v>MS Scrap</v>
      </c>
      <c r="C4" s="497">
        <f>SUMIFS('Details PC'!R:R,'Details PC'!P:P,'Stock &amp; Processing'!B4)</f>
        <v>3044635</v>
      </c>
      <c r="D4" s="498">
        <f>SUMIFS('Details PC'!AK:AK,'Details PC'!AC:AC,'Stock &amp; Processing'!B4)</f>
        <v>2996915</v>
      </c>
      <c r="E4" s="497">
        <v>0</v>
      </c>
      <c r="F4" s="498">
        <v>46316</v>
      </c>
      <c r="G4" s="497">
        <v>0</v>
      </c>
      <c r="H4" s="268">
        <v>0</v>
      </c>
      <c r="I4" s="498">
        <v>0</v>
      </c>
      <c r="J4" s="497">
        <f>C4-SUM(D4:I4)</f>
        <v>1404</v>
      </c>
      <c r="K4" s="527">
        <v>33.06</v>
      </c>
      <c r="L4" s="497">
        <f>F4*K4</f>
        <v>1531206.9600000002</v>
      </c>
      <c r="N4" s="538">
        <v>45748</v>
      </c>
      <c r="O4" s="253">
        <f>SUMIFS('Pune MIS'!L:L,'Pune MIS'!D:D,'Stock &amp; Processing'!N4,'Pune MIS'!B:B,"Processing Cost")</f>
        <v>5700</v>
      </c>
      <c r="P4" s="256">
        <f>SUMIFS('Pune MIS'!AR:AR,'Pune MIS'!AB:AB,'Stock &amp; Processing'!N4)</f>
        <v>0</v>
      </c>
      <c r="R4" s="539" t="s">
        <v>3053</v>
      </c>
      <c r="S4" s="540" t="s">
        <v>2754</v>
      </c>
      <c r="T4" s="541">
        <v>3160</v>
      </c>
      <c r="U4" s="540" t="s">
        <v>3054</v>
      </c>
      <c r="W4" s="256">
        <v>50945</v>
      </c>
    </row>
    <row r="5" spans="2:23" ht="12.6" thickBot="1" x14ac:dyDescent="0.3">
      <c r="B5" s="496" t="str">
        <v>Commercial</v>
      </c>
      <c r="C5" s="268">
        <f>SUMIFS('Details PC'!R:R,'Details PC'!P:P,'Stock &amp; Processing'!B5)</f>
        <v>272384</v>
      </c>
      <c r="D5" s="498">
        <f>SUMIFS('Details PC'!AK:AK,'Details PC'!AC:AC,'Stock &amp; Processing'!B5)</f>
        <v>237595</v>
      </c>
      <c r="E5" s="268">
        <v>0</v>
      </c>
      <c r="F5" s="498">
        <v>0</v>
      </c>
      <c r="G5" s="268">
        <v>-27395</v>
      </c>
      <c r="H5" s="268">
        <v>0</v>
      </c>
      <c r="I5" s="498">
        <v>0</v>
      </c>
      <c r="J5" s="268">
        <f>C5-SUM(D5:I5)</f>
        <v>62184</v>
      </c>
      <c r="K5" s="528">
        <v>26.42</v>
      </c>
      <c r="L5" s="268">
        <f>F5*K5</f>
        <v>0</v>
      </c>
      <c r="N5" s="538">
        <v>45778</v>
      </c>
      <c r="O5" s="253">
        <f>SUMIFS('Pune MIS'!L:L,'Pune MIS'!D:D,'Stock &amp; Processing'!N5,'Pune MIS'!B:B,"Processing Cost")</f>
        <v>126950</v>
      </c>
      <c r="P5" s="256">
        <f>SUMIFS('Pune MIS'!AR:AR,'Pune MIS'!AB:AB,'Stock &amp; Processing'!N5)</f>
        <v>509867</v>
      </c>
      <c r="R5" s="539" t="s">
        <v>3055</v>
      </c>
      <c r="S5" s="540" t="s">
        <v>2754</v>
      </c>
      <c r="T5" s="541">
        <v>14286.6</v>
      </c>
      <c r="U5" s="540" t="s">
        <v>3054</v>
      </c>
    </row>
    <row r="6" spans="2:23" ht="12.6" thickBot="1" x14ac:dyDescent="0.3">
      <c r="B6" s="496" t="str">
        <v>CRC</v>
      </c>
      <c r="C6" s="268">
        <f>SUMIFS('Details PC'!R:R,'Details PC'!P:P,'Stock &amp; Processing'!B6)</f>
        <v>1473085</v>
      </c>
      <c r="D6" s="498">
        <f>SUMIFS('Details PC'!AK:AK,'Details PC'!AC:AC,'Stock &amp; Processing'!B6)</f>
        <v>1438773.7</v>
      </c>
      <c r="E6" s="268">
        <v>0</v>
      </c>
      <c r="F6" s="498">
        <v>5890</v>
      </c>
      <c r="G6" s="268">
        <v>26004</v>
      </c>
      <c r="H6" s="268">
        <v>0</v>
      </c>
      <c r="I6" s="498">
        <v>0</v>
      </c>
      <c r="J6" s="268">
        <f>C6-SUM(D6:I6)</f>
        <v>2417.3000000000466</v>
      </c>
      <c r="K6" s="528">
        <v>32.908472511769517</v>
      </c>
      <c r="L6" s="268">
        <f>F6*K6</f>
        <v>193830.90309432245</v>
      </c>
      <c r="N6" s="538">
        <v>45809</v>
      </c>
      <c r="O6" s="253">
        <f>SUMIFS('Pune MIS'!L:L,'Pune MIS'!D:D,'Stock &amp; Processing'!N6,'Pune MIS'!B:B,"Processing Cost")</f>
        <v>246410</v>
      </c>
      <c r="P6" s="256">
        <f>SUMIFS('Pune MIS'!AR:AR,'Pune MIS'!AB:AB,'Stock &amp; Processing'!N6)</f>
        <v>298071</v>
      </c>
      <c r="R6" s="539" t="s">
        <v>3056</v>
      </c>
      <c r="S6" s="540" t="s">
        <v>500</v>
      </c>
      <c r="T6" s="541">
        <v>2129.6</v>
      </c>
      <c r="U6" s="540" t="s">
        <v>3054</v>
      </c>
    </row>
    <row r="7" spans="2:23" ht="12.6" thickBot="1" x14ac:dyDescent="0.3">
      <c r="B7" s="496" t="str">
        <v>UBC</v>
      </c>
      <c r="C7" s="499">
        <f>SUMIFS('Details PC'!R:R,'Details PC'!P:P,'Stock &amp; Processing'!B7)</f>
        <v>29044</v>
      </c>
      <c r="D7" s="498">
        <f>SUMIFS('Details PC'!AK:AK,'Details PC'!AC:AC,'Stock &amp; Processing'!B7)+43</f>
        <v>25037.200000000001</v>
      </c>
      <c r="E7" s="499">
        <v>0</v>
      </c>
      <c r="F7" s="498">
        <v>0</v>
      </c>
      <c r="G7" s="499">
        <v>1391</v>
      </c>
      <c r="H7" s="268">
        <v>491</v>
      </c>
      <c r="I7" s="498">
        <v>812.8</v>
      </c>
      <c r="J7" s="268">
        <f t="shared" ref="J7" si="0">C7-SUM(D7:I7)</f>
        <v>1312</v>
      </c>
      <c r="K7" s="529">
        <v>152.47999999999999</v>
      </c>
      <c r="L7" s="499">
        <f>I7*K7</f>
        <v>123935.74399999999</v>
      </c>
      <c r="N7" s="538">
        <v>45839</v>
      </c>
      <c r="O7" s="253">
        <f>SUMIFS('Pune MIS'!L:L,'Pune MIS'!D:D,'Stock &amp; Processing'!N6,'Pune MIS'!B:B,"Processing Cost")</f>
        <v>246410</v>
      </c>
      <c r="P7" s="256">
        <f>SUMIFS('Pune MIS'!AR:AR,'Pune MIS'!AB:AB,'Stock &amp; Processing'!N7)</f>
        <v>714508</v>
      </c>
      <c r="R7" s="539" t="s">
        <v>3057</v>
      </c>
      <c r="S7" s="540" t="s">
        <v>501</v>
      </c>
      <c r="T7" s="541">
        <v>10.6</v>
      </c>
      <c r="U7" s="540" t="s">
        <v>3058</v>
      </c>
    </row>
    <row r="8" spans="2:23" ht="12.6" thickBot="1" x14ac:dyDescent="0.3">
      <c r="B8" s="500" t="s">
        <v>58</v>
      </c>
      <c r="C8" s="196">
        <f t="shared" ref="C8:I8" si="1">SUM(C4:C7)</f>
        <v>4819148</v>
      </c>
      <c r="D8" s="501">
        <f t="shared" si="1"/>
        <v>4698320.9000000004</v>
      </c>
      <c r="E8" s="196">
        <f t="shared" si="1"/>
        <v>0</v>
      </c>
      <c r="F8" s="501">
        <f t="shared" si="1"/>
        <v>52206</v>
      </c>
      <c r="G8" s="196">
        <f t="shared" si="1"/>
        <v>0</v>
      </c>
      <c r="H8" s="196">
        <f t="shared" si="1"/>
        <v>491</v>
      </c>
      <c r="I8" s="196">
        <f t="shared" si="1"/>
        <v>812.8</v>
      </c>
      <c r="J8" s="556">
        <f>SUM(J4:J7)</f>
        <v>67317.300000000047</v>
      </c>
      <c r="K8" s="501"/>
      <c r="L8" s="196">
        <f>SUM(L4:L7)</f>
        <v>1848973.6070943226</v>
      </c>
      <c r="N8" s="538">
        <v>45870</v>
      </c>
      <c r="O8" s="253">
        <f>SUMIFS('Pune MIS'!L:L,'Pune MIS'!D:D,'Stock &amp; Processing'!N7,'Pune MIS'!B:B,"Processing Cost")</f>
        <v>550196</v>
      </c>
      <c r="P8" s="256">
        <f>SUMIFS('Pune MIS'!AR:AR,'Pune MIS'!AB:AB,'Stock &amp; Processing'!N8)</f>
        <v>671897.87000000011</v>
      </c>
      <c r="R8" s="539" t="s">
        <v>3059</v>
      </c>
      <c r="S8" s="540" t="s">
        <v>2679</v>
      </c>
      <c r="T8" s="541">
        <v>353.8</v>
      </c>
      <c r="U8" s="540" t="s">
        <v>3058</v>
      </c>
    </row>
    <row r="9" spans="2:23" ht="12.6" thickBot="1" x14ac:dyDescent="0.3">
      <c r="F9" s="533"/>
      <c r="H9" s="505"/>
      <c r="I9" s="505"/>
      <c r="N9" s="538">
        <v>45901</v>
      </c>
      <c r="O9" s="253">
        <f>SUMIFS('Pune MIS'!L:L,'Pune MIS'!D:D,'Stock &amp; Processing'!N8,'Pune MIS'!B:B,"Processing Cost")</f>
        <v>582523</v>
      </c>
      <c r="P9" s="256">
        <f>SUMIFS('Pune MIS'!AR:AR,'Pune MIS'!AB:AB,'Stock &amp; Processing'!N9)</f>
        <v>842286.5</v>
      </c>
      <c r="R9" s="539" t="s">
        <v>3060</v>
      </c>
      <c r="S9" s="540" t="s">
        <v>500</v>
      </c>
      <c r="T9" s="541">
        <v>287.60000000000002</v>
      </c>
      <c r="U9" s="540" t="s">
        <v>3054</v>
      </c>
    </row>
    <row r="10" spans="2:23" ht="12.6" thickBot="1" x14ac:dyDescent="0.3">
      <c r="B10" s="542"/>
      <c r="F10" s="532"/>
      <c r="G10" s="505"/>
      <c r="H10" s="505"/>
      <c r="I10" s="505"/>
      <c r="N10" s="538">
        <v>45931</v>
      </c>
      <c r="O10" s="253">
        <f>SUMIFS('Pune MIS'!L:L,'Pune MIS'!D:D,'Stock &amp; Processing'!N9,'Pune MIS'!B:B,"Processing Cost")</f>
        <v>370960</v>
      </c>
      <c r="P10" s="256">
        <f>SUMIFS('Pune MIS'!AR:AR,'Pune MIS'!AB:AB,'Stock &amp; Processing'!N10)</f>
        <v>1298338.5</v>
      </c>
      <c r="R10" s="539" t="s">
        <v>3061</v>
      </c>
      <c r="S10" s="540" t="s">
        <v>2679</v>
      </c>
      <c r="T10" s="541">
        <v>1753.4</v>
      </c>
      <c r="U10" s="540" t="s">
        <v>3058</v>
      </c>
    </row>
    <row r="11" spans="2:23" ht="12.6" thickBot="1" x14ac:dyDescent="0.3">
      <c r="N11" s="538">
        <v>45962</v>
      </c>
      <c r="O11" s="253">
        <f>SUMIFS('Pune MIS'!L:L,'Pune MIS'!D:D,'Stock &amp; Processing'!N10,'Pune MIS'!B:B,"Processing Cost")</f>
        <v>1540255.6400000001</v>
      </c>
      <c r="P11" s="256">
        <f>SUMIFS('Pune MIS'!AR:AR,'Pune MIS'!AB:AB,'Stock &amp; Processing'!N11)</f>
        <v>1052811.5</v>
      </c>
      <c r="R11" s="539" t="s">
        <v>3062</v>
      </c>
      <c r="S11" s="540" t="s">
        <v>2679</v>
      </c>
      <c r="T11" s="541">
        <v>178</v>
      </c>
      <c r="U11" s="540" t="s">
        <v>3058</v>
      </c>
    </row>
    <row r="12" spans="2:23" ht="12.6" thickBot="1" x14ac:dyDescent="0.3">
      <c r="N12" s="538">
        <v>45992</v>
      </c>
      <c r="O12" s="253">
        <f>SUMIFS('Pune MIS'!L:L,'Pune MIS'!D:D,'Stock &amp; Processing'!N11,'Pune MIS'!B:B,"Processing Cost")</f>
        <v>978323</v>
      </c>
      <c r="P12" s="256">
        <f>SUMIFS('Pune MIS'!AR:AR,'Pune MIS'!AB:AB,'Stock &amp; Processing'!N12)</f>
        <v>678104.69500000007</v>
      </c>
      <c r="R12" s="539" t="s">
        <v>3063</v>
      </c>
      <c r="S12" s="540" t="s">
        <v>2679</v>
      </c>
      <c r="T12" s="541">
        <v>1099.5999999999999</v>
      </c>
      <c r="U12" s="540" t="s">
        <v>3064</v>
      </c>
    </row>
    <row r="13" spans="2:23" ht="12.6" thickBot="1" x14ac:dyDescent="0.3">
      <c r="H13" s="505"/>
      <c r="N13" s="538">
        <v>46023</v>
      </c>
      <c r="O13" s="253">
        <f>SUMIFS('Pune MIS'!L:L,'Pune MIS'!D:D,'Stock &amp; Processing'!N12,'Pune MIS'!B:B,"Processing Cost")</f>
        <v>13640</v>
      </c>
      <c r="P13" s="256">
        <f>SUMIFS('Pune MIS'!AR:AR,'Pune MIS'!AB:AB,'Stock &amp; Processing'!N13)</f>
        <v>509335.80000000005</v>
      </c>
      <c r="R13" s="539" t="s">
        <v>3065</v>
      </c>
      <c r="S13" s="540" t="s">
        <v>2679</v>
      </c>
      <c r="T13" s="541">
        <v>252.8</v>
      </c>
      <c r="U13" s="540" t="s">
        <v>3064</v>
      </c>
    </row>
    <row r="14" spans="2:23" ht="12.6" thickBot="1" x14ac:dyDescent="0.3">
      <c r="N14" s="538">
        <v>46054</v>
      </c>
      <c r="O14" s="253">
        <f>SUMIFS('Pune MIS'!L:L,'Pune MIS'!D:D,'Stock &amp; Processing'!N13,'Pune MIS'!B:B,"Processing Cost")</f>
        <v>201372.04</v>
      </c>
      <c r="P14" s="256">
        <f>SUMIFS('Pune MIS'!AR:AR,'Pune MIS'!AB:AB,'Stock &amp; Processing'!N14)</f>
        <v>370095.5</v>
      </c>
      <c r="R14" s="539" t="s">
        <v>3066</v>
      </c>
      <c r="S14" s="540" t="s">
        <v>2679</v>
      </c>
      <c r="T14" s="541">
        <v>836.4</v>
      </c>
      <c r="U14" s="540" t="s">
        <v>3058</v>
      </c>
    </row>
    <row r="15" spans="2:23" ht="12.6" thickBot="1" x14ac:dyDescent="0.3">
      <c r="N15" s="538">
        <v>46082</v>
      </c>
      <c r="O15" s="253">
        <f>SUMIFS('Pune MIS'!L:L,'Pune MIS'!D:D,'Stock &amp; Processing'!N14,'Pune MIS'!B:B,"Processing Cost")</f>
        <v>231355</v>
      </c>
      <c r="P15" s="256">
        <f>SUMIFS('Pune MIS'!AR:AR,'Pune MIS'!AB:AB,'Stock &amp; Processing'!N15)</f>
        <v>1014445.19</v>
      </c>
      <c r="R15" s="539" t="s">
        <v>3067</v>
      </c>
      <c r="S15" s="540" t="s">
        <v>2679</v>
      </c>
      <c r="T15" s="541">
        <v>812.8</v>
      </c>
      <c r="U15" s="540" t="s">
        <v>3068</v>
      </c>
    </row>
    <row r="16" spans="2:23" ht="12.6" thickBot="1" x14ac:dyDescent="0.3">
      <c r="N16" s="538"/>
      <c r="R16" s="539" t="s">
        <v>501</v>
      </c>
      <c r="S16" s="540" t="s">
        <v>501</v>
      </c>
      <c r="T16" s="541">
        <v>4439.8</v>
      </c>
      <c r="U16" s="540" t="s">
        <v>3054</v>
      </c>
    </row>
    <row r="17" spans="7:21" ht="12.6" thickBot="1" x14ac:dyDescent="0.3">
      <c r="N17" s="543"/>
      <c r="R17" s="539" t="s">
        <v>3069</v>
      </c>
      <c r="S17" s="540" t="s">
        <v>501</v>
      </c>
      <c r="T17" s="541">
        <v>179</v>
      </c>
      <c r="U17" s="540" t="s">
        <v>3054</v>
      </c>
    </row>
    <row r="18" spans="7:21" x14ac:dyDescent="0.25">
      <c r="G18" s="505"/>
      <c r="N18" s="543"/>
    </row>
    <row r="19" spans="7:21" x14ac:dyDescent="0.25">
      <c r="N19" s="543"/>
    </row>
    <row r="20" spans="7:21" x14ac:dyDescent="0.25">
      <c r="N20" s="543"/>
    </row>
    <row r="21" spans="7:21" x14ac:dyDescent="0.25">
      <c r="N21" s="543"/>
    </row>
    <row r="22" spans="7:21" x14ac:dyDescent="0.25">
      <c r="N22" s="543"/>
    </row>
    <row r="23" spans="7:21" x14ac:dyDescent="0.25">
      <c r="N23" s="543"/>
    </row>
    <row r="24" spans="7:21" x14ac:dyDescent="0.25">
      <c r="N24" s="543"/>
    </row>
    <row r="25" spans="7:21" x14ac:dyDescent="0.25">
      <c r="N25" s="543"/>
    </row>
  </sheetData>
  <autoFilter ref="R3:U17" xr:uid="{98437BD9-D0DC-4A6F-B000-C75E9ECA53CF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DBBF-7E08-4B71-87E6-CD4AEAF2006E}">
  <sheetPr codeName="Sheet15"/>
  <dimension ref="B1:M676"/>
  <sheetViews>
    <sheetView showGridLines="0" topLeftCell="A658" workbookViewId="0">
      <selection activeCell="J4" sqref="J4"/>
    </sheetView>
  </sheetViews>
  <sheetFormatPr defaultRowHeight="14.4" x14ac:dyDescent="0.3"/>
  <cols>
    <col min="2" max="2" width="20.21875" style="242" bestFit="1" customWidth="1"/>
    <col min="3" max="3" width="10.109375" style="242" bestFit="1" customWidth="1"/>
    <col min="4" max="4" width="54.88671875" bestFit="1" customWidth="1"/>
    <col min="5" max="5" width="29.6640625" bestFit="1" customWidth="1"/>
    <col min="6" max="6" width="10.33203125" style="3" bestFit="1" customWidth="1"/>
    <col min="7" max="7" width="30.44140625" bestFit="1" customWidth="1"/>
    <col min="8" max="9" width="12.33203125" style="233" bestFit="1" customWidth="1"/>
    <col min="10" max="10" width="17.5546875" style="233" bestFit="1" customWidth="1"/>
    <col min="11" max="11" width="26.77734375" style="233" bestFit="1" customWidth="1"/>
    <col min="12" max="12" width="158.33203125" style="233" bestFit="1" customWidth="1"/>
    <col min="13" max="13" width="146.109375" style="233" bestFit="1" customWidth="1"/>
  </cols>
  <sheetData>
    <row r="1" spans="2:13" x14ac:dyDescent="0.3">
      <c r="F1" s="66"/>
      <c r="G1" s="66"/>
    </row>
    <row r="2" spans="2:13" ht="15" thickBot="1" x14ac:dyDescent="0.35">
      <c r="F2" s="66"/>
      <c r="G2" s="66"/>
      <c r="H2" s="235">
        <f>SUBTOTAL(9,H4:H625)</f>
        <v>7610188.6099999994</v>
      </c>
      <c r="I2" s="235">
        <f t="shared" ref="I2" si="0">SUBTOTAL(9,I4:I625)</f>
        <v>9812344.5299632903</v>
      </c>
    </row>
    <row r="3" spans="2:13" ht="15" thickBot="1" x14ac:dyDescent="0.35">
      <c r="B3" s="362" t="s">
        <v>2444</v>
      </c>
      <c r="C3" s="363" t="s">
        <v>15</v>
      </c>
      <c r="D3" s="364" t="s">
        <v>112</v>
      </c>
      <c r="E3" s="345" t="s">
        <v>110</v>
      </c>
      <c r="F3" s="345" t="s">
        <v>212</v>
      </c>
      <c r="G3" s="346" t="s">
        <v>928</v>
      </c>
      <c r="H3" s="346" t="s">
        <v>1351</v>
      </c>
      <c r="I3" s="346" t="s">
        <v>1357</v>
      </c>
      <c r="J3" s="308"/>
      <c r="K3" s="309"/>
      <c r="L3" s="308"/>
      <c r="M3" s="308"/>
    </row>
    <row r="4" spans="2:13" x14ac:dyDescent="0.3">
      <c r="B4" s="43">
        <v>44721</v>
      </c>
      <c r="C4" s="242" t="str">
        <f>TEXT(B4,"mmm-yy")</f>
        <v>Jun-22</v>
      </c>
      <c r="D4" s="365" t="s">
        <v>2445</v>
      </c>
      <c r="E4" s="366">
        <v>379</v>
      </c>
      <c r="F4" s="65">
        <v>0</v>
      </c>
      <c r="G4" s="367" t="s">
        <v>943</v>
      </c>
      <c r="H4" s="368">
        <f>F4</f>
        <v>0</v>
      </c>
      <c r="I4" s="369">
        <v>0</v>
      </c>
      <c r="J4" s="308"/>
      <c r="K4" s="309"/>
      <c r="L4" s="308"/>
      <c r="M4" s="308"/>
    </row>
    <row r="5" spans="2:13" x14ac:dyDescent="0.3">
      <c r="B5" s="43">
        <v>44766</v>
      </c>
      <c r="C5" s="242" t="str">
        <f t="shared" ref="C5:C68" si="1">TEXT(B5,"mmm-yy")</f>
        <v>Jul-22</v>
      </c>
      <c r="D5" s="365" t="s">
        <v>2446</v>
      </c>
      <c r="E5" s="366" t="s">
        <v>2447</v>
      </c>
      <c r="F5" s="65">
        <v>0</v>
      </c>
      <c r="G5" s="11" t="s">
        <v>943</v>
      </c>
      <c r="H5" s="368">
        <f>F5</f>
        <v>0</v>
      </c>
      <c r="I5" s="369">
        <v>0</v>
      </c>
      <c r="J5" s="308"/>
      <c r="K5" s="309"/>
      <c r="L5" s="308"/>
      <c r="M5" s="308"/>
    </row>
    <row r="6" spans="2:13" x14ac:dyDescent="0.3">
      <c r="B6" s="43">
        <v>45092</v>
      </c>
      <c r="C6" s="242" t="str">
        <f t="shared" si="1"/>
        <v>Jun-23</v>
      </c>
      <c r="D6" s="365" t="s">
        <v>2448</v>
      </c>
      <c r="E6" s="366" t="s">
        <v>2449</v>
      </c>
      <c r="F6" s="65">
        <v>0</v>
      </c>
      <c r="G6" s="11" t="s">
        <v>943</v>
      </c>
      <c r="H6" s="368">
        <f>F6</f>
        <v>0</v>
      </c>
      <c r="I6" s="369">
        <v>0</v>
      </c>
      <c r="J6" s="308"/>
      <c r="K6" s="309"/>
      <c r="L6" s="308"/>
      <c r="M6" s="308"/>
    </row>
    <row r="7" spans="2:13" x14ac:dyDescent="0.3">
      <c r="B7" s="43">
        <v>45132</v>
      </c>
      <c r="C7" s="242" t="str">
        <f t="shared" si="1"/>
        <v>Jul-23</v>
      </c>
      <c r="D7" s="365" t="s">
        <v>2448</v>
      </c>
      <c r="E7" s="366" t="s">
        <v>2450</v>
      </c>
      <c r="F7" s="65">
        <v>0</v>
      </c>
      <c r="G7" s="11" t="s">
        <v>943</v>
      </c>
      <c r="H7" s="368">
        <f>F7</f>
        <v>0</v>
      </c>
      <c r="I7" s="369">
        <v>0</v>
      </c>
      <c r="J7" s="308"/>
      <c r="K7" s="309"/>
      <c r="L7" s="308"/>
      <c r="M7" s="308"/>
    </row>
    <row r="8" spans="2:13" x14ac:dyDescent="0.3">
      <c r="B8" s="43">
        <v>45132</v>
      </c>
      <c r="C8" s="242" t="str">
        <f t="shared" si="1"/>
        <v>Jul-23</v>
      </c>
      <c r="D8" s="365" t="s">
        <v>2448</v>
      </c>
      <c r="E8" s="366" t="s">
        <v>2450</v>
      </c>
      <c r="F8" s="65">
        <v>0</v>
      </c>
      <c r="G8" s="11" t="s">
        <v>943</v>
      </c>
      <c r="H8" s="368">
        <f>F8</f>
        <v>0</v>
      </c>
      <c r="I8" s="369">
        <v>0</v>
      </c>
      <c r="J8" s="308"/>
      <c r="K8" s="309"/>
      <c r="L8" s="308"/>
      <c r="M8" s="308"/>
    </row>
    <row r="9" spans="2:13" x14ac:dyDescent="0.3">
      <c r="B9" s="43">
        <v>45386</v>
      </c>
      <c r="C9" s="242" t="str">
        <f t="shared" si="1"/>
        <v>Apr-24</v>
      </c>
      <c r="D9" s="365" t="s">
        <v>2451</v>
      </c>
      <c r="E9" s="370">
        <v>3118</v>
      </c>
      <c r="F9" s="65">
        <v>5120</v>
      </c>
      <c r="G9" s="11" t="s">
        <v>929</v>
      </c>
      <c r="H9" s="368">
        <v>0</v>
      </c>
      <c r="I9" s="369">
        <f t="shared" ref="I9:I72" si="2">F9</f>
        <v>5120</v>
      </c>
      <c r="J9" s="308"/>
      <c r="K9" s="309"/>
      <c r="L9" s="308"/>
      <c r="M9" s="308"/>
    </row>
    <row r="10" spans="2:13" x14ac:dyDescent="0.3">
      <c r="B10" s="43">
        <v>45386</v>
      </c>
      <c r="C10" s="242" t="str">
        <f t="shared" si="1"/>
        <v>Apr-24</v>
      </c>
      <c r="D10" s="365" t="s">
        <v>2451</v>
      </c>
      <c r="E10" s="370" t="s">
        <v>2452</v>
      </c>
      <c r="F10" s="65">
        <v>14442</v>
      </c>
      <c r="G10" s="11" t="s">
        <v>932</v>
      </c>
      <c r="H10" s="368">
        <v>0</v>
      </c>
      <c r="I10" s="369">
        <f t="shared" si="2"/>
        <v>14442</v>
      </c>
      <c r="J10" s="308"/>
      <c r="K10" s="309"/>
      <c r="L10" s="308"/>
      <c r="M10" s="308"/>
    </row>
    <row r="11" spans="2:13" x14ac:dyDescent="0.3">
      <c r="B11" s="43">
        <v>45386</v>
      </c>
      <c r="C11" s="242" t="str">
        <f t="shared" si="1"/>
        <v>Apr-24</v>
      </c>
      <c r="D11" s="365" t="s">
        <v>999</v>
      </c>
      <c r="E11" s="370" t="s">
        <v>2452</v>
      </c>
      <c r="F11" s="65">
        <v>14442</v>
      </c>
      <c r="G11" s="11" t="s">
        <v>932</v>
      </c>
      <c r="H11" s="368">
        <v>0</v>
      </c>
      <c r="I11" s="369">
        <f t="shared" si="2"/>
        <v>14442</v>
      </c>
      <c r="J11" s="308"/>
      <c r="K11" s="309"/>
      <c r="L11" s="308"/>
      <c r="M11" s="308"/>
    </row>
    <row r="12" spans="2:13" x14ac:dyDescent="0.3">
      <c r="B12" s="43">
        <v>45386</v>
      </c>
      <c r="C12" s="242" t="str">
        <f t="shared" si="1"/>
        <v>Apr-24</v>
      </c>
      <c r="D12" s="365" t="s">
        <v>1739</v>
      </c>
      <c r="E12" s="370" t="s">
        <v>2453</v>
      </c>
      <c r="F12" s="65">
        <v>14085</v>
      </c>
      <c r="G12" s="11" t="s">
        <v>932</v>
      </c>
      <c r="H12" s="368">
        <v>0</v>
      </c>
      <c r="I12" s="369">
        <f t="shared" si="2"/>
        <v>14085</v>
      </c>
      <c r="J12" s="308"/>
      <c r="K12" s="309"/>
      <c r="L12" s="308"/>
      <c r="M12" s="308"/>
    </row>
    <row r="13" spans="2:13" x14ac:dyDescent="0.3">
      <c r="B13" s="43">
        <v>45393</v>
      </c>
      <c r="C13" s="242" t="str">
        <f t="shared" si="1"/>
        <v>Apr-24</v>
      </c>
      <c r="D13" s="365" t="s">
        <v>2451</v>
      </c>
      <c r="E13" s="370" t="s">
        <v>2454</v>
      </c>
      <c r="F13" s="65">
        <v>9788</v>
      </c>
      <c r="G13" s="11" t="s">
        <v>932</v>
      </c>
      <c r="H13" s="368">
        <v>0</v>
      </c>
      <c r="I13" s="369">
        <f t="shared" si="2"/>
        <v>9788</v>
      </c>
      <c r="J13" s="308"/>
      <c r="K13" s="309"/>
      <c r="L13" s="308"/>
      <c r="M13" s="308"/>
    </row>
    <row r="14" spans="2:13" x14ac:dyDescent="0.3">
      <c r="B14" s="43">
        <v>45393</v>
      </c>
      <c r="C14" s="242" t="str">
        <f t="shared" si="1"/>
        <v>Apr-24</v>
      </c>
      <c r="D14" s="365" t="s">
        <v>2451</v>
      </c>
      <c r="E14" s="370" t="s">
        <v>2455</v>
      </c>
      <c r="F14" s="65">
        <v>4213</v>
      </c>
      <c r="G14" s="11" t="s">
        <v>932</v>
      </c>
      <c r="H14" s="368">
        <v>0</v>
      </c>
      <c r="I14" s="369">
        <f t="shared" si="2"/>
        <v>4213</v>
      </c>
      <c r="J14" s="308"/>
      <c r="K14" s="309"/>
      <c r="L14" s="308"/>
      <c r="M14" s="308"/>
    </row>
    <row r="15" spans="2:13" x14ac:dyDescent="0.3">
      <c r="B15" s="43">
        <v>45393</v>
      </c>
      <c r="C15" s="242" t="str">
        <f t="shared" si="1"/>
        <v>Apr-24</v>
      </c>
      <c r="D15" s="365" t="s">
        <v>2451</v>
      </c>
      <c r="E15" s="370" t="s">
        <v>2456</v>
      </c>
      <c r="F15" s="65">
        <v>5726</v>
      </c>
      <c r="G15" s="11" t="s">
        <v>931</v>
      </c>
      <c r="H15" s="368">
        <v>0</v>
      </c>
      <c r="I15" s="369">
        <f t="shared" si="2"/>
        <v>5726</v>
      </c>
      <c r="J15" s="308"/>
      <c r="K15" s="309"/>
      <c r="L15" s="308"/>
      <c r="M15" s="308"/>
    </row>
    <row r="16" spans="2:13" x14ac:dyDescent="0.3">
      <c r="B16" s="43">
        <v>45394</v>
      </c>
      <c r="C16" s="242" t="str">
        <f t="shared" si="1"/>
        <v>Apr-24</v>
      </c>
      <c r="D16" s="365" t="s">
        <v>2451</v>
      </c>
      <c r="E16" s="370" t="s">
        <v>2457</v>
      </c>
      <c r="F16" s="65">
        <v>5328</v>
      </c>
      <c r="G16" s="11" t="s">
        <v>932</v>
      </c>
      <c r="H16" s="368">
        <v>0</v>
      </c>
      <c r="I16" s="369">
        <f t="shared" si="2"/>
        <v>5328</v>
      </c>
      <c r="J16" s="308"/>
      <c r="K16" s="309"/>
      <c r="L16" s="308"/>
      <c r="M16" s="308"/>
    </row>
    <row r="17" spans="2:13" x14ac:dyDescent="0.3">
      <c r="B17" s="43">
        <v>45394</v>
      </c>
      <c r="C17" s="242" t="str">
        <f t="shared" si="1"/>
        <v>Apr-24</v>
      </c>
      <c r="D17" s="365" t="s">
        <v>2451</v>
      </c>
      <c r="E17" s="370" t="s">
        <v>2458</v>
      </c>
      <c r="F17" s="65">
        <v>1882</v>
      </c>
      <c r="G17" s="11" t="s">
        <v>929</v>
      </c>
      <c r="H17" s="368">
        <v>0</v>
      </c>
      <c r="I17" s="369">
        <f t="shared" si="2"/>
        <v>1882</v>
      </c>
      <c r="J17" s="308"/>
      <c r="K17" s="309"/>
      <c r="L17" s="308"/>
      <c r="M17" s="308"/>
    </row>
    <row r="18" spans="2:13" x14ac:dyDescent="0.3">
      <c r="B18" s="43">
        <v>45398</v>
      </c>
      <c r="C18" s="242" t="str">
        <f t="shared" si="1"/>
        <v>Apr-24</v>
      </c>
      <c r="D18" s="365" t="s">
        <v>2451</v>
      </c>
      <c r="E18" s="370" t="s">
        <v>2459</v>
      </c>
      <c r="F18" s="65">
        <v>9040</v>
      </c>
      <c r="G18" s="11" t="s">
        <v>932</v>
      </c>
      <c r="H18" s="368">
        <v>0</v>
      </c>
      <c r="I18" s="369">
        <f t="shared" si="2"/>
        <v>9040</v>
      </c>
      <c r="J18" s="308"/>
      <c r="K18" s="309"/>
      <c r="L18" s="308"/>
      <c r="M18" s="308"/>
    </row>
    <row r="19" spans="2:13" x14ac:dyDescent="0.3">
      <c r="B19" s="43">
        <v>45398</v>
      </c>
      <c r="C19" s="242" t="str">
        <f t="shared" si="1"/>
        <v>Apr-24</v>
      </c>
      <c r="D19" s="365" t="s">
        <v>2451</v>
      </c>
      <c r="E19" s="370" t="s">
        <v>2460</v>
      </c>
      <c r="F19" s="65">
        <v>3040</v>
      </c>
      <c r="G19" s="11" t="s">
        <v>932</v>
      </c>
      <c r="H19" s="368">
        <v>0</v>
      </c>
      <c r="I19" s="369">
        <f t="shared" si="2"/>
        <v>3040</v>
      </c>
      <c r="J19" s="308"/>
      <c r="K19" s="309"/>
      <c r="L19" s="308"/>
      <c r="M19" s="308"/>
    </row>
    <row r="20" spans="2:13" x14ac:dyDescent="0.3">
      <c r="B20" s="43">
        <v>45401</v>
      </c>
      <c r="C20" s="242" t="str">
        <f t="shared" si="1"/>
        <v>Apr-24</v>
      </c>
      <c r="D20" s="365" t="s">
        <v>2451</v>
      </c>
      <c r="E20" s="370">
        <v>3119</v>
      </c>
      <c r="F20" s="65">
        <v>1035</v>
      </c>
      <c r="G20" s="11" t="s">
        <v>929</v>
      </c>
      <c r="H20" s="368">
        <v>0</v>
      </c>
      <c r="I20" s="369">
        <f t="shared" si="2"/>
        <v>1035</v>
      </c>
      <c r="J20" s="308"/>
      <c r="K20" s="309"/>
      <c r="L20" s="308"/>
      <c r="M20" s="308"/>
    </row>
    <row r="21" spans="2:13" x14ac:dyDescent="0.3">
      <c r="B21" s="43">
        <v>45406</v>
      </c>
      <c r="C21" s="242" t="str">
        <f t="shared" si="1"/>
        <v>Apr-24</v>
      </c>
      <c r="D21" s="365" t="s">
        <v>2451</v>
      </c>
      <c r="E21" s="370">
        <v>3112</v>
      </c>
      <c r="F21" s="65">
        <v>7500</v>
      </c>
      <c r="G21" s="11" t="s">
        <v>929</v>
      </c>
      <c r="H21" s="368">
        <v>0</v>
      </c>
      <c r="I21" s="369">
        <f t="shared" si="2"/>
        <v>7500</v>
      </c>
      <c r="J21" s="308"/>
      <c r="K21" s="309"/>
      <c r="L21" s="308"/>
      <c r="M21" s="308"/>
    </row>
    <row r="22" spans="2:13" x14ac:dyDescent="0.3">
      <c r="B22" s="43">
        <v>45414</v>
      </c>
      <c r="C22" s="242" t="str">
        <f t="shared" si="1"/>
        <v>May-24</v>
      </c>
      <c r="D22" s="365" t="s">
        <v>1530</v>
      </c>
      <c r="E22" s="370" t="s">
        <v>2461</v>
      </c>
      <c r="F22" s="65">
        <v>7553</v>
      </c>
      <c r="G22" s="11" t="s">
        <v>932</v>
      </c>
      <c r="H22" s="368">
        <v>0</v>
      </c>
      <c r="I22" s="369">
        <f t="shared" si="2"/>
        <v>7553</v>
      </c>
      <c r="J22" s="308"/>
      <c r="K22" s="309"/>
      <c r="L22" s="308"/>
      <c r="M22" s="308"/>
    </row>
    <row r="23" spans="2:13" x14ac:dyDescent="0.3">
      <c r="B23" s="43">
        <v>45416</v>
      </c>
      <c r="C23" s="242" t="str">
        <f t="shared" si="1"/>
        <v>May-24</v>
      </c>
      <c r="D23" s="365" t="s">
        <v>2462</v>
      </c>
      <c r="E23" s="370" t="s">
        <v>518</v>
      </c>
      <c r="F23" s="65">
        <v>2281</v>
      </c>
      <c r="G23" s="11" t="s">
        <v>929</v>
      </c>
      <c r="H23" s="368">
        <v>0</v>
      </c>
      <c r="I23" s="369">
        <f t="shared" si="2"/>
        <v>2281</v>
      </c>
      <c r="J23" s="308"/>
      <c r="K23" s="309"/>
      <c r="L23" s="308"/>
      <c r="M23" s="308"/>
    </row>
    <row r="24" spans="2:13" x14ac:dyDescent="0.3">
      <c r="B24" s="43">
        <v>45416</v>
      </c>
      <c r="C24" s="242" t="str">
        <f t="shared" si="1"/>
        <v>May-24</v>
      </c>
      <c r="D24" s="365" t="s">
        <v>2462</v>
      </c>
      <c r="E24" s="370" t="s">
        <v>518</v>
      </c>
      <c r="F24" s="65">
        <v>714</v>
      </c>
      <c r="G24" s="11" t="s">
        <v>933</v>
      </c>
      <c r="H24" s="368">
        <v>0</v>
      </c>
      <c r="I24" s="369">
        <f t="shared" si="2"/>
        <v>714</v>
      </c>
      <c r="J24" s="308"/>
      <c r="K24" s="309"/>
      <c r="L24" s="308"/>
      <c r="M24" s="308"/>
    </row>
    <row r="25" spans="2:13" x14ac:dyDescent="0.3">
      <c r="B25" s="43">
        <v>45420</v>
      </c>
      <c r="C25" s="242" t="str">
        <f t="shared" si="1"/>
        <v>May-24</v>
      </c>
      <c r="D25" s="365" t="s">
        <v>2463</v>
      </c>
      <c r="E25" s="370" t="s">
        <v>2464</v>
      </c>
      <c r="F25" s="65">
        <v>58000</v>
      </c>
      <c r="G25" s="11" t="s">
        <v>2465</v>
      </c>
      <c r="H25" s="368">
        <v>0</v>
      </c>
      <c r="I25" s="369">
        <f t="shared" si="2"/>
        <v>58000</v>
      </c>
      <c r="J25" s="308"/>
      <c r="K25" s="309"/>
      <c r="L25" s="308"/>
      <c r="M25" s="308"/>
    </row>
    <row r="26" spans="2:13" x14ac:dyDescent="0.3">
      <c r="B26" s="43">
        <v>45422</v>
      </c>
      <c r="C26" s="242" t="str">
        <f t="shared" si="1"/>
        <v>May-24</v>
      </c>
      <c r="D26" s="365" t="s">
        <v>999</v>
      </c>
      <c r="E26" s="370">
        <v>3657</v>
      </c>
      <c r="F26" s="65">
        <v>3804</v>
      </c>
      <c r="G26" s="11" t="s">
        <v>929</v>
      </c>
      <c r="H26" s="368">
        <v>0</v>
      </c>
      <c r="I26" s="369">
        <f t="shared" si="2"/>
        <v>3804</v>
      </c>
      <c r="J26" s="308"/>
      <c r="K26" s="309"/>
      <c r="L26" s="308"/>
      <c r="M26" s="308"/>
    </row>
    <row r="27" spans="2:13" x14ac:dyDescent="0.3">
      <c r="B27" s="43">
        <v>45422</v>
      </c>
      <c r="C27" s="242" t="str">
        <f t="shared" si="1"/>
        <v>May-24</v>
      </c>
      <c r="D27" s="365" t="s">
        <v>999</v>
      </c>
      <c r="E27" s="370">
        <v>3657</v>
      </c>
      <c r="F27" s="65">
        <v>770</v>
      </c>
      <c r="G27" s="11" t="s">
        <v>932</v>
      </c>
      <c r="H27" s="368">
        <v>0</v>
      </c>
      <c r="I27" s="369">
        <f t="shared" si="2"/>
        <v>770</v>
      </c>
      <c r="J27" s="308"/>
      <c r="K27" s="309"/>
      <c r="L27" s="308"/>
      <c r="M27" s="308"/>
    </row>
    <row r="28" spans="2:13" x14ac:dyDescent="0.3">
      <c r="B28" s="43">
        <v>45428</v>
      </c>
      <c r="C28" s="242" t="str">
        <f t="shared" si="1"/>
        <v>May-24</v>
      </c>
      <c r="D28" s="365" t="s">
        <v>999</v>
      </c>
      <c r="E28" s="370">
        <v>3330</v>
      </c>
      <c r="F28" s="65">
        <v>1984</v>
      </c>
      <c r="G28" s="11" t="s">
        <v>929</v>
      </c>
      <c r="H28" s="368">
        <v>0</v>
      </c>
      <c r="I28" s="369">
        <f t="shared" si="2"/>
        <v>1984</v>
      </c>
      <c r="J28" s="308"/>
      <c r="K28" s="309"/>
      <c r="L28" s="308"/>
      <c r="M28" s="308"/>
    </row>
    <row r="29" spans="2:13" x14ac:dyDescent="0.3">
      <c r="B29" s="43">
        <v>45439</v>
      </c>
      <c r="C29" s="242" t="str">
        <f t="shared" si="1"/>
        <v>May-24</v>
      </c>
      <c r="D29" s="365" t="s">
        <v>2451</v>
      </c>
      <c r="E29" s="370" t="s">
        <v>2466</v>
      </c>
      <c r="F29" s="65">
        <v>10313</v>
      </c>
      <c r="G29" s="11" t="s">
        <v>932</v>
      </c>
      <c r="H29" s="368">
        <v>0</v>
      </c>
      <c r="I29" s="369">
        <f t="shared" si="2"/>
        <v>10313</v>
      </c>
      <c r="J29" s="308"/>
      <c r="K29" s="309"/>
      <c r="L29" s="308"/>
      <c r="M29" s="308"/>
    </row>
    <row r="30" spans="2:13" x14ac:dyDescent="0.3">
      <c r="B30" s="43">
        <v>45439</v>
      </c>
      <c r="C30" s="242" t="str">
        <f t="shared" si="1"/>
        <v>May-24</v>
      </c>
      <c r="D30" s="365" t="s">
        <v>999</v>
      </c>
      <c r="E30" s="370" t="s">
        <v>2466</v>
      </c>
      <c r="F30" s="65">
        <v>10313</v>
      </c>
      <c r="G30" s="11" t="s">
        <v>932</v>
      </c>
      <c r="H30" s="368">
        <v>0</v>
      </c>
      <c r="I30" s="369">
        <f t="shared" si="2"/>
        <v>10313</v>
      </c>
      <c r="J30" s="308"/>
      <c r="K30" s="309"/>
      <c r="L30" s="308"/>
      <c r="M30" s="308"/>
    </row>
    <row r="31" spans="2:13" x14ac:dyDescent="0.3">
      <c r="B31" s="43">
        <v>45439</v>
      </c>
      <c r="C31" s="242" t="str">
        <f t="shared" si="1"/>
        <v>May-24</v>
      </c>
      <c r="D31" s="365" t="s">
        <v>2451</v>
      </c>
      <c r="E31" s="370" t="s">
        <v>2467</v>
      </c>
      <c r="F31" s="65">
        <v>7404</v>
      </c>
      <c r="G31" s="11" t="s">
        <v>931</v>
      </c>
      <c r="H31" s="368">
        <v>0</v>
      </c>
      <c r="I31" s="369">
        <f t="shared" si="2"/>
        <v>7404</v>
      </c>
      <c r="J31" s="308"/>
      <c r="K31" s="309"/>
      <c r="L31" s="308"/>
      <c r="M31" s="308"/>
    </row>
    <row r="32" spans="2:13" x14ac:dyDescent="0.3">
      <c r="B32" s="43">
        <v>45440</v>
      </c>
      <c r="C32" s="242" t="str">
        <f t="shared" si="1"/>
        <v>May-24</v>
      </c>
      <c r="D32" s="365" t="s">
        <v>2451</v>
      </c>
      <c r="E32" s="370">
        <v>3656</v>
      </c>
      <c r="F32" s="65">
        <v>1479</v>
      </c>
      <c r="G32" s="11" t="s">
        <v>929</v>
      </c>
      <c r="H32" s="368">
        <v>0</v>
      </c>
      <c r="I32" s="369">
        <f t="shared" si="2"/>
        <v>1479</v>
      </c>
      <c r="J32" s="308"/>
      <c r="K32" s="309"/>
      <c r="L32" s="308"/>
      <c r="M32" s="308"/>
    </row>
    <row r="33" spans="2:13" x14ac:dyDescent="0.3">
      <c r="B33" s="43">
        <v>45443</v>
      </c>
      <c r="C33" s="242" t="str">
        <f t="shared" si="1"/>
        <v>May-24</v>
      </c>
      <c r="D33" s="365" t="s">
        <v>999</v>
      </c>
      <c r="E33" s="370" t="s">
        <v>2468</v>
      </c>
      <c r="F33" s="65">
        <v>11995</v>
      </c>
      <c r="G33" s="11" t="s">
        <v>935</v>
      </c>
      <c r="H33" s="368">
        <v>0</v>
      </c>
      <c r="I33" s="369">
        <f t="shared" si="2"/>
        <v>11995</v>
      </c>
      <c r="J33" s="308"/>
      <c r="K33" s="309"/>
      <c r="L33" s="308"/>
      <c r="M33" s="308"/>
    </row>
    <row r="34" spans="2:13" x14ac:dyDescent="0.3">
      <c r="B34" s="43">
        <v>45443</v>
      </c>
      <c r="C34" s="242" t="str">
        <f t="shared" si="1"/>
        <v>May-24</v>
      </c>
      <c r="D34" s="365" t="s">
        <v>999</v>
      </c>
      <c r="E34" s="370" t="s">
        <v>2468</v>
      </c>
      <c r="F34" s="65">
        <v>3536</v>
      </c>
      <c r="G34" s="11" t="s">
        <v>2469</v>
      </c>
      <c r="H34" s="368">
        <v>0</v>
      </c>
      <c r="I34" s="369">
        <f t="shared" si="2"/>
        <v>3536</v>
      </c>
      <c r="J34" s="308"/>
      <c r="K34" s="309"/>
      <c r="L34" s="308"/>
      <c r="M34" s="308"/>
    </row>
    <row r="35" spans="2:13" x14ac:dyDescent="0.3">
      <c r="B35" s="43">
        <v>45443</v>
      </c>
      <c r="C35" s="242" t="str">
        <f t="shared" si="1"/>
        <v>May-24</v>
      </c>
      <c r="D35" s="365" t="s">
        <v>999</v>
      </c>
      <c r="E35" s="370" t="s">
        <v>2468</v>
      </c>
      <c r="F35" s="65">
        <v>7715</v>
      </c>
      <c r="G35" s="11" t="s">
        <v>2470</v>
      </c>
      <c r="H35" s="368">
        <v>0</v>
      </c>
      <c r="I35" s="369">
        <f t="shared" si="2"/>
        <v>7715</v>
      </c>
      <c r="J35" s="308"/>
      <c r="K35" s="309"/>
      <c r="L35" s="308"/>
      <c r="M35" s="308"/>
    </row>
    <row r="36" spans="2:13" x14ac:dyDescent="0.3">
      <c r="B36" s="43">
        <v>45443</v>
      </c>
      <c r="C36" s="242" t="str">
        <f t="shared" si="1"/>
        <v>May-24</v>
      </c>
      <c r="D36" s="365" t="s">
        <v>2462</v>
      </c>
      <c r="E36" s="370" t="s">
        <v>2471</v>
      </c>
      <c r="F36" s="65">
        <v>52420</v>
      </c>
      <c r="G36" s="11" t="s">
        <v>1122</v>
      </c>
      <c r="H36" s="368">
        <v>0</v>
      </c>
      <c r="I36" s="369">
        <f t="shared" si="2"/>
        <v>52420</v>
      </c>
      <c r="J36" s="308"/>
      <c r="K36" s="309"/>
      <c r="L36" s="308"/>
      <c r="M36" s="308"/>
    </row>
    <row r="37" spans="2:13" x14ac:dyDescent="0.3">
      <c r="B37" s="43">
        <v>45444</v>
      </c>
      <c r="C37" s="242" t="str">
        <f t="shared" si="1"/>
        <v>Jun-24</v>
      </c>
      <c r="D37" s="365" t="s">
        <v>2463</v>
      </c>
      <c r="E37" s="370" t="s">
        <v>2472</v>
      </c>
      <c r="F37" s="65">
        <v>58000</v>
      </c>
      <c r="G37" s="11" t="s">
        <v>2465</v>
      </c>
      <c r="H37" s="368">
        <v>0</v>
      </c>
      <c r="I37" s="369">
        <f t="shared" si="2"/>
        <v>58000</v>
      </c>
      <c r="J37" s="308"/>
      <c r="K37" s="309"/>
      <c r="L37" s="308"/>
      <c r="M37" s="308"/>
    </row>
    <row r="38" spans="2:13" x14ac:dyDescent="0.3">
      <c r="B38" s="43">
        <v>45446</v>
      </c>
      <c r="C38" s="242" t="str">
        <f t="shared" si="1"/>
        <v>Jun-24</v>
      </c>
      <c r="D38" s="365" t="s">
        <v>1739</v>
      </c>
      <c r="E38" s="370" t="s">
        <v>2473</v>
      </c>
      <c r="F38" s="65">
        <v>6880</v>
      </c>
      <c r="G38" s="11" t="s">
        <v>932</v>
      </c>
      <c r="H38" s="368">
        <v>0</v>
      </c>
      <c r="I38" s="369">
        <f t="shared" si="2"/>
        <v>6880</v>
      </c>
      <c r="J38" s="308"/>
      <c r="K38" s="309"/>
      <c r="L38" s="308"/>
      <c r="M38" s="308"/>
    </row>
    <row r="39" spans="2:13" x14ac:dyDescent="0.3">
      <c r="B39" s="43">
        <v>45446</v>
      </c>
      <c r="C39" s="242" t="str">
        <f t="shared" si="1"/>
        <v>Jun-24</v>
      </c>
      <c r="D39" s="365" t="s">
        <v>1739</v>
      </c>
      <c r="E39" s="370" t="s">
        <v>2474</v>
      </c>
      <c r="F39" s="65">
        <v>12231</v>
      </c>
      <c r="G39" s="11" t="s">
        <v>931</v>
      </c>
      <c r="H39" s="368">
        <v>0</v>
      </c>
      <c r="I39" s="369">
        <f t="shared" si="2"/>
        <v>12231</v>
      </c>
      <c r="J39" s="308"/>
      <c r="K39" s="309"/>
      <c r="L39" s="308"/>
      <c r="M39" s="308"/>
    </row>
    <row r="40" spans="2:13" x14ac:dyDescent="0.3">
      <c r="B40" s="43">
        <v>45448</v>
      </c>
      <c r="C40" s="242" t="str">
        <f t="shared" si="1"/>
        <v>Jun-24</v>
      </c>
      <c r="D40" s="365" t="s">
        <v>999</v>
      </c>
      <c r="E40" s="370" t="s">
        <v>2475</v>
      </c>
      <c r="F40" s="65">
        <v>2170</v>
      </c>
      <c r="G40" s="11" t="s">
        <v>932</v>
      </c>
      <c r="H40" s="368">
        <v>0</v>
      </c>
      <c r="I40" s="369">
        <f t="shared" si="2"/>
        <v>2170</v>
      </c>
      <c r="J40" s="308"/>
      <c r="K40" s="309"/>
      <c r="L40" s="308"/>
      <c r="M40" s="308"/>
    </row>
    <row r="41" spans="2:13" x14ac:dyDescent="0.3">
      <c r="B41" s="43">
        <v>45449</v>
      </c>
      <c r="C41" s="242" t="str">
        <f t="shared" si="1"/>
        <v>Jun-24</v>
      </c>
      <c r="D41" s="365" t="s">
        <v>999</v>
      </c>
      <c r="E41" s="370">
        <v>3708</v>
      </c>
      <c r="F41" s="65">
        <v>402</v>
      </c>
      <c r="G41" s="11" t="s">
        <v>929</v>
      </c>
      <c r="H41" s="368">
        <v>0</v>
      </c>
      <c r="I41" s="369">
        <f t="shared" si="2"/>
        <v>402</v>
      </c>
      <c r="J41" s="308"/>
      <c r="K41" s="309"/>
      <c r="L41" s="308"/>
      <c r="M41" s="308"/>
    </row>
    <row r="42" spans="2:13" x14ac:dyDescent="0.3">
      <c r="B42" s="43">
        <v>45449</v>
      </c>
      <c r="C42" s="242" t="str">
        <f t="shared" si="1"/>
        <v>Jun-24</v>
      </c>
      <c r="D42" s="365" t="s">
        <v>999</v>
      </c>
      <c r="E42" s="370">
        <v>3708</v>
      </c>
      <c r="F42" s="65">
        <v>4098</v>
      </c>
      <c r="G42" s="11" t="s">
        <v>932</v>
      </c>
      <c r="H42" s="368">
        <v>0</v>
      </c>
      <c r="I42" s="369">
        <f t="shared" si="2"/>
        <v>4098</v>
      </c>
      <c r="J42" s="308"/>
      <c r="K42" s="309"/>
      <c r="L42" s="308"/>
      <c r="M42" s="308"/>
    </row>
    <row r="43" spans="2:13" x14ac:dyDescent="0.3">
      <c r="B43" s="43">
        <v>45450</v>
      </c>
      <c r="C43" s="242" t="str">
        <f t="shared" si="1"/>
        <v>Jun-24</v>
      </c>
      <c r="D43" s="365" t="s">
        <v>1739</v>
      </c>
      <c r="E43" s="370" t="s">
        <v>2476</v>
      </c>
      <c r="F43" s="65">
        <v>7678</v>
      </c>
      <c r="G43" s="11" t="s">
        <v>932</v>
      </c>
      <c r="H43" s="368">
        <v>0</v>
      </c>
      <c r="I43" s="369">
        <f t="shared" si="2"/>
        <v>7678</v>
      </c>
      <c r="J43" s="308"/>
      <c r="K43" s="309"/>
      <c r="L43" s="308"/>
      <c r="M43" s="308"/>
    </row>
    <row r="44" spans="2:13" x14ac:dyDescent="0.3">
      <c r="B44" s="43">
        <v>45453</v>
      </c>
      <c r="C44" s="242" t="str">
        <f t="shared" si="1"/>
        <v>Jun-24</v>
      </c>
      <c r="D44" s="365" t="s">
        <v>999</v>
      </c>
      <c r="E44" s="370">
        <v>3813</v>
      </c>
      <c r="F44" s="65">
        <v>598</v>
      </c>
      <c r="G44" s="11" t="s">
        <v>1766</v>
      </c>
      <c r="H44" s="368">
        <v>0</v>
      </c>
      <c r="I44" s="369">
        <f t="shared" si="2"/>
        <v>598</v>
      </c>
      <c r="J44" s="308"/>
      <c r="K44" s="309"/>
      <c r="L44" s="308"/>
      <c r="M44" s="308"/>
    </row>
    <row r="45" spans="2:13" x14ac:dyDescent="0.3">
      <c r="B45" s="43">
        <v>45453</v>
      </c>
      <c r="C45" s="242" t="str">
        <f t="shared" si="1"/>
        <v>Jun-24</v>
      </c>
      <c r="D45" s="365" t="s">
        <v>1739</v>
      </c>
      <c r="E45" s="370">
        <v>3825</v>
      </c>
      <c r="F45" s="65">
        <v>544</v>
      </c>
      <c r="G45" s="11" t="s">
        <v>1121</v>
      </c>
      <c r="H45" s="368">
        <v>0</v>
      </c>
      <c r="I45" s="369">
        <f t="shared" si="2"/>
        <v>544</v>
      </c>
      <c r="J45" s="308"/>
      <c r="K45" s="309"/>
      <c r="L45" s="308"/>
      <c r="M45" s="308"/>
    </row>
    <row r="46" spans="2:13" x14ac:dyDescent="0.3">
      <c r="B46" s="43">
        <v>45454</v>
      </c>
      <c r="C46" s="242" t="str">
        <f t="shared" si="1"/>
        <v>Jun-24</v>
      </c>
      <c r="D46" s="365" t="s">
        <v>2451</v>
      </c>
      <c r="E46" s="370">
        <v>3846</v>
      </c>
      <c r="F46" s="65">
        <v>3093</v>
      </c>
      <c r="G46" s="11" t="s">
        <v>929</v>
      </c>
      <c r="H46" s="368">
        <v>0</v>
      </c>
      <c r="I46" s="369">
        <f t="shared" si="2"/>
        <v>3093</v>
      </c>
      <c r="J46" s="308"/>
      <c r="K46" s="309"/>
      <c r="L46" s="308"/>
      <c r="M46" s="308"/>
    </row>
    <row r="47" spans="2:13" x14ac:dyDescent="0.3">
      <c r="B47" s="43">
        <v>45454</v>
      </c>
      <c r="C47" s="242" t="str">
        <f t="shared" si="1"/>
        <v>Jun-24</v>
      </c>
      <c r="D47" s="365" t="s">
        <v>999</v>
      </c>
      <c r="E47" s="370">
        <v>3804</v>
      </c>
      <c r="F47" s="65">
        <v>1024</v>
      </c>
      <c r="G47" s="11" t="s">
        <v>929</v>
      </c>
      <c r="H47" s="368">
        <v>0</v>
      </c>
      <c r="I47" s="369">
        <f t="shared" si="2"/>
        <v>1024</v>
      </c>
      <c r="J47" s="308"/>
      <c r="K47" s="309"/>
      <c r="L47" s="308"/>
      <c r="M47" s="308"/>
    </row>
    <row r="48" spans="2:13" x14ac:dyDescent="0.3">
      <c r="B48" s="43">
        <v>45454</v>
      </c>
      <c r="C48" s="242" t="str">
        <f t="shared" si="1"/>
        <v>Jun-24</v>
      </c>
      <c r="D48" s="365" t="s">
        <v>999</v>
      </c>
      <c r="E48" s="370">
        <v>3804</v>
      </c>
      <c r="F48" s="65">
        <v>83</v>
      </c>
      <c r="G48" s="11" t="s">
        <v>933</v>
      </c>
      <c r="H48" s="368">
        <v>0</v>
      </c>
      <c r="I48" s="369">
        <f t="shared" si="2"/>
        <v>83</v>
      </c>
      <c r="J48" s="308"/>
      <c r="K48" s="309"/>
      <c r="L48" s="308"/>
      <c r="M48" s="308"/>
    </row>
    <row r="49" spans="2:13" x14ac:dyDescent="0.3">
      <c r="B49" s="43">
        <v>45454</v>
      </c>
      <c r="C49" s="242" t="str">
        <f t="shared" si="1"/>
        <v>Jun-24</v>
      </c>
      <c r="D49" s="365" t="s">
        <v>2451</v>
      </c>
      <c r="E49" s="370" t="s">
        <v>2477</v>
      </c>
      <c r="F49" s="65">
        <v>16985</v>
      </c>
      <c r="G49" s="11" t="s">
        <v>932</v>
      </c>
      <c r="H49" s="368">
        <v>0</v>
      </c>
      <c r="I49" s="369">
        <f t="shared" si="2"/>
        <v>16985</v>
      </c>
      <c r="J49" s="308"/>
      <c r="K49" s="309"/>
      <c r="L49" s="308"/>
      <c r="M49" s="308"/>
    </row>
    <row r="50" spans="2:13" x14ac:dyDescent="0.3">
      <c r="B50" s="43">
        <v>45455</v>
      </c>
      <c r="C50" s="242" t="str">
        <f t="shared" si="1"/>
        <v>Jun-24</v>
      </c>
      <c r="D50" s="365" t="s">
        <v>1739</v>
      </c>
      <c r="E50" s="370">
        <v>3845</v>
      </c>
      <c r="F50" s="65">
        <v>304</v>
      </c>
      <c r="G50" s="11" t="s">
        <v>1121</v>
      </c>
      <c r="H50" s="368">
        <v>0</v>
      </c>
      <c r="I50" s="369">
        <f t="shared" si="2"/>
        <v>304</v>
      </c>
      <c r="J50" s="308"/>
      <c r="K50" s="309"/>
      <c r="L50" s="308"/>
      <c r="M50" s="308"/>
    </row>
    <row r="51" spans="2:13" x14ac:dyDescent="0.3">
      <c r="B51" s="43">
        <v>45456</v>
      </c>
      <c r="C51" s="242" t="str">
        <f t="shared" si="1"/>
        <v>Jun-24</v>
      </c>
      <c r="D51" s="365" t="s">
        <v>999</v>
      </c>
      <c r="E51" s="370">
        <v>3857</v>
      </c>
      <c r="F51" s="65">
        <v>1375</v>
      </c>
      <c r="G51" s="11" t="s">
        <v>929</v>
      </c>
      <c r="H51" s="368">
        <v>0</v>
      </c>
      <c r="I51" s="369">
        <f t="shared" si="2"/>
        <v>1375</v>
      </c>
      <c r="J51" s="308"/>
      <c r="K51" s="309"/>
      <c r="L51" s="308"/>
      <c r="M51" s="308"/>
    </row>
    <row r="52" spans="2:13" x14ac:dyDescent="0.3">
      <c r="B52" s="43">
        <v>45461</v>
      </c>
      <c r="C52" s="242" t="str">
        <f t="shared" si="1"/>
        <v>Jun-24</v>
      </c>
      <c r="D52" s="365" t="s">
        <v>999</v>
      </c>
      <c r="E52" s="370">
        <v>3935</v>
      </c>
      <c r="F52" s="65">
        <v>1022</v>
      </c>
      <c r="G52" s="11" t="s">
        <v>929</v>
      </c>
      <c r="H52" s="368">
        <v>0</v>
      </c>
      <c r="I52" s="369">
        <f t="shared" si="2"/>
        <v>1022</v>
      </c>
      <c r="J52" s="308"/>
      <c r="K52" s="309"/>
      <c r="L52" s="308"/>
      <c r="M52" s="308"/>
    </row>
    <row r="53" spans="2:13" x14ac:dyDescent="0.3">
      <c r="B53" s="43">
        <v>45461</v>
      </c>
      <c r="C53" s="242" t="str">
        <f t="shared" si="1"/>
        <v>Jun-24</v>
      </c>
      <c r="D53" s="365" t="s">
        <v>999</v>
      </c>
      <c r="E53" s="370">
        <v>3935</v>
      </c>
      <c r="F53" s="65">
        <v>970</v>
      </c>
      <c r="G53" s="11" t="s">
        <v>932</v>
      </c>
      <c r="H53" s="368">
        <v>0</v>
      </c>
      <c r="I53" s="369">
        <f t="shared" si="2"/>
        <v>970</v>
      </c>
      <c r="J53" s="308"/>
      <c r="K53" s="309"/>
      <c r="L53" s="308"/>
      <c r="M53" s="308"/>
    </row>
    <row r="54" spans="2:13" x14ac:dyDescent="0.3">
      <c r="B54" s="43">
        <v>45461</v>
      </c>
      <c r="C54" s="242" t="str">
        <f t="shared" si="1"/>
        <v>Jun-24</v>
      </c>
      <c r="D54" s="365" t="s">
        <v>999</v>
      </c>
      <c r="E54" s="370">
        <v>3935</v>
      </c>
      <c r="F54" s="65">
        <v>179</v>
      </c>
      <c r="G54" s="11" t="s">
        <v>933</v>
      </c>
      <c r="H54" s="368">
        <v>0</v>
      </c>
      <c r="I54" s="369">
        <f t="shared" si="2"/>
        <v>179</v>
      </c>
      <c r="J54" s="308"/>
      <c r="K54" s="309"/>
      <c r="L54" s="308"/>
      <c r="M54" s="308"/>
    </row>
    <row r="55" spans="2:13" x14ac:dyDescent="0.3">
      <c r="B55" s="43">
        <v>45462</v>
      </c>
      <c r="C55" s="242" t="str">
        <f t="shared" si="1"/>
        <v>Jun-24</v>
      </c>
      <c r="D55" s="365" t="s">
        <v>999</v>
      </c>
      <c r="E55" s="370">
        <v>3998</v>
      </c>
      <c r="F55" s="65">
        <v>676</v>
      </c>
      <c r="G55" s="11" t="s">
        <v>1766</v>
      </c>
      <c r="H55" s="368">
        <v>0</v>
      </c>
      <c r="I55" s="369">
        <f t="shared" si="2"/>
        <v>676</v>
      </c>
      <c r="J55" s="308"/>
      <c r="K55" s="309"/>
      <c r="L55" s="308"/>
      <c r="M55" s="308"/>
    </row>
    <row r="56" spans="2:13" x14ac:dyDescent="0.3">
      <c r="B56" s="43">
        <v>45462</v>
      </c>
      <c r="C56" s="242" t="str">
        <f t="shared" si="1"/>
        <v>Jun-24</v>
      </c>
      <c r="D56" s="365" t="s">
        <v>1739</v>
      </c>
      <c r="E56" s="370">
        <v>3966</v>
      </c>
      <c r="F56" s="65">
        <v>896</v>
      </c>
      <c r="G56" s="11" t="s">
        <v>1121</v>
      </c>
      <c r="H56" s="368">
        <v>0</v>
      </c>
      <c r="I56" s="369">
        <f t="shared" si="2"/>
        <v>896</v>
      </c>
      <c r="J56" s="308"/>
      <c r="K56" s="309"/>
      <c r="L56" s="308"/>
      <c r="M56" s="308"/>
    </row>
    <row r="57" spans="2:13" x14ac:dyDescent="0.3">
      <c r="B57" s="43">
        <v>45462</v>
      </c>
      <c r="C57" s="242" t="str">
        <f t="shared" si="1"/>
        <v>Jun-24</v>
      </c>
      <c r="D57" s="365" t="s">
        <v>1739</v>
      </c>
      <c r="E57" s="370">
        <v>4181</v>
      </c>
      <c r="F57" s="65">
        <v>472</v>
      </c>
      <c r="G57" s="11" t="s">
        <v>1121</v>
      </c>
      <c r="H57" s="368">
        <v>0</v>
      </c>
      <c r="I57" s="369">
        <f t="shared" si="2"/>
        <v>472</v>
      </c>
      <c r="J57" s="308"/>
      <c r="K57" s="309"/>
      <c r="L57" s="308"/>
      <c r="M57" s="308"/>
    </row>
    <row r="58" spans="2:13" x14ac:dyDescent="0.3">
      <c r="B58" s="43">
        <v>45463</v>
      </c>
      <c r="C58" s="242" t="str">
        <f t="shared" si="1"/>
        <v>Jun-24</v>
      </c>
      <c r="D58" s="365" t="s">
        <v>1739</v>
      </c>
      <c r="E58" s="370">
        <v>4011</v>
      </c>
      <c r="F58" s="65">
        <v>976</v>
      </c>
      <c r="G58" s="11" t="s">
        <v>1121</v>
      </c>
      <c r="H58" s="368">
        <v>0</v>
      </c>
      <c r="I58" s="369">
        <f t="shared" si="2"/>
        <v>976</v>
      </c>
      <c r="J58" s="308"/>
      <c r="K58" s="309"/>
      <c r="L58" s="308"/>
      <c r="M58" s="308"/>
    </row>
    <row r="59" spans="2:13" x14ac:dyDescent="0.3">
      <c r="B59" s="43">
        <v>45465</v>
      </c>
      <c r="C59" s="242" t="str">
        <f t="shared" si="1"/>
        <v>Jun-24</v>
      </c>
      <c r="D59" s="365" t="s">
        <v>2451</v>
      </c>
      <c r="E59" s="370">
        <v>4065</v>
      </c>
      <c r="F59" s="65">
        <v>4943</v>
      </c>
      <c r="G59" s="11" t="s">
        <v>929</v>
      </c>
      <c r="H59" s="368">
        <v>0</v>
      </c>
      <c r="I59" s="369">
        <f t="shared" si="2"/>
        <v>4943</v>
      </c>
      <c r="J59" s="308"/>
      <c r="K59" s="309"/>
      <c r="L59" s="308"/>
      <c r="M59" s="308"/>
    </row>
    <row r="60" spans="2:13" x14ac:dyDescent="0.3">
      <c r="B60" s="43">
        <v>45465</v>
      </c>
      <c r="C60" s="242" t="str">
        <f t="shared" si="1"/>
        <v>Jun-24</v>
      </c>
      <c r="D60" s="365" t="s">
        <v>1530</v>
      </c>
      <c r="E60" s="370">
        <v>4409</v>
      </c>
      <c r="F60" s="65">
        <v>14399</v>
      </c>
      <c r="G60" s="11" t="s">
        <v>932</v>
      </c>
      <c r="H60" s="368">
        <v>0</v>
      </c>
      <c r="I60" s="369">
        <f t="shared" si="2"/>
        <v>14399</v>
      </c>
      <c r="J60" s="308"/>
      <c r="K60" s="309"/>
      <c r="L60" s="308"/>
      <c r="M60" s="308"/>
    </row>
    <row r="61" spans="2:13" x14ac:dyDescent="0.3">
      <c r="B61" s="43">
        <v>45465</v>
      </c>
      <c r="C61" s="242" t="str">
        <f t="shared" si="1"/>
        <v>Jun-24</v>
      </c>
      <c r="D61" s="365" t="s">
        <v>1530</v>
      </c>
      <c r="E61" s="370">
        <v>4409</v>
      </c>
      <c r="F61" s="65">
        <v>5000</v>
      </c>
      <c r="G61" s="11" t="s">
        <v>931</v>
      </c>
      <c r="H61" s="368">
        <v>0</v>
      </c>
      <c r="I61" s="369">
        <f t="shared" si="2"/>
        <v>5000</v>
      </c>
      <c r="J61" s="308"/>
      <c r="K61" s="309"/>
      <c r="L61" s="308"/>
      <c r="M61" s="308"/>
    </row>
    <row r="62" spans="2:13" x14ac:dyDescent="0.3">
      <c r="B62" s="43">
        <v>45465</v>
      </c>
      <c r="C62" s="242" t="str">
        <f t="shared" si="1"/>
        <v>Jun-24</v>
      </c>
      <c r="D62" s="365" t="s">
        <v>2451</v>
      </c>
      <c r="E62" s="370"/>
      <c r="F62" s="65">
        <v>1378</v>
      </c>
      <c r="G62" s="11" t="s">
        <v>932</v>
      </c>
      <c r="H62" s="368">
        <v>0</v>
      </c>
      <c r="I62" s="369">
        <f t="shared" si="2"/>
        <v>1378</v>
      </c>
      <c r="J62" s="308"/>
      <c r="K62" s="309"/>
      <c r="L62" s="308"/>
      <c r="M62" s="308"/>
    </row>
    <row r="63" spans="2:13" x14ac:dyDescent="0.3">
      <c r="B63" s="43">
        <v>45467</v>
      </c>
      <c r="C63" s="242" t="str">
        <f t="shared" si="1"/>
        <v>Jun-24</v>
      </c>
      <c r="D63" s="365" t="s">
        <v>1739</v>
      </c>
      <c r="E63" s="370">
        <v>4081</v>
      </c>
      <c r="F63" s="65">
        <v>656</v>
      </c>
      <c r="G63" s="11" t="s">
        <v>1121</v>
      </c>
      <c r="H63" s="368">
        <v>0</v>
      </c>
      <c r="I63" s="369">
        <f t="shared" si="2"/>
        <v>656</v>
      </c>
      <c r="J63" s="308"/>
      <c r="K63" s="309"/>
      <c r="L63" s="308"/>
      <c r="M63" s="308"/>
    </row>
    <row r="64" spans="2:13" x14ac:dyDescent="0.3">
      <c r="B64" s="43">
        <v>45471</v>
      </c>
      <c r="C64" s="242" t="str">
        <f t="shared" si="1"/>
        <v>Jun-24</v>
      </c>
      <c r="D64" s="365" t="s">
        <v>1737</v>
      </c>
      <c r="E64" s="370" t="s">
        <v>2478</v>
      </c>
      <c r="F64" s="65">
        <v>12802</v>
      </c>
      <c r="G64" s="11" t="s">
        <v>932</v>
      </c>
      <c r="H64" s="368">
        <v>0</v>
      </c>
      <c r="I64" s="369">
        <f t="shared" si="2"/>
        <v>12802</v>
      </c>
      <c r="J64" s="308"/>
      <c r="K64" s="309"/>
      <c r="L64" s="308"/>
      <c r="M64" s="308"/>
    </row>
    <row r="65" spans="2:13" x14ac:dyDescent="0.3">
      <c r="B65" s="43">
        <v>45471</v>
      </c>
      <c r="C65" s="242" t="str">
        <f t="shared" si="1"/>
        <v>Jun-24</v>
      </c>
      <c r="D65" s="365" t="s">
        <v>1000</v>
      </c>
      <c r="E65" s="371">
        <v>45444</v>
      </c>
      <c r="F65" s="65">
        <v>1790</v>
      </c>
      <c r="G65" s="11" t="s">
        <v>941</v>
      </c>
      <c r="H65" s="368">
        <v>0</v>
      </c>
      <c r="I65" s="369">
        <f t="shared" si="2"/>
        <v>1790</v>
      </c>
      <c r="J65" s="308"/>
      <c r="K65" s="309"/>
      <c r="L65" s="308"/>
      <c r="M65" s="308"/>
    </row>
    <row r="66" spans="2:13" x14ac:dyDescent="0.3">
      <c r="B66" s="43">
        <v>45473</v>
      </c>
      <c r="C66" s="242" t="str">
        <f t="shared" si="1"/>
        <v>Jun-24</v>
      </c>
      <c r="D66" s="365" t="s">
        <v>999</v>
      </c>
      <c r="E66" s="370" t="s">
        <v>2479</v>
      </c>
      <c r="F66" s="65">
        <v>4000</v>
      </c>
      <c r="G66" s="11" t="s">
        <v>935</v>
      </c>
      <c r="H66" s="368">
        <v>0</v>
      </c>
      <c r="I66" s="369">
        <f t="shared" si="2"/>
        <v>4000</v>
      </c>
      <c r="J66" s="308"/>
      <c r="K66" s="309"/>
      <c r="L66" s="308"/>
      <c r="M66" s="308"/>
    </row>
    <row r="67" spans="2:13" x14ac:dyDescent="0.3">
      <c r="B67" s="43">
        <v>45474</v>
      </c>
      <c r="C67" s="242" t="str">
        <f t="shared" si="1"/>
        <v>Jul-24</v>
      </c>
      <c r="D67" s="365" t="s">
        <v>2463</v>
      </c>
      <c r="E67" s="370" t="s">
        <v>2480</v>
      </c>
      <c r="F67" s="65">
        <v>58000</v>
      </c>
      <c r="G67" s="11" t="s">
        <v>2465</v>
      </c>
      <c r="H67" s="368">
        <v>0</v>
      </c>
      <c r="I67" s="369">
        <f t="shared" si="2"/>
        <v>58000</v>
      </c>
      <c r="J67" s="308"/>
      <c r="K67" s="309"/>
      <c r="L67" s="308"/>
      <c r="M67" s="308"/>
    </row>
    <row r="68" spans="2:13" x14ac:dyDescent="0.3">
      <c r="B68" s="43">
        <v>45475</v>
      </c>
      <c r="C68" s="242" t="str">
        <f t="shared" si="1"/>
        <v>Jul-24</v>
      </c>
      <c r="D68" s="365" t="s">
        <v>1739</v>
      </c>
      <c r="E68" s="370">
        <v>4289</v>
      </c>
      <c r="F68" s="65">
        <v>576</v>
      </c>
      <c r="G68" s="11" t="s">
        <v>1121</v>
      </c>
      <c r="H68" s="368">
        <v>0</v>
      </c>
      <c r="I68" s="369">
        <f t="shared" si="2"/>
        <v>576</v>
      </c>
      <c r="J68" s="308"/>
      <c r="K68" s="309"/>
      <c r="L68" s="308"/>
      <c r="M68" s="308"/>
    </row>
    <row r="69" spans="2:13" x14ac:dyDescent="0.3">
      <c r="B69" s="43">
        <v>45476</v>
      </c>
      <c r="C69" s="242" t="str">
        <f t="shared" ref="C69:C132" si="3">TEXT(B69,"mmm-yy")</f>
        <v>Jul-24</v>
      </c>
      <c r="D69" s="365" t="s">
        <v>1739</v>
      </c>
      <c r="E69" s="370">
        <v>4288</v>
      </c>
      <c r="F69" s="65">
        <v>416</v>
      </c>
      <c r="G69" s="11" t="s">
        <v>1121</v>
      </c>
      <c r="H69" s="368">
        <v>0</v>
      </c>
      <c r="I69" s="369">
        <f t="shared" si="2"/>
        <v>416</v>
      </c>
      <c r="J69" s="308"/>
      <c r="K69" s="309"/>
      <c r="L69" s="308"/>
      <c r="M69" s="308"/>
    </row>
    <row r="70" spans="2:13" x14ac:dyDescent="0.3">
      <c r="B70" s="43">
        <v>45478</v>
      </c>
      <c r="C70" s="242" t="str">
        <f t="shared" si="3"/>
        <v>Jul-24</v>
      </c>
      <c r="D70" s="365" t="s">
        <v>999</v>
      </c>
      <c r="E70" s="370">
        <v>4315</v>
      </c>
      <c r="F70" s="65">
        <v>913</v>
      </c>
      <c r="G70" s="11" t="s">
        <v>929</v>
      </c>
      <c r="H70" s="368">
        <v>0</v>
      </c>
      <c r="I70" s="369">
        <f t="shared" si="2"/>
        <v>913</v>
      </c>
      <c r="J70" s="308"/>
      <c r="K70" s="309"/>
      <c r="L70" s="308"/>
      <c r="M70" s="308"/>
    </row>
    <row r="71" spans="2:13" x14ac:dyDescent="0.3">
      <c r="B71" s="43">
        <v>45478</v>
      </c>
      <c r="C71" s="242" t="str">
        <f t="shared" si="3"/>
        <v>Jul-24</v>
      </c>
      <c r="D71" s="365" t="s">
        <v>999</v>
      </c>
      <c r="E71" s="370">
        <v>4324</v>
      </c>
      <c r="F71" s="65">
        <v>278</v>
      </c>
      <c r="G71" s="11" t="s">
        <v>1766</v>
      </c>
      <c r="H71" s="368">
        <v>0</v>
      </c>
      <c r="I71" s="369">
        <f t="shared" si="2"/>
        <v>278</v>
      </c>
      <c r="J71" s="308"/>
      <c r="K71" s="309"/>
      <c r="L71" s="308"/>
      <c r="M71" s="308"/>
    </row>
    <row r="72" spans="2:13" x14ac:dyDescent="0.3">
      <c r="B72" s="43">
        <v>45478</v>
      </c>
      <c r="C72" s="242" t="str">
        <f t="shared" si="3"/>
        <v>Jul-24</v>
      </c>
      <c r="D72" s="365" t="s">
        <v>1739</v>
      </c>
      <c r="E72" s="370">
        <v>4362</v>
      </c>
      <c r="F72" s="65">
        <v>464</v>
      </c>
      <c r="G72" s="11" t="s">
        <v>1121</v>
      </c>
      <c r="H72" s="368">
        <v>0</v>
      </c>
      <c r="I72" s="369">
        <f t="shared" si="2"/>
        <v>464</v>
      </c>
      <c r="J72" s="308"/>
      <c r="K72" s="309"/>
      <c r="L72" s="308"/>
      <c r="M72" s="308"/>
    </row>
    <row r="73" spans="2:13" x14ac:dyDescent="0.3">
      <c r="B73" s="43">
        <v>45482</v>
      </c>
      <c r="C73" s="242" t="str">
        <f t="shared" si="3"/>
        <v>Jul-24</v>
      </c>
      <c r="D73" s="365" t="s">
        <v>1739</v>
      </c>
      <c r="E73" s="370">
        <v>4364</v>
      </c>
      <c r="F73" s="65">
        <v>544</v>
      </c>
      <c r="G73" s="11" t="s">
        <v>1121</v>
      </c>
      <c r="H73" s="368">
        <v>0</v>
      </c>
      <c r="I73" s="369">
        <f t="shared" ref="I73:I136" si="4">F73</f>
        <v>544</v>
      </c>
      <c r="J73" s="308"/>
      <c r="K73" s="309"/>
      <c r="L73" s="308"/>
      <c r="M73" s="308"/>
    </row>
    <row r="74" spans="2:13" x14ac:dyDescent="0.3">
      <c r="B74" s="43">
        <v>45483</v>
      </c>
      <c r="C74" s="242" t="str">
        <f t="shared" si="3"/>
        <v>Jul-24</v>
      </c>
      <c r="D74" s="365" t="s">
        <v>1739</v>
      </c>
      <c r="E74" s="370">
        <v>4387</v>
      </c>
      <c r="F74" s="65">
        <v>1904</v>
      </c>
      <c r="G74" s="11" t="s">
        <v>1121</v>
      </c>
      <c r="H74" s="368">
        <v>0</v>
      </c>
      <c r="I74" s="369">
        <f t="shared" si="4"/>
        <v>1904</v>
      </c>
      <c r="J74" s="308"/>
      <c r="K74" s="309"/>
      <c r="L74" s="308"/>
      <c r="M74" s="308"/>
    </row>
    <row r="75" spans="2:13" x14ac:dyDescent="0.3">
      <c r="B75" s="43">
        <v>45483</v>
      </c>
      <c r="C75" s="242" t="str">
        <f t="shared" si="3"/>
        <v>Jul-24</v>
      </c>
      <c r="D75" s="365" t="s">
        <v>2451</v>
      </c>
      <c r="E75" s="370" t="s">
        <v>2481</v>
      </c>
      <c r="F75" s="65">
        <v>8594</v>
      </c>
      <c r="G75" s="11" t="s">
        <v>932</v>
      </c>
      <c r="H75" s="368">
        <v>0</v>
      </c>
      <c r="I75" s="369">
        <f t="shared" si="4"/>
        <v>8594</v>
      </c>
      <c r="J75" s="308"/>
      <c r="K75" s="309"/>
      <c r="L75" s="308"/>
      <c r="M75" s="308"/>
    </row>
    <row r="76" spans="2:13" x14ac:dyDescent="0.3">
      <c r="B76" s="43">
        <v>45483</v>
      </c>
      <c r="C76" s="242" t="str">
        <f t="shared" si="3"/>
        <v>Jul-24</v>
      </c>
      <c r="D76" s="365" t="s">
        <v>2451</v>
      </c>
      <c r="E76" s="370" t="s">
        <v>2482</v>
      </c>
      <c r="F76" s="65">
        <v>6914</v>
      </c>
      <c r="G76" s="11" t="s">
        <v>932</v>
      </c>
      <c r="H76" s="368">
        <v>0</v>
      </c>
      <c r="I76" s="369">
        <f t="shared" si="4"/>
        <v>6914</v>
      </c>
      <c r="J76" s="308"/>
      <c r="K76" s="309"/>
      <c r="L76" s="308"/>
      <c r="M76" s="308"/>
    </row>
    <row r="77" spans="2:13" x14ac:dyDescent="0.3">
      <c r="B77" s="43">
        <v>45483</v>
      </c>
      <c r="C77" s="242" t="str">
        <f t="shared" si="3"/>
        <v>Jul-24</v>
      </c>
      <c r="D77" s="365" t="s">
        <v>2451</v>
      </c>
      <c r="E77" s="370" t="s">
        <v>2481</v>
      </c>
      <c r="F77" s="65">
        <v>-5315</v>
      </c>
      <c r="G77" s="11" t="s">
        <v>932</v>
      </c>
      <c r="H77" s="368">
        <v>0</v>
      </c>
      <c r="I77" s="369">
        <f t="shared" si="4"/>
        <v>-5315</v>
      </c>
      <c r="J77" s="308"/>
      <c r="K77" s="309"/>
      <c r="L77" s="308"/>
      <c r="M77" s="308"/>
    </row>
    <row r="78" spans="2:13" x14ac:dyDescent="0.3">
      <c r="B78" s="43">
        <v>45483</v>
      </c>
      <c r="C78" s="242" t="str">
        <f t="shared" si="3"/>
        <v>Jul-24</v>
      </c>
      <c r="D78" s="365" t="s">
        <v>2451</v>
      </c>
      <c r="E78" s="370" t="s">
        <v>2482</v>
      </c>
      <c r="F78" s="65">
        <v>-6360</v>
      </c>
      <c r="G78" s="11" t="s">
        <v>932</v>
      </c>
      <c r="H78" s="368">
        <v>0</v>
      </c>
      <c r="I78" s="369">
        <f t="shared" si="4"/>
        <v>-6360</v>
      </c>
      <c r="J78" s="308"/>
      <c r="K78" s="309"/>
      <c r="L78" s="308"/>
      <c r="M78" s="308"/>
    </row>
    <row r="79" spans="2:13" x14ac:dyDescent="0.3">
      <c r="B79" s="43">
        <v>45484</v>
      </c>
      <c r="C79" s="242" t="str">
        <f t="shared" si="3"/>
        <v>Jul-24</v>
      </c>
      <c r="D79" s="365" t="s">
        <v>2451</v>
      </c>
      <c r="E79" s="370" t="s">
        <v>2483</v>
      </c>
      <c r="F79" s="65">
        <v>5278</v>
      </c>
      <c r="G79" s="11" t="s">
        <v>932</v>
      </c>
      <c r="H79" s="368">
        <v>0</v>
      </c>
      <c r="I79" s="369">
        <f t="shared" si="4"/>
        <v>5278</v>
      </c>
      <c r="J79" s="308"/>
      <c r="K79" s="309"/>
      <c r="L79" s="308"/>
      <c r="M79" s="308"/>
    </row>
    <row r="80" spans="2:13" x14ac:dyDescent="0.3">
      <c r="B80" s="43">
        <v>45484</v>
      </c>
      <c r="C80" s="242" t="str">
        <f t="shared" si="3"/>
        <v>Jul-24</v>
      </c>
      <c r="D80" s="365" t="s">
        <v>2451</v>
      </c>
      <c r="E80" s="370" t="s">
        <v>2484</v>
      </c>
      <c r="F80" s="65">
        <v>9171</v>
      </c>
      <c r="G80" s="11" t="s">
        <v>931</v>
      </c>
      <c r="H80" s="368">
        <v>0</v>
      </c>
      <c r="I80" s="369">
        <f t="shared" si="4"/>
        <v>9171</v>
      </c>
      <c r="J80" s="308"/>
      <c r="K80" s="309"/>
      <c r="L80" s="308"/>
      <c r="M80" s="308"/>
    </row>
    <row r="81" spans="2:13" x14ac:dyDescent="0.3">
      <c r="B81" s="43">
        <v>45485</v>
      </c>
      <c r="C81" s="242" t="str">
        <f t="shared" si="3"/>
        <v>Jul-24</v>
      </c>
      <c r="D81" s="365" t="s">
        <v>1739</v>
      </c>
      <c r="E81" s="370">
        <v>4424</v>
      </c>
      <c r="F81" s="65">
        <v>544</v>
      </c>
      <c r="G81" s="11" t="s">
        <v>1121</v>
      </c>
      <c r="H81" s="368">
        <v>0</v>
      </c>
      <c r="I81" s="369">
        <f t="shared" si="4"/>
        <v>544</v>
      </c>
      <c r="J81" s="308"/>
      <c r="K81" s="309"/>
      <c r="L81" s="308"/>
      <c r="M81" s="308"/>
    </row>
    <row r="82" spans="2:13" x14ac:dyDescent="0.3">
      <c r="B82" s="43">
        <v>45490</v>
      </c>
      <c r="C82" s="242" t="str">
        <f t="shared" si="3"/>
        <v>Jul-24</v>
      </c>
      <c r="D82" s="365" t="s">
        <v>1739</v>
      </c>
      <c r="E82" s="370">
        <v>4471</v>
      </c>
      <c r="F82" s="65">
        <v>576</v>
      </c>
      <c r="G82" s="11" t="s">
        <v>1121</v>
      </c>
      <c r="H82" s="368">
        <v>0</v>
      </c>
      <c r="I82" s="369">
        <f t="shared" si="4"/>
        <v>576</v>
      </c>
      <c r="J82" s="308"/>
      <c r="K82" s="309"/>
      <c r="L82" s="308"/>
      <c r="M82" s="308"/>
    </row>
    <row r="83" spans="2:13" x14ac:dyDescent="0.3">
      <c r="B83" s="43">
        <v>45490</v>
      </c>
      <c r="C83" s="242" t="str">
        <f t="shared" si="3"/>
        <v>Jul-24</v>
      </c>
      <c r="D83" s="365" t="s">
        <v>2451</v>
      </c>
      <c r="E83" s="370" t="s">
        <v>2485</v>
      </c>
      <c r="F83" s="65">
        <v>12858</v>
      </c>
      <c r="G83" s="11" t="s">
        <v>932</v>
      </c>
      <c r="H83" s="368">
        <v>0</v>
      </c>
      <c r="I83" s="369">
        <f t="shared" si="4"/>
        <v>12858</v>
      </c>
      <c r="J83" s="308"/>
      <c r="K83" s="309"/>
      <c r="L83" s="308"/>
      <c r="M83" s="308"/>
    </row>
    <row r="84" spans="2:13" x14ac:dyDescent="0.3">
      <c r="B84" s="43">
        <v>45490</v>
      </c>
      <c r="C84" s="242" t="str">
        <f t="shared" si="3"/>
        <v>Jul-24</v>
      </c>
      <c r="D84" s="365" t="s">
        <v>2451</v>
      </c>
      <c r="E84" s="370" t="s">
        <v>2485</v>
      </c>
      <c r="F84" s="65">
        <v>992</v>
      </c>
      <c r="G84" s="11" t="s">
        <v>932</v>
      </c>
      <c r="H84" s="368">
        <v>0</v>
      </c>
      <c r="I84" s="369">
        <f t="shared" si="4"/>
        <v>992</v>
      </c>
      <c r="J84" s="308"/>
      <c r="K84" s="309"/>
      <c r="L84" s="308"/>
      <c r="M84" s="308"/>
    </row>
    <row r="85" spans="2:13" x14ac:dyDescent="0.3">
      <c r="B85" s="43">
        <v>45490</v>
      </c>
      <c r="C85" s="242" t="str">
        <f t="shared" si="3"/>
        <v>Jul-24</v>
      </c>
      <c r="D85" s="365" t="s">
        <v>2451</v>
      </c>
      <c r="E85" s="370" t="s">
        <v>2486</v>
      </c>
      <c r="F85" s="65">
        <v>4910</v>
      </c>
      <c r="G85" s="11" t="s">
        <v>929</v>
      </c>
      <c r="H85" s="368">
        <v>0</v>
      </c>
      <c r="I85" s="369">
        <f t="shared" si="4"/>
        <v>4910</v>
      </c>
      <c r="J85" s="308"/>
      <c r="K85" s="309"/>
      <c r="L85" s="308"/>
      <c r="M85" s="308"/>
    </row>
    <row r="86" spans="2:13" x14ac:dyDescent="0.3">
      <c r="B86" s="43">
        <v>45491</v>
      </c>
      <c r="C86" s="242" t="str">
        <f t="shared" si="3"/>
        <v>Jul-24</v>
      </c>
      <c r="D86" s="365" t="s">
        <v>999</v>
      </c>
      <c r="E86" s="370">
        <v>4458</v>
      </c>
      <c r="F86" s="65">
        <v>1983</v>
      </c>
      <c r="G86" s="11" t="s">
        <v>929</v>
      </c>
      <c r="H86" s="368">
        <v>0</v>
      </c>
      <c r="I86" s="369">
        <f t="shared" si="4"/>
        <v>1983</v>
      </c>
      <c r="J86" s="308"/>
      <c r="K86" s="309"/>
      <c r="L86" s="308"/>
      <c r="M86" s="308"/>
    </row>
    <row r="87" spans="2:13" x14ac:dyDescent="0.3">
      <c r="B87" s="43">
        <v>45491</v>
      </c>
      <c r="C87" s="242" t="str">
        <f t="shared" si="3"/>
        <v>Jul-24</v>
      </c>
      <c r="D87" s="365" t="s">
        <v>999</v>
      </c>
      <c r="E87" s="370">
        <v>4458</v>
      </c>
      <c r="F87" s="65">
        <v>970</v>
      </c>
      <c r="G87" s="11" t="s">
        <v>932</v>
      </c>
      <c r="H87" s="368">
        <v>0</v>
      </c>
      <c r="I87" s="369">
        <f t="shared" si="4"/>
        <v>970</v>
      </c>
      <c r="J87" s="308"/>
      <c r="K87" s="309"/>
      <c r="L87" s="308"/>
      <c r="M87" s="308"/>
    </row>
    <row r="88" spans="2:13" x14ac:dyDescent="0.3">
      <c r="B88" s="43">
        <v>45495</v>
      </c>
      <c r="C88" s="242" t="str">
        <f t="shared" si="3"/>
        <v>Jul-24</v>
      </c>
      <c r="D88" s="365" t="s">
        <v>999</v>
      </c>
      <c r="E88" s="370">
        <v>4530</v>
      </c>
      <c r="F88" s="65">
        <v>239</v>
      </c>
      <c r="G88" s="11" t="s">
        <v>929</v>
      </c>
      <c r="H88" s="368">
        <v>0</v>
      </c>
      <c r="I88" s="369">
        <f t="shared" si="4"/>
        <v>239</v>
      </c>
      <c r="J88" s="308"/>
      <c r="K88" s="309"/>
      <c r="L88" s="308"/>
      <c r="M88" s="308"/>
    </row>
    <row r="89" spans="2:13" x14ac:dyDescent="0.3">
      <c r="B89" s="43">
        <v>45495</v>
      </c>
      <c r="C89" s="242" t="str">
        <f t="shared" si="3"/>
        <v>Jul-24</v>
      </c>
      <c r="D89" s="365" t="s">
        <v>999</v>
      </c>
      <c r="E89" s="370">
        <v>4530</v>
      </c>
      <c r="F89" s="65">
        <v>1000</v>
      </c>
      <c r="G89" s="11" t="s">
        <v>932</v>
      </c>
      <c r="H89" s="368">
        <v>0</v>
      </c>
      <c r="I89" s="369">
        <f t="shared" si="4"/>
        <v>1000</v>
      </c>
      <c r="J89" s="308"/>
      <c r="K89" s="309"/>
      <c r="L89" s="308"/>
      <c r="M89" s="308"/>
    </row>
    <row r="90" spans="2:13" x14ac:dyDescent="0.3">
      <c r="B90" s="43">
        <v>45495</v>
      </c>
      <c r="C90" s="242" t="str">
        <f t="shared" si="3"/>
        <v>Jul-24</v>
      </c>
      <c r="D90" s="365" t="s">
        <v>2451</v>
      </c>
      <c r="E90" s="370" t="s">
        <v>2487</v>
      </c>
      <c r="F90" s="65">
        <v>7229</v>
      </c>
      <c r="G90" s="11" t="s">
        <v>932</v>
      </c>
      <c r="H90" s="368">
        <v>0</v>
      </c>
      <c r="I90" s="369">
        <f t="shared" si="4"/>
        <v>7229</v>
      </c>
      <c r="J90" s="308"/>
      <c r="K90" s="309"/>
      <c r="L90" s="308"/>
      <c r="M90" s="308"/>
    </row>
    <row r="91" spans="2:13" x14ac:dyDescent="0.3">
      <c r="B91" s="43">
        <v>45495</v>
      </c>
      <c r="C91" s="242" t="str">
        <f t="shared" si="3"/>
        <v>Jul-24</v>
      </c>
      <c r="D91" s="365" t="s">
        <v>2451</v>
      </c>
      <c r="E91" s="370" t="s">
        <v>2488</v>
      </c>
      <c r="F91" s="65">
        <v>8332</v>
      </c>
      <c r="G91" s="11" t="s">
        <v>931</v>
      </c>
      <c r="H91" s="368">
        <v>0</v>
      </c>
      <c r="I91" s="369">
        <f t="shared" si="4"/>
        <v>8332</v>
      </c>
      <c r="J91" s="308"/>
      <c r="K91" s="309"/>
      <c r="L91" s="308"/>
      <c r="M91" s="308"/>
    </row>
    <row r="92" spans="2:13" x14ac:dyDescent="0.3">
      <c r="B92" s="43">
        <v>45496</v>
      </c>
      <c r="C92" s="242" t="str">
        <f t="shared" si="3"/>
        <v>Jul-24</v>
      </c>
      <c r="D92" s="365" t="s">
        <v>2451</v>
      </c>
      <c r="E92" s="370">
        <v>3076689494</v>
      </c>
      <c r="F92" s="65">
        <v>3810</v>
      </c>
      <c r="G92" s="11" t="s">
        <v>932</v>
      </c>
      <c r="H92" s="368">
        <v>0</v>
      </c>
      <c r="I92" s="369">
        <f t="shared" si="4"/>
        <v>3810</v>
      </c>
      <c r="J92" s="308"/>
      <c r="K92" s="309"/>
      <c r="L92" s="308"/>
      <c r="M92" s="308"/>
    </row>
    <row r="93" spans="2:13" x14ac:dyDescent="0.3">
      <c r="B93" s="43">
        <v>45498</v>
      </c>
      <c r="C93" s="242" t="str">
        <f t="shared" si="3"/>
        <v>Jul-24</v>
      </c>
      <c r="D93" s="365" t="s">
        <v>2451</v>
      </c>
      <c r="E93" s="370">
        <v>4577</v>
      </c>
      <c r="F93" s="65">
        <v>6372</v>
      </c>
      <c r="G93" s="11" t="s">
        <v>929</v>
      </c>
      <c r="H93" s="368">
        <v>0</v>
      </c>
      <c r="I93" s="369">
        <f t="shared" si="4"/>
        <v>6372</v>
      </c>
      <c r="J93" s="308"/>
      <c r="K93" s="309"/>
      <c r="L93" s="308"/>
      <c r="M93" s="308"/>
    </row>
    <row r="94" spans="2:13" x14ac:dyDescent="0.3">
      <c r="B94" s="43">
        <v>45498</v>
      </c>
      <c r="C94" s="242" t="str">
        <f t="shared" si="3"/>
        <v>Jul-24</v>
      </c>
      <c r="D94" s="365" t="s">
        <v>2451</v>
      </c>
      <c r="E94" s="370">
        <v>4577</v>
      </c>
      <c r="F94" s="65">
        <v>400</v>
      </c>
      <c r="G94" s="11" t="s">
        <v>933</v>
      </c>
      <c r="H94" s="368">
        <v>0</v>
      </c>
      <c r="I94" s="369">
        <f t="shared" si="4"/>
        <v>400</v>
      </c>
      <c r="J94" s="308"/>
      <c r="K94" s="309"/>
      <c r="L94" s="308"/>
      <c r="M94" s="308"/>
    </row>
    <row r="95" spans="2:13" x14ac:dyDescent="0.3">
      <c r="B95" s="43">
        <v>45498</v>
      </c>
      <c r="C95" s="242" t="str">
        <f t="shared" si="3"/>
        <v>Jul-24</v>
      </c>
      <c r="D95" s="365" t="s">
        <v>1739</v>
      </c>
      <c r="E95" s="370">
        <v>4678</v>
      </c>
      <c r="F95" s="65">
        <v>576</v>
      </c>
      <c r="G95" s="11" t="s">
        <v>1121</v>
      </c>
      <c r="H95" s="368">
        <v>0</v>
      </c>
      <c r="I95" s="369">
        <f t="shared" si="4"/>
        <v>576</v>
      </c>
      <c r="J95" s="308"/>
      <c r="K95" s="309"/>
      <c r="L95" s="308"/>
      <c r="M95" s="308"/>
    </row>
    <row r="96" spans="2:13" x14ac:dyDescent="0.3">
      <c r="B96" s="43">
        <v>45498</v>
      </c>
      <c r="C96" s="242" t="str">
        <f t="shared" si="3"/>
        <v>Jul-24</v>
      </c>
      <c r="D96" s="365" t="s">
        <v>1739</v>
      </c>
      <c r="E96" s="370">
        <v>4363</v>
      </c>
      <c r="F96" s="65">
        <v>544</v>
      </c>
      <c r="G96" s="11" t="s">
        <v>1121</v>
      </c>
      <c r="H96" s="368">
        <v>0</v>
      </c>
      <c r="I96" s="369">
        <f t="shared" si="4"/>
        <v>544</v>
      </c>
      <c r="J96" s="308"/>
      <c r="K96" s="309"/>
      <c r="L96" s="308"/>
      <c r="M96" s="308"/>
    </row>
    <row r="97" spans="2:13" x14ac:dyDescent="0.3">
      <c r="B97" s="43">
        <v>45498</v>
      </c>
      <c r="C97" s="242" t="str">
        <f t="shared" si="3"/>
        <v>Jul-24</v>
      </c>
      <c r="D97" s="365" t="s">
        <v>2451</v>
      </c>
      <c r="E97" s="370"/>
      <c r="F97" s="65">
        <v>1079.7</v>
      </c>
      <c r="G97" s="11" t="s">
        <v>932</v>
      </c>
      <c r="H97" s="368">
        <v>0</v>
      </c>
      <c r="I97" s="369">
        <f t="shared" si="4"/>
        <v>1079.7</v>
      </c>
      <c r="J97" s="308"/>
      <c r="K97" s="309"/>
      <c r="L97" s="308"/>
      <c r="M97" s="308"/>
    </row>
    <row r="98" spans="2:13" x14ac:dyDescent="0.3">
      <c r="B98" s="43">
        <v>45504</v>
      </c>
      <c r="C98" s="242" t="str">
        <f t="shared" si="3"/>
        <v>Jul-24</v>
      </c>
      <c r="D98" s="365" t="s">
        <v>2451</v>
      </c>
      <c r="E98" s="370">
        <v>4755</v>
      </c>
      <c r="F98" s="65">
        <v>4590</v>
      </c>
      <c r="G98" s="11" t="s">
        <v>929</v>
      </c>
      <c r="H98" s="368">
        <v>0</v>
      </c>
      <c r="I98" s="369">
        <f t="shared" si="4"/>
        <v>4590</v>
      </c>
      <c r="J98" s="308"/>
      <c r="K98" s="309"/>
      <c r="L98" s="308"/>
      <c r="M98" s="308"/>
    </row>
    <row r="99" spans="2:13" x14ac:dyDescent="0.3">
      <c r="B99" s="43">
        <v>45504</v>
      </c>
      <c r="C99" s="242" t="str">
        <f t="shared" si="3"/>
        <v>Jul-24</v>
      </c>
      <c r="D99" s="365" t="s">
        <v>2489</v>
      </c>
      <c r="E99" s="370">
        <v>1</v>
      </c>
      <c r="F99" s="65">
        <v>8591</v>
      </c>
      <c r="G99" s="11" t="s">
        <v>2490</v>
      </c>
      <c r="H99" s="368">
        <v>0</v>
      </c>
      <c r="I99" s="369">
        <f t="shared" si="4"/>
        <v>8591</v>
      </c>
      <c r="J99" s="308"/>
      <c r="K99" s="309"/>
      <c r="L99" s="308"/>
      <c r="M99" s="308"/>
    </row>
    <row r="100" spans="2:13" x14ac:dyDescent="0.3">
      <c r="B100" s="43">
        <v>45504</v>
      </c>
      <c r="C100" s="242" t="str">
        <f t="shared" si="3"/>
        <v>Jul-24</v>
      </c>
      <c r="D100" s="365" t="s">
        <v>1000</v>
      </c>
      <c r="E100" s="371">
        <v>45474</v>
      </c>
      <c r="F100" s="65">
        <v>3220</v>
      </c>
      <c r="G100" s="11" t="s">
        <v>941</v>
      </c>
      <c r="H100" s="368">
        <v>0</v>
      </c>
      <c r="I100" s="369">
        <f t="shared" si="4"/>
        <v>3220</v>
      </c>
      <c r="J100" s="308"/>
      <c r="K100" s="309"/>
      <c r="L100" s="308"/>
      <c r="M100" s="308"/>
    </row>
    <row r="101" spans="2:13" x14ac:dyDescent="0.3">
      <c r="B101" s="43">
        <v>45504</v>
      </c>
      <c r="C101" s="242" t="str">
        <f t="shared" si="3"/>
        <v>Jul-24</v>
      </c>
      <c r="D101" s="365" t="s">
        <v>999</v>
      </c>
      <c r="E101" s="370" t="s">
        <v>2491</v>
      </c>
      <c r="F101" s="65">
        <v>2679</v>
      </c>
      <c r="G101" s="11" t="s">
        <v>935</v>
      </c>
      <c r="H101" s="368">
        <v>0</v>
      </c>
      <c r="I101" s="369">
        <f t="shared" si="4"/>
        <v>2679</v>
      </c>
      <c r="J101" s="308"/>
      <c r="K101" s="309"/>
      <c r="L101" s="308"/>
      <c r="M101" s="308"/>
    </row>
    <row r="102" spans="2:13" x14ac:dyDescent="0.3">
      <c r="B102" s="43">
        <v>45506</v>
      </c>
      <c r="C102" s="242" t="str">
        <f t="shared" si="3"/>
        <v>Aug-24</v>
      </c>
      <c r="D102" s="365" t="s">
        <v>2463</v>
      </c>
      <c r="E102" s="370" t="s">
        <v>2492</v>
      </c>
      <c r="F102" s="65">
        <v>58000</v>
      </c>
      <c r="G102" s="11" t="s">
        <v>2465</v>
      </c>
      <c r="H102" s="368">
        <v>0</v>
      </c>
      <c r="I102" s="369">
        <f t="shared" si="4"/>
        <v>58000</v>
      </c>
      <c r="J102" s="308"/>
      <c r="K102" s="309"/>
      <c r="L102" s="308"/>
      <c r="M102" s="308"/>
    </row>
    <row r="103" spans="2:13" x14ac:dyDescent="0.3">
      <c r="B103" s="43">
        <v>45509</v>
      </c>
      <c r="C103" s="242" t="str">
        <f t="shared" si="3"/>
        <v>Aug-24</v>
      </c>
      <c r="D103" s="365" t="s">
        <v>999</v>
      </c>
      <c r="E103" s="370">
        <v>4740</v>
      </c>
      <c r="F103" s="65">
        <v>1206</v>
      </c>
      <c r="G103" s="11" t="s">
        <v>929</v>
      </c>
      <c r="H103" s="368">
        <v>0</v>
      </c>
      <c r="I103" s="369">
        <f t="shared" si="4"/>
        <v>1206</v>
      </c>
      <c r="J103" s="308"/>
      <c r="K103" s="309"/>
      <c r="L103" s="308"/>
      <c r="M103" s="308"/>
    </row>
    <row r="104" spans="2:13" x14ac:dyDescent="0.3">
      <c r="B104" s="43">
        <v>45509</v>
      </c>
      <c r="C104" s="242" t="str">
        <f t="shared" si="3"/>
        <v>Aug-24</v>
      </c>
      <c r="D104" s="365" t="s">
        <v>1739</v>
      </c>
      <c r="E104" s="370">
        <v>4768</v>
      </c>
      <c r="F104" s="65">
        <v>4592</v>
      </c>
      <c r="G104" s="11" t="s">
        <v>1121</v>
      </c>
      <c r="H104" s="368">
        <v>0</v>
      </c>
      <c r="I104" s="369">
        <f t="shared" si="4"/>
        <v>4592</v>
      </c>
      <c r="J104" s="308"/>
      <c r="K104" s="309"/>
      <c r="L104" s="308"/>
      <c r="M104" s="308"/>
    </row>
    <row r="105" spans="2:13" x14ac:dyDescent="0.3">
      <c r="B105" s="43">
        <v>45509</v>
      </c>
      <c r="C105" s="242" t="str">
        <f t="shared" si="3"/>
        <v>Aug-24</v>
      </c>
      <c r="D105" s="365" t="s">
        <v>1530</v>
      </c>
      <c r="E105" s="370" t="s">
        <v>2493</v>
      </c>
      <c r="F105" s="65">
        <v>3335</v>
      </c>
      <c r="G105" s="11" t="s">
        <v>932</v>
      </c>
      <c r="H105" s="368">
        <v>0</v>
      </c>
      <c r="I105" s="369">
        <f t="shared" si="4"/>
        <v>3335</v>
      </c>
      <c r="J105" s="308"/>
      <c r="K105" s="309"/>
      <c r="L105" s="308"/>
      <c r="M105" s="308"/>
    </row>
    <row r="106" spans="2:13" x14ac:dyDescent="0.3">
      <c r="B106" s="43">
        <v>45510</v>
      </c>
      <c r="C106" s="242" t="str">
        <f t="shared" si="3"/>
        <v>Aug-24</v>
      </c>
      <c r="D106" s="365" t="s">
        <v>1530</v>
      </c>
      <c r="E106" s="370" t="s">
        <v>2494</v>
      </c>
      <c r="F106" s="65">
        <v>3566</v>
      </c>
      <c r="G106" s="11" t="s">
        <v>932</v>
      </c>
      <c r="H106" s="368">
        <v>0</v>
      </c>
      <c r="I106" s="369">
        <f t="shared" si="4"/>
        <v>3566</v>
      </c>
      <c r="J106" s="308"/>
      <c r="K106" s="309"/>
      <c r="L106" s="308"/>
      <c r="M106" s="308"/>
    </row>
    <row r="107" spans="2:13" x14ac:dyDescent="0.3">
      <c r="B107" s="43">
        <v>45510</v>
      </c>
      <c r="C107" s="242" t="str">
        <f t="shared" si="3"/>
        <v>Aug-24</v>
      </c>
      <c r="D107" s="365" t="s">
        <v>998</v>
      </c>
      <c r="E107" s="370" t="s">
        <v>2495</v>
      </c>
      <c r="F107" s="65">
        <v>1855</v>
      </c>
      <c r="G107" s="11" t="s">
        <v>932</v>
      </c>
      <c r="H107" s="368">
        <v>0</v>
      </c>
      <c r="I107" s="369">
        <f t="shared" si="4"/>
        <v>1855</v>
      </c>
      <c r="J107" s="308"/>
      <c r="K107" s="309"/>
      <c r="L107" s="308"/>
      <c r="M107" s="308"/>
    </row>
    <row r="108" spans="2:13" x14ac:dyDescent="0.3">
      <c r="B108" s="43">
        <v>45512</v>
      </c>
      <c r="C108" s="242" t="str">
        <f t="shared" si="3"/>
        <v>Aug-24</v>
      </c>
      <c r="D108" s="365" t="s">
        <v>2489</v>
      </c>
      <c r="E108" s="370">
        <v>2</v>
      </c>
      <c r="F108" s="65">
        <v>2660.5</v>
      </c>
      <c r="G108" s="11" t="s">
        <v>2490</v>
      </c>
      <c r="H108" s="368">
        <v>0</v>
      </c>
      <c r="I108" s="369">
        <f t="shared" si="4"/>
        <v>2660.5</v>
      </c>
      <c r="J108" s="308"/>
      <c r="K108" s="309"/>
      <c r="L108" s="308"/>
      <c r="M108" s="308"/>
    </row>
    <row r="109" spans="2:13" x14ac:dyDescent="0.3">
      <c r="B109" s="43">
        <v>45517</v>
      </c>
      <c r="C109" s="242" t="str">
        <f t="shared" si="3"/>
        <v>Aug-24</v>
      </c>
      <c r="D109" s="365" t="s">
        <v>2451</v>
      </c>
      <c r="E109" s="370">
        <v>4956</v>
      </c>
      <c r="F109" s="65">
        <v>1006</v>
      </c>
      <c r="G109" s="11" t="s">
        <v>929</v>
      </c>
      <c r="H109" s="368">
        <v>0</v>
      </c>
      <c r="I109" s="369">
        <f t="shared" si="4"/>
        <v>1006</v>
      </c>
      <c r="J109" s="308"/>
      <c r="K109" s="309"/>
      <c r="L109" s="308"/>
      <c r="M109" s="308"/>
    </row>
    <row r="110" spans="2:13" x14ac:dyDescent="0.3">
      <c r="B110" s="43">
        <v>45517</v>
      </c>
      <c r="C110" s="242" t="str">
        <f t="shared" si="3"/>
        <v>Aug-24</v>
      </c>
      <c r="D110" s="365" t="s">
        <v>999</v>
      </c>
      <c r="E110" s="370">
        <v>4843</v>
      </c>
      <c r="F110" s="65">
        <v>1503</v>
      </c>
      <c r="G110" s="11" t="s">
        <v>929</v>
      </c>
      <c r="H110" s="368">
        <v>0</v>
      </c>
      <c r="I110" s="369">
        <f t="shared" si="4"/>
        <v>1503</v>
      </c>
      <c r="J110" s="308"/>
      <c r="K110" s="309"/>
      <c r="L110" s="308"/>
      <c r="M110" s="308"/>
    </row>
    <row r="111" spans="2:13" x14ac:dyDescent="0.3">
      <c r="B111" s="43">
        <v>45517</v>
      </c>
      <c r="C111" s="242" t="str">
        <f t="shared" si="3"/>
        <v>Aug-24</v>
      </c>
      <c r="D111" s="365" t="s">
        <v>999</v>
      </c>
      <c r="E111" s="370">
        <v>4843</v>
      </c>
      <c r="F111" s="65">
        <v>515</v>
      </c>
      <c r="G111" s="11" t="s">
        <v>932</v>
      </c>
      <c r="H111" s="368">
        <v>0</v>
      </c>
      <c r="I111" s="369">
        <f t="shared" si="4"/>
        <v>515</v>
      </c>
      <c r="J111" s="308"/>
      <c r="K111" s="309"/>
      <c r="L111" s="308"/>
      <c r="M111" s="308"/>
    </row>
    <row r="112" spans="2:13" x14ac:dyDescent="0.3">
      <c r="B112" s="43">
        <v>45517</v>
      </c>
      <c r="C112" s="242" t="str">
        <f t="shared" si="3"/>
        <v>Aug-24</v>
      </c>
      <c r="D112" s="365" t="s">
        <v>999</v>
      </c>
      <c r="E112" s="370">
        <v>4866</v>
      </c>
      <c r="F112" s="65">
        <v>120</v>
      </c>
      <c r="G112" s="11" t="s">
        <v>933</v>
      </c>
      <c r="H112" s="368">
        <v>0</v>
      </c>
      <c r="I112" s="369">
        <f t="shared" si="4"/>
        <v>120</v>
      </c>
      <c r="J112" s="308"/>
      <c r="K112" s="309"/>
      <c r="L112" s="308"/>
      <c r="M112" s="308"/>
    </row>
    <row r="113" spans="2:13" x14ac:dyDescent="0.3">
      <c r="B113" s="43">
        <v>45517</v>
      </c>
      <c r="C113" s="242" t="str">
        <f t="shared" si="3"/>
        <v>Aug-24</v>
      </c>
      <c r="D113" s="365" t="s">
        <v>999</v>
      </c>
      <c r="E113" s="370">
        <v>4866</v>
      </c>
      <c r="F113" s="65">
        <v>455</v>
      </c>
      <c r="G113" s="11" t="s">
        <v>932</v>
      </c>
      <c r="H113" s="368">
        <v>0</v>
      </c>
      <c r="I113" s="369">
        <f t="shared" si="4"/>
        <v>455</v>
      </c>
      <c r="J113" s="308"/>
      <c r="K113" s="309"/>
      <c r="L113" s="308"/>
      <c r="M113" s="308"/>
    </row>
    <row r="114" spans="2:13" x14ac:dyDescent="0.3">
      <c r="B114" s="43">
        <v>45517</v>
      </c>
      <c r="C114" s="242" t="str">
        <f t="shared" si="3"/>
        <v>Aug-24</v>
      </c>
      <c r="D114" s="365" t="s">
        <v>1530</v>
      </c>
      <c r="E114" s="370">
        <v>5105</v>
      </c>
      <c r="F114" s="65">
        <v>4701</v>
      </c>
      <c r="G114" s="11" t="s">
        <v>929</v>
      </c>
      <c r="H114" s="368">
        <v>0</v>
      </c>
      <c r="I114" s="369">
        <f t="shared" si="4"/>
        <v>4701</v>
      </c>
      <c r="J114" s="308"/>
      <c r="K114" s="309"/>
      <c r="L114" s="308"/>
      <c r="M114" s="308"/>
    </row>
    <row r="115" spans="2:13" x14ac:dyDescent="0.3">
      <c r="B115" s="43">
        <v>45517</v>
      </c>
      <c r="C115" s="242" t="str">
        <f t="shared" si="3"/>
        <v>Aug-24</v>
      </c>
      <c r="D115" s="365" t="s">
        <v>1530</v>
      </c>
      <c r="E115" s="370">
        <v>5105</v>
      </c>
      <c r="F115" s="65">
        <v>300</v>
      </c>
      <c r="G115" s="11" t="s">
        <v>933</v>
      </c>
      <c r="H115" s="368">
        <v>0</v>
      </c>
      <c r="I115" s="369">
        <f t="shared" si="4"/>
        <v>300</v>
      </c>
      <c r="J115" s="308"/>
      <c r="K115" s="309"/>
      <c r="L115" s="308"/>
      <c r="M115" s="308"/>
    </row>
    <row r="116" spans="2:13" x14ac:dyDescent="0.3">
      <c r="B116" s="43">
        <v>45517</v>
      </c>
      <c r="C116" s="242" t="str">
        <f t="shared" si="3"/>
        <v>Aug-24</v>
      </c>
      <c r="D116" s="365" t="s">
        <v>1530</v>
      </c>
      <c r="E116" s="370">
        <v>5105</v>
      </c>
      <c r="F116" s="65">
        <v>2240</v>
      </c>
      <c r="G116" s="11" t="s">
        <v>931</v>
      </c>
      <c r="H116" s="368">
        <v>0</v>
      </c>
      <c r="I116" s="369">
        <f t="shared" si="4"/>
        <v>2240</v>
      </c>
      <c r="J116" s="308"/>
      <c r="K116" s="309"/>
      <c r="L116" s="308"/>
      <c r="M116" s="308"/>
    </row>
    <row r="117" spans="2:13" x14ac:dyDescent="0.3">
      <c r="B117" s="43">
        <v>45517</v>
      </c>
      <c r="C117" s="242" t="str">
        <f t="shared" si="3"/>
        <v>Aug-24</v>
      </c>
      <c r="D117" t="s">
        <v>1530</v>
      </c>
      <c r="E117" s="370" t="s">
        <v>2496</v>
      </c>
      <c r="F117" s="372">
        <v>6560</v>
      </c>
      <c r="G117" s="11" t="s">
        <v>932</v>
      </c>
      <c r="H117" s="373">
        <v>0</v>
      </c>
      <c r="I117" s="369">
        <f t="shared" si="4"/>
        <v>6560</v>
      </c>
      <c r="J117" s="308"/>
      <c r="K117" s="309"/>
      <c r="L117" s="308"/>
      <c r="M117" s="308"/>
    </row>
    <row r="118" spans="2:13" x14ac:dyDescent="0.3">
      <c r="B118" s="43">
        <v>45532</v>
      </c>
      <c r="C118" s="242" t="str">
        <f t="shared" si="3"/>
        <v>Aug-24</v>
      </c>
      <c r="D118" t="s">
        <v>999</v>
      </c>
      <c r="E118" s="370" t="s">
        <v>521</v>
      </c>
      <c r="F118" s="65">
        <v>18384</v>
      </c>
      <c r="G118" s="11" t="s">
        <v>1766</v>
      </c>
      <c r="H118" s="373">
        <v>0</v>
      </c>
      <c r="I118" s="369">
        <f t="shared" si="4"/>
        <v>18384</v>
      </c>
      <c r="J118" s="308"/>
      <c r="K118" s="309"/>
      <c r="L118" s="308"/>
      <c r="M118" s="308"/>
    </row>
    <row r="119" spans="2:13" x14ac:dyDescent="0.3">
      <c r="B119" s="43">
        <v>45532</v>
      </c>
      <c r="C119" s="242" t="str">
        <f t="shared" si="3"/>
        <v>Aug-24</v>
      </c>
      <c r="D119" t="s">
        <v>1739</v>
      </c>
      <c r="E119" s="370">
        <v>5069</v>
      </c>
      <c r="F119" s="372">
        <v>672</v>
      </c>
      <c r="G119" s="11" t="s">
        <v>1121</v>
      </c>
      <c r="H119" s="373">
        <v>0</v>
      </c>
      <c r="I119" s="369">
        <f t="shared" si="4"/>
        <v>672</v>
      </c>
      <c r="J119" s="308"/>
      <c r="K119" s="309"/>
      <c r="L119" s="308"/>
      <c r="M119" s="308"/>
    </row>
    <row r="120" spans="2:13" x14ac:dyDescent="0.3">
      <c r="B120" s="43">
        <v>45533</v>
      </c>
      <c r="C120" s="242" t="str">
        <f t="shared" si="3"/>
        <v>Aug-24</v>
      </c>
      <c r="D120" t="s">
        <v>999</v>
      </c>
      <c r="E120" s="370">
        <v>5055</v>
      </c>
      <c r="F120" s="372">
        <v>2061</v>
      </c>
      <c r="G120" s="11" t="s">
        <v>929</v>
      </c>
      <c r="H120" s="373">
        <v>0</v>
      </c>
      <c r="I120" s="369">
        <f t="shared" si="4"/>
        <v>2061</v>
      </c>
      <c r="J120" s="308"/>
      <c r="K120" s="309"/>
      <c r="L120" s="308"/>
      <c r="M120" s="308"/>
    </row>
    <row r="121" spans="2:13" x14ac:dyDescent="0.3">
      <c r="B121" s="43">
        <v>45535</v>
      </c>
      <c r="C121" s="242" t="str">
        <f t="shared" si="3"/>
        <v>Aug-24</v>
      </c>
      <c r="D121" t="s">
        <v>999</v>
      </c>
      <c r="E121" s="370" t="s">
        <v>2497</v>
      </c>
      <c r="F121" s="372">
        <v>2679</v>
      </c>
      <c r="G121" s="11" t="s">
        <v>935</v>
      </c>
      <c r="H121" s="373">
        <v>0</v>
      </c>
      <c r="I121" s="369">
        <f t="shared" si="4"/>
        <v>2679</v>
      </c>
      <c r="J121" s="308"/>
      <c r="K121" s="309"/>
      <c r="L121" s="308"/>
      <c r="M121" s="308"/>
    </row>
    <row r="122" spans="2:13" x14ac:dyDescent="0.3">
      <c r="B122" s="43">
        <v>45535</v>
      </c>
      <c r="C122" s="242" t="str">
        <f t="shared" si="3"/>
        <v>Aug-24</v>
      </c>
      <c r="D122" t="s">
        <v>1000</v>
      </c>
      <c r="E122" s="371">
        <v>45505</v>
      </c>
      <c r="F122" s="372">
        <v>1190</v>
      </c>
      <c r="G122" s="11" t="s">
        <v>941</v>
      </c>
      <c r="H122" s="373">
        <v>0</v>
      </c>
      <c r="I122" s="369">
        <f t="shared" si="4"/>
        <v>1190</v>
      </c>
      <c r="J122" s="308"/>
      <c r="K122" s="309"/>
      <c r="L122" s="308"/>
      <c r="M122" s="308"/>
    </row>
    <row r="123" spans="2:13" x14ac:dyDescent="0.3">
      <c r="B123" s="43">
        <v>45536</v>
      </c>
      <c r="C123" s="242" t="str">
        <f t="shared" si="3"/>
        <v>Sep-24</v>
      </c>
      <c r="D123" t="s">
        <v>2463</v>
      </c>
      <c r="E123" s="370" t="s">
        <v>2498</v>
      </c>
      <c r="F123" s="372">
        <v>58000</v>
      </c>
      <c r="G123" s="11" t="s">
        <v>2465</v>
      </c>
      <c r="H123" s="373">
        <v>0</v>
      </c>
      <c r="I123" s="369">
        <f t="shared" si="4"/>
        <v>58000</v>
      </c>
      <c r="J123" s="308"/>
      <c r="K123" s="309"/>
      <c r="L123" s="308"/>
      <c r="M123" s="308"/>
    </row>
    <row r="124" spans="2:13" x14ac:dyDescent="0.3">
      <c r="B124" s="43">
        <v>45539</v>
      </c>
      <c r="C124" s="242" t="str">
        <f t="shared" si="3"/>
        <v>Sep-24</v>
      </c>
      <c r="D124" t="s">
        <v>2451</v>
      </c>
      <c r="E124" s="370">
        <v>5235</v>
      </c>
      <c r="F124" s="372">
        <v>1018</v>
      </c>
      <c r="G124" s="11" t="s">
        <v>929</v>
      </c>
      <c r="H124" s="373">
        <v>0</v>
      </c>
      <c r="I124" s="369">
        <f t="shared" si="4"/>
        <v>1018</v>
      </c>
      <c r="J124" s="308"/>
      <c r="K124" s="309"/>
      <c r="L124" s="308"/>
      <c r="M124" s="308"/>
    </row>
    <row r="125" spans="2:13" x14ac:dyDescent="0.3">
      <c r="B125" s="43">
        <v>45539</v>
      </c>
      <c r="C125" s="242" t="str">
        <f t="shared" si="3"/>
        <v>Sep-24</v>
      </c>
      <c r="D125" t="s">
        <v>999</v>
      </c>
      <c r="E125" s="370">
        <v>5150</v>
      </c>
      <c r="F125" s="372">
        <v>1030</v>
      </c>
      <c r="G125" s="11" t="s">
        <v>932</v>
      </c>
      <c r="H125" s="373">
        <v>0</v>
      </c>
      <c r="I125" s="369">
        <f t="shared" si="4"/>
        <v>1030</v>
      </c>
      <c r="J125" s="308"/>
      <c r="K125" s="309"/>
      <c r="L125" s="308"/>
      <c r="M125" s="308"/>
    </row>
    <row r="126" spans="2:13" x14ac:dyDescent="0.3">
      <c r="B126" s="43">
        <v>45539</v>
      </c>
      <c r="C126" s="242" t="str">
        <f t="shared" si="3"/>
        <v>Sep-24</v>
      </c>
      <c r="D126" t="s">
        <v>999</v>
      </c>
      <c r="E126" s="370">
        <v>5149</v>
      </c>
      <c r="F126" s="372">
        <v>699</v>
      </c>
      <c r="G126" s="11" t="s">
        <v>929</v>
      </c>
      <c r="H126" s="373">
        <v>0</v>
      </c>
      <c r="I126" s="369">
        <f t="shared" si="4"/>
        <v>699</v>
      </c>
      <c r="J126" s="308"/>
      <c r="K126" s="309"/>
      <c r="L126" s="308"/>
      <c r="M126" s="308"/>
    </row>
    <row r="127" spans="2:13" x14ac:dyDescent="0.3">
      <c r="B127" s="43">
        <v>45545</v>
      </c>
      <c r="C127" s="242" t="str">
        <f t="shared" si="3"/>
        <v>Sep-24</v>
      </c>
      <c r="D127" t="s">
        <v>999</v>
      </c>
      <c r="E127" s="370">
        <v>5202</v>
      </c>
      <c r="F127" s="372">
        <v>337</v>
      </c>
      <c r="G127" s="11" t="s">
        <v>933</v>
      </c>
      <c r="H127" s="373">
        <v>0</v>
      </c>
      <c r="I127" s="369">
        <f t="shared" si="4"/>
        <v>337</v>
      </c>
      <c r="J127" s="308"/>
      <c r="K127" s="309"/>
      <c r="L127" s="308"/>
      <c r="M127" s="308"/>
    </row>
    <row r="128" spans="2:13" x14ac:dyDescent="0.3">
      <c r="B128" s="43">
        <v>45546</v>
      </c>
      <c r="C128" s="242" t="str">
        <f t="shared" si="3"/>
        <v>Sep-24</v>
      </c>
      <c r="D128" t="s">
        <v>999</v>
      </c>
      <c r="E128" s="370">
        <v>5199</v>
      </c>
      <c r="F128" s="372">
        <v>916</v>
      </c>
      <c r="G128" s="11" t="s">
        <v>929</v>
      </c>
      <c r="H128" s="373">
        <v>0</v>
      </c>
      <c r="I128" s="369">
        <f t="shared" si="4"/>
        <v>916</v>
      </c>
      <c r="J128" s="308"/>
      <c r="K128" s="309"/>
      <c r="L128" s="308"/>
      <c r="M128" s="308"/>
    </row>
    <row r="129" spans="2:13" x14ac:dyDescent="0.3">
      <c r="B129" s="43">
        <v>45546</v>
      </c>
      <c r="C129" s="242" t="str">
        <f t="shared" si="3"/>
        <v>Sep-24</v>
      </c>
      <c r="D129" t="s">
        <v>999</v>
      </c>
      <c r="E129" s="370">
        <v>5199</v>
      </c>
      <c r="F129" s="372">
        <v>795</v>
      </c>
      <c r="G129" s="11" t="s">
        <v>932</v>
      </c>
      <c r="H129" s="373">
        <v>0</v>
      </c>
      <c r="I129" s="369">
        <f t="shared" si="4"/>
        <v>795</v>
      </c>
      <c r="J129" s="308"/>
      <c r="K129" s="309"/>
      <c r="L129" s="308"/>
      <c r="M129" s="308"/>
    </row>
    <row r="130" spans="2:13" x14ac:dyDescent="0.3">
      <c r="B130" s="43">
        <v>45553</v>
      </c>
      <c r="C130" s="242" t="str">
        <f t="shared" si="3"/>
        <v>Sep-24</v>
      </c>
      <c r="D130" t="s">
        <v>999</v>
      </c>
      <c r="E130" s="370">
        <v>5305</v>
      </c>
      <c r="F130" s="372">
        <v>300</v>
      </c>
      <c r="G130" s="11" t="s">
        <v>933</v>
      </c>
      <c r="H130" s="373">
        <v>0</v>
      </c>
      <c r="I130" s="369">
        <f t="shared" si="4"/>
        <v>300</v>
      </c>
      <c r="J130" s="308"/>
      <c r="K130" s="309"/>
      <c r="L130" s="308"/>
      <c r="M130" s="308"/>
    </row>
    <row r="131" spans="2:13" x14ac:dyDescent="0.3">
      <c r="B131" s="43">
        <v>45553</v>
      </c>
      <c r="C131" s="242" t="str">
        <f t="shared" si="3"/>
        <v>Sep-24</v>
      </c>
      <c r="D131" t="s">
        <v>999</v>
      </c>
      <c r="E131" s="370">
        <v>5304</v>
      </c>
      <c r="F131" s="372">
        <v>103</v>
      </c>
      <c r="G131" s="11" t="s">
        <v>933</v>
      </c>
      <c r="H131" s="373">
        <v>0</v>
      </c>
      <c r="I131" s="369">
        <f t="shared" si="4"/>
        <v>103</v>
      </c>
      <c r="J131" s="308"/>
      <c r="K131" s="309"/>
      <c r="L131" s="308"/>
      <c r="M131" s="308"/>
    </row>
    <row r="132" spans="2:13" x14ac:dyDescent="0.3">
      <c r="B132" s="43">
        <v>45553</v>
      </c>
      <c r="C132" s="242" t="str">
        <f t="shared" si="3"/>
        <v>Sep-24</v>
      </c>
      <c r="D132" t="s">
        <v>1739</v>
      </c>
      <c r="E132" s="370">
        <v>5311</v>
      </c>
      <c r="F132" s="372">
        <v>816</v>
      </c>
      <c r="G132" s="11" t="s">
        <v>1121</v>
      </c>
      <c r="H132" s="373">
        <v>0</v>
      </c>
      <c r="I132" s="369">
        <f t="shared" si="4"/>
        <v>816</v>
      </c>
      <c r="J132" s="308"/>
      <c r="K132" s="309"/>
      <c r="L132" s="308"/>
      <c r="M132" s="308"/>
    </row>
    <row r="133" spans="2:13" x14ac:dyDescent="0.3">
      <c r="B133" s="43">
        <v>45555</v>
      </c>
      <c r="C133" s="242" t="str">
        <f t="shared" ref="C133:C196" si="5">TEXT(B133,"mmm-yy")</f>
        <v>Sep-24</v>
      </c>
      <c r="D133" t="s">
        <v>999</v>
      </c>
      <c r="E133" s="370">
        <v>5295</v>
      </c>
      <c r="F133" s="372">
        <v>970</v>
      </c>
      <c r="G133" s="11" t="s">
        <v>932</v>
      </c>
      <c r="H133" s="373">
        <v>0</v>
      </c>
      <c r="I133" s="369">
        <f t="shared" si="4"/>
        <v>970</v>
      </c>
      <c r="J133" s="308"/>
      <c r="K133" s="309"/>
      <c r="L133" s="308"/>
      <c r="M133" s="308"/>
    </row>
    <row r="134" spans="2:13" x14ac:dyDescent="0.3">
      <c r="B134" s="43">
        <v>45555</v>
      </c>
      <c r="C134" s="242" t="str">
        <f t="shared" si="5"/>
        <v>Sep-24</v>
      </c>
      <c r="D134" t="s">
        <v>999</v>
      </c>
      <c r="E134" s="370">
        <v>5295</v>
      </c>
      <c r="F134" s="372">
        <v>911</v>
      </c>
      <c r="G134" s="10" t="s">
        <v>929</v>
      </c>
      <c r="H134" s="373">
        <v>0</v>
      </c>
      <c r="I134" s="369">
        <f t="shared" si="4"/>
        <v>911</v>
      </c>
      <c r="J134" s="308"/>
      <c r="K134" s="309"/>
      <c r="L134" s="308"/>
      <c r="M134" s="308"/>
    </row>
    <row r="135" spans="2:13" x14ac:dyDescent="0.3">
      <c r="B135" s="43">
        <v>45559</v>
      </c>
      <c r="C135" s="242" t="str">
        <f t="shared" si="5"/>
        <v>Sep-24</v>
      </c>
      <c r="D135" t="s">
        <v>999</v>
      </c>
      <c r="E135" s="370">
        <v>5390</v>
      </c>
      <c r="F135" s="372">
        <v>250</v>
      </c>
      <c r="G135" s="10" t="s">
        <v>933</v>
      </c>
      <c r="H135" s="373">
        <v>0</v>
      </c>
      <c r="I135" s="369">
        <f t="shared" si="4"/>
        <v>250</v>
      </c>
      <c r="J135" s="308"/>
      <c r="K135" s="309"/>
      <c r="L135" s="308"/>
      <c r="M135" s="308"/>
    </row>
    <row r="136" spans="2:13" x14ac:dyDescent="0.3">
      <c r="B136" s="43">
        <v>45559</v>
      </c>
      <c r="C136" s="242" t="str">
        <f t="shared" si="5"/>
        <v>Sep-24</v>
      </c>
      <c r="D136" t="s">
        <v>999</v>
      </c>
      <c r="E136" s="370">
        <v>5387</v>
      </c>
      <c r="F136" s="372">
        <v>238</v>
      </c>
      <c r="G136" s="10" t="s">
        <v>929</v>
      </c>
      <c r="H136" s="373">
        <v>0</v>
      </c>
      <c r="I136" s="369">
        <f t="shared" si="4"/>
        <v>238</v>
      </c>
      <c r="J136" s="308"/>
      <c r="K136" s="309"/>
      <c r="L136" s="308"/>
      <c r="M136" s="308"/>
    </row>
    <row r="137" spans="2:13" x14ac:dyDescent="0.3">
      <c r="B137" s="43">
        <v>45559</v>
      </c>
      <c r="C137" s="242" t="str">
        <f t="shared" si="5"/>
        <v>Sep-24</v>
      </c>
      <c r="D137" t="s">
        <v>999</v>
      </c>
      <c r="E137" s="370">
        <v>5387</v>
      </c>
      <c r="F137" s="372">
        <v>970</v>
      </c>
      <c r="G137" s="10" t="s">
        <v>932</v>
      </c>
      <c r="H137" s="373">
        <v>0</v>
      </c>
      <c r="I137" s="369">
        <f t="shared" ref="I137:I169" si="6">F137</f>
        <v>970</v>
      </c>
      <c r="J137" s="308"/>
      <c r="K137" s="309"/>
      <c r="L137" s="308"/>
      <c r="M137" s="308"/>
    </row>
    <row r="138" spans="2:13" x14ac:dyDescent="0.3">
      <c r="B138" s="43">
        <v>45559</v>
      </c>
      <c r="C138" s="242" t="str">
        <f t="shared" si="5"/>
        <v>Sep-24</v>
      </c>
      <c r="D138" t="s">
        <v>1530</v>
      </c>
      <c r="E138" s="370" t="s">
        <v>2499</v>
      </c>
      <c r="F138" s="372">
        <v>4663</v>
      </c>
      <c r="G138" s="10" t="s">
        <v>932</v>
      </c>
      <c r="H138" s="373">
        <v>0</v>
      </c>
      <c r="I138" s="369">
        <f t="shared" si="6"/>
        <v>4663</v>
      </c>
      <c r="J138" s="308"/>
      <c r="K138" s="309"/>
      <c r="L138" s="308"/>
      <c r="M138" s="308"/>
    </row>
    <row r="139" spans="2:13" x14ac:dyDescent="0.3">
      <c r="B139" s="43">
        <v>45559</v>
      </c>
      <c r="C139" s="242" t="str">
        <f t="shared" si="5"/>
        <v>Sep-24</v>
      </c>
      <c r="D139" t="s">
        <v>1530</v>
      </c>
      <c r="E139" s="370" t="s">
        <v>2500</v>
      </c>
      <c r="F139" s="372">
        <v>12952</v>
      </c>
      <c r="G139" s="10" t="s">
        <v>931</v>
      </c>
      <c r="H139" s="373">
        <v>0</v>
      </c>
      <c r="I139" s="369">
        <f t="shared" si="6"/>
        <v>12952</v>
      </c>
      <c r="J139" s="308"/>
      <c r="K139" s="309"/>
      <c r="L139" s="308"/>
      <c r="M139" s="308"/>
    </row>
    <row r="140" spans="2:13" x14ac:dyDescent="0.3">
      <c r="B140" s="43">
        <v>45562</v>
      </c>
      <c r="C140" s="242" t="str">
        <f t="shared" si="5"/>
        <v>Sep-24</v>
      </c>
      <c r="D140" t="s">
        <v>1530</v>
      </c>
      <c r="E140" s="370">
        <v>5484</v>
      </c>
      <c r="F140" s="372">
        <v>900</v>
      </c>
      <c r="G140" s="10" t="s">
        <v>933</v>
      </c>
      <c r="H140" s="373">
        <v>0</v>
      </c>
      <c r="I140" s="369">
        <f t="shared" si="6"/>
        <v>900</v>
      </c>
      <c r="J140" s="308"/>
      <c r="K140" s="309"/>
      <c r="L140" s="308"/>
      <c r="M140" s="308"/>
    </row>
    <row r="141" spans="2:13" x14ac:dyDescent="0.3">
      <c r="B141" s="43">
        <v>45562</v>
      </c>
      <c r="C141" s="242" t="str">
        <f t="shared" si="5"/>
        <v>Sep-24</v>
      </c>
      <c r="D141" t="s">
        <v>1530</v>
      </c>
      <c r="E141" s="370">
        <v>5484</v>
      </c>
      <c r="F141" s="372">
        <v>2536</v>
      </c>
      <c r="G141" s="10" t="s">
        <v>929</v>
      </c>
      <c r="H141" s="373">
        <v>0</v>
      </c>
      <c r="I141" s="369">
        <f t="shared" si="6"/>
        <v>2536</v>
      </c>
      <c r="J141" s="308"/>
      <c r="K141" s="309"/>
      <c r="L141" s="308"/>
      <c r="M141" s="308"/>
    </row>
    <row r="142" spans="2:13" x14ac:dyDescent="0.3">
      <c r="B142" s="43">
        <v>45562</v>
      </c>
      <c r="C142" s="242" t="str">
        <f t="shared" si="5"/>
        <v>Sep-24</v>
      </c>
      <c r="D142" t="s">
        <v>1530</v>
      </c>
      <c r="E142" s="370">
        <v>5484</v>
      </c>
      <c r="F142" s="372">
        <v>1832</v>
      </c>
      <c r="G142" s="10" t="s">
        <v>932</v>
      </c>
      <c r="H142" s="373">
        <v>0</v>
      </c>
      <c r="I142" s="369">
        <f t="shared" si="6"/>
        <v>1832</v>
      </c>
      <c r="J142" s="308"/>
      <c r="K142" s="309"/>
      <c r="L142" s="308"/>
      <c r="M142" s="308"/>
    </row>
    <row r="143" spans="2:13" x14ac:dyDescent="0.3">
      <c r="B143" s="43">
        <v>45564</v>
      </c>
      <c r="C143" s="242" t="str">
        <f t="shared" si="5"/>
        <v>Sep-24</v>
      </c>
      <c r="D143" t="s">
        <v>2451</v>
      </c>
      <c r="E143" s="370">
        <v>5551</v>
      </c>
      <c r="F143" s="372">
        <v>5100</v>
      </c>
      <c r="G143" s="10" t="s">
        <v>929</v>
      </c>
      <c r="H143" s="373">
        <v>0</v>
      </c>
      <c r="I143" s="369">
        <f t="shared" si="6"/>
        <v>5100</v>
      </c>
      <c r="J143" s="308"/>
      <c r="K143" s="309"/>
      <c r="L143" s="308"/>
      <c r="M143" s="308"/>
    </row>
    <row r="144" spans="2:13" x14ac:dyDescent="0.3">
      <c r="B144" s="43">
        <v>45564</v>
      </c>
      <c r="C144" s="242" t="str">
        <f t="shared" si="5"/>
        <v>Sep-24</v>
      </c>
      <c r="D144" t="s">
        <v>2451</v>
      </c>
      <c r="E144" s="370"/>
      <c r="F144" s="372">
        <v>8715.2999999999993</v>
      </c>
      <c r="G144" s="10" t="s">
        <v>932</v>
      </c>
      <c r="H144" s="373">
        <v>0</v>
      </c>
      <c r="I144" s="369">
        <f t="shared" si="6"/>
        <v>8715.2999999999993</v>
      </c>
      <c r="J144" s="308"/>
      <c r="K144" s="309"/>
      <c r="L144" s="308"/>
      <c r="M144" s="308"/>
    </row>
    <row r="145" spans="2:13" x14ac:dyDescent="0.3">
      <c r="B145" s="43">
        <v>45565</v>
      </c>
      <c r="C145" s="242" t="str">
        <f t="shared" si="5"/>
        <v>Sep-24</v>
      </c>
      <c r="D145" t="s">
        <v>1000</v>
      </c>
      <c r="E145" s="371">
        <v>45536</v>
      </c>
      <c r="F145" s="372">
        <v>1100</v>
      </c>
      <c r="G145" s="10" t="s">
        <v>941</v>
      </c>
      <c r="H145" s="373">
        <v>0</v>
      </c>
      <c r="I145" s="369">
        <f t="shared" si="6"/>
        <v>1100</v>
      </c>
      <c r="J145" s="308"/>
      <c r="K145" s="309"/>
      <c r="L145" s="308"/>
      <c r="M145" s="308"/>
    </row>
    <row r="146" spans="2:13" x14ac:dyDescent="0.3">
      <c r="B146" s="43">
        <v>45565</v>
      </c>
      <c r="C146" s="242" t="str">
        <f t="shared" si="5"/>
        <v>Sep-24</v>
      </c>
      <c r="D146" t="s">
        <v>999</v>
      </c>
      <c r="E146" s="370" t="s">
        <v>1030</v>
      </c>
      <c r="F146" s="372">
        <v>1500</v>
      </c>
      <c r="G146" s="10" t="s">
        <v>935</v>
      </c>
      <c r="H146" s="373">
        <v>0</v>
      </c>
      <c r="I146" s="369">
        <f t="shared" si="6"/>
        <v>1500</v>
      </c>
      <c r="J146" s="308"/>
      <c r="K146" s="309"/>
      <c r="L146" s="308"/>
      <c r="M146" s="308"/>
    </row>
    <row r="147" spans="2:13" x14ac:dyDescent="0.3">
      <c r="B147" s="43">
        <v>45566</v>
      </c>
      <c r="C147" s="242" t="str">
        <f t="shared" si="5"/>
        <v>Oct-24</v>
      </c>
      <c r="D147" t="s">
        <v>2463</v>
      </c>
      <c r="E147" s="370" t="s">
        <v>2501</v>
      </c>
      <c r="F147" s="372">
        <v>58000</v>
      </c>
      <c r="G147" s="10" t="s">
        <v>2465</v>
      </c>
      <c r="H147" s="373">
        <v>0</v>
      </c>
      <c r="I147" s="369">
        <f t="shared" si="6"/>
        <v>58000</v>
      </c>
      <c r="K147" s="331"/>
    </row>
    <row r="148" spans="2:13" x14ac:dyDescent="0.3">
      <c r="B148" s="43">
        <v>45568</v>
      </c>
      <c r="C148" s="242" t="str">
        <f t="shared" si="5"/>
        <v>Oct-24</v>
      </c>
      <c r="D148" t="s">
        <v>2451</v>
      </c>
      <c r="E148" s="370" t="s">
        <v>2502</v>
      </c>
      <c r="F148" s="372">
        <v>11588</v>
      </c>
      <c r="G148" s="10" t="s">
        <v>931</v>
      </c>
      <c r="H148" s="373">
        <v>0</v>
      </c>
      <c r="I148" s="369">
        <f t="shared" si="6"/>
        <v>11588</v>
      </c>
      <c r="K148" s="331"/>
    </row>
    <row r="149" spans="2:13" x14ac:dyDescent="0.3">
      <c r="B149" s="43">
        <v>45569</v>
      </c>
      <c r="C149" s="242" t="str">
        <f t="shared" si="5"/>
        <v>Oct-24</v>
      </c>
      <c r="D149" t="s">
        <v>999</v>
      </c>
      <c r="E149" s="370">
        <v>5514</v>
      </c>
      <c r="F149" s="372">
        <v>505</v>
      </c>
      <c r="G149" s="10" t="s">
        <v>933</v>
      </c>
      <c r="H149" s="373">
        <v>0</v>
      </c>
      <c r="I149" s="369">
        <f t="shared" si="6"/>
        <v>505</v>
      </c>
      <c r="K149" s="331"/>
    </row>
    <row r="150" spans="2:13" x14ac:dyDescent="0.3">
      <c r="B150" s="43">
        <v>45569</v>
      </c>
      <c r="C150" s="242" t="str">
        <f t="shared" si="5"/>
        <v>Oct-24</v>
      </c>
      <c r="D150" t="s">
        <v>999</v>
      </c>
      <c r="E150" s="370">
        <v>5517</v>
      </c>
      <c r="F150" s="372">
        <v>416</v>
      </c>
      <c r="G150" s="10" t="s">
        <v>929</v>
      </c>
      <c r="H150" s="373">
        <v>0</v>
      </c>
      <c r="I150" s="369">
        <f t="shared" si="6"/>
        <v>416</v>
      </c>
      <c r="K150" s="331"/>
    </row>
    <row r="151" spans="2:13" x14ac:dyDescent="0.3">
      <c r="B151" s="43">
        <v>45569</v>
      </c>
      <c r="C151" s="242" t="str">
        <f t="shared" si="5"/>
        <v>Oct-24</v>
      </c>
      <c r="D151" t="s">
        <v>999</v>
      </c>
      <c r="E151" s="370">
        <v>5517</v>
      </c>
      <c r="F151" s="372">
        <v>455</v>
      </c>
      <c r="G151" s="10" t="s">
        <v>932</v>
      </c>
      <c r="H151" s="373">
        <v>0</v>
      </c>
      <c r="I151" s="369">
        <f t="shared" si="6"/>
        <v>455</v>
      </c>
      <c r="K151" s="331"/>
    </row>
    <row r="152" spans="2:13" x14ac:dyDescent="0.3">
      <c r="B152" s="43">
        <v>45575</v>
      </c>
      <c r="C152" s="242" t="str">
        <f t="shared" si="5"/>
        <v>Oct-24</v>
      </c>
      <c r="D152" t="s">
        <v>999</v>
      </c>
      <c r="E152" s="370">
        <v>5554</v>
      </c>
      <c r="F152" s="372">
        <v>263</v>
      </c>
      <c r="G152" s="10" t="s">
        <v>933</v>
      </c>
      <c r="H152" s="373">
        <v>0</v>
      </c>
      <c r="I152" s="369">
        <f t="shared" si="6"/>
        <v>263</v>
      </c>
      <c r="K152" s="331"/>
    </row>
    <row r="153" spans="2:13" x14ac:dyDescent="0.3">
      <c r="B153" s="43">
        <v>45576</v>
      </c>
      <c r="C153" s="242" t="str">
        <f t="shared" si="5"/>
        <v>Oct-24</v>
      </c>
      <c r="D153" t="s">
        <v>999</v>
      </c>
      <c r="E153" s="370">
        <v>5550</v>
      </c>
      <c r="F153" s="372">
        <v>970</v>
      </c>
      <c r="G153" s="10" t="s">
        <v>929</v>
      </c>
      <c r="H153" s="373">
        <v>0</v>
      </c>
      <c r="I153" s="369">
        <f t="shared" si="6"/>
        <v>970</v>
      </c>
      <c r="K153" s="331"/>
    </row>
    <row r="154" spans="2:13" x14ac:dyDescent="0.3">
      <c r="B154" s="43">
        <v>45576</v>
      </c>
      <c r="C154" s="242" t="str">
        <f t="shared" si="5"/>
        <v>Oct-24</v>
      </c>
      <c r="D154" t="s">
        <v>999</v>
      </c>
      <c r="E154" s="370">
        <v>5550</v>
      </c>
      <c r="F154" s="372">
        <v>970</v>
      </c>
      <c r="G154" s="10" t="s">
        <v>932</v>
      </c>
      <c r="H154" s="373">
        <v>0</v>
      </c>
      <c r="I154" s="369">
        <f t="shared" si="6"/>
        <v>970</v>
      </c>
      <c r="K154" s="331"/>
    </row>
    <row r="155" spans="2:13" x14ac:dyDescent="0.3">
      <c r="B155" s="43">
        <v>45583</v>
      </c>
      <c r="C155" s="242" t="str">
        <f t="shared" si="5"/>
        <v>Oct-24</v>
      </c>
      <c r="D155" t="s">
        <v>999</v>
      </c>
      <c r="E155" s="370">
        <v>5599</v>
      </c>
      <c r="F155" s="372">
        <v>968</v>
      </c>
      <c r="G155" s="10" t="s">
        <v>929</v>
      </c>
      <c r="H155" s="373">
        <v>0</v>
      </c>
      <c r="I155" s="369">
        <f t="shared" si="6"/>
        <v>968</v>
      </c>
      <c r="K155" s="331"/>
    </row>
    <row r="156" spans="2:13" x14ac:dyDescent="0.3">
      <c r="B156" s="43">
        <v>45583</v>
      </c>
      <c r="C156" s="242" t="str">
        <f t="shared" si="5"/>
        <v>Oct-24</v>
      </c>
      <c r="D156" t="s">
        <v>999</v>
      </c>
      <c r="E156" s="370">
        <v>5599</v>
      </c>
      <c r="F156" s="372">
        <v>970</v>
      </c>
      <c r="G156" s="10" t="s">
        <v>932</v>
      </c>
      <c r="H156" s="373">
        <v>0</v>
      </c>
      <c r="I156" s="369">
        <f t="shared" si="6"/>
        <v>970</v>
      </c>
      <c r="K156" s="331"/>
    </row>
    <row r="157" spans="2:13" x14ac:dyDescent="0.3">
      <c r="B157" s="43">
        <v>45583</v>
      </c>
      <c r="C157" s="242" t="str">
        <f t="shared" si="5"/>
        <v>Oct-24</v>
      </c>
      <c r="D157" t="s">
        <v>999</v>
      </c>
      <c r="E157" s="370">
        <v>5601</v>
      </c>
      <c r="F157" s="372">
        <v>257</v>
      </c>
      <c r="G157" s="10" t="s">
        <v>933</v>
      </c>
      <c r="H157" s="373">
        <v>0</v>
      </c>
      <c r="I157" s="369">
        <f t="shared" si="6"/>
        <v>257</v>
      </c>
      <c r="K157" s="331"/>
    </row>
    <row r="158" spans="2:13" x14ac:dyDescent="0.3">
      <c r="B158" s="43">
        <v>45588</v>
      </c>
      <c r="C158" s="242" t="str">
        <f t="shared" si="5"/>
        <v>Oct-24</v>
      </c>
      <c r="D158" t="s">
        <v>1739</v>
      </c>
      <c r="E158" s="370" t="s">
        <v>2503</v>
      </c>
      <c r="F158" s="372">
        <v>6400</v>
      </c>
      <c r="G158" s="10" t="s">
        <v>1121</v>
      </c>
      <c r="H158" s="373">
        <v>0</v>
      </c>
      <c r="I158" s="369">
        <f t="shared" si="6"/>
        <v>6400</v>
      </c>
      <c r="K158" s="331"/>
    </row>
    <row r="159" spans="2:13" x14ac:dyDescent="0.3">
      <c r="B159" s="43">
        <v>45590</v>
      </c>
      <c r="C159" s="242" t="str">
        <f t="shared" si="5"/>
        <v>Oct-24</v>
      </c>
      <c r="D159" t="s">
        <v>999</v>
      </c>
      <c r="E159" s="370">
        <v>5651</v>
      </c>
      <c r="F159" s="65">
        <v>790</v>
      </c>
      <c r="G159" s="10" t="s">
        <v>932</v>
      </c>
      <c r="H159" s="373">
        <v>0</v>
      </c>
      <c r="I159" s="369">
        <f t="shared" si="6"/>
        <v>790</v>
      </c>
      <c r="K159" s="331"/>
    </row>
    <row r="160" spans="2:13" x14ac:dyDescent="0.3">
      <c r="B160" s="43">
        <v>45590</v>
      </c>
      <c r="C160" s="242" t="str">
        <f t="shared" si="5"/>
        <v>Oct-24</v>
      </c>
      <c r="D160" t="s">
        <v>999</v>
      </c>
      <c r="E160" s="370">
        <v>5651</v>
      </c>
      <c r="F160" s="65">
        <v>1173</v>
      </c>
      <c r="G160" s="10" t="s">
        <v>929</v>
      </c>
      <c r="H160" s="373">
        <v>0</v>
      </c>
      <c r="I160" s="369">
        <f t="shared" si="6"/>
        <v>1173</v>
      </c>
      <c r="K160" s="331"/>
    </row>
    <row r="161" spans="2:11" x14ac:dyDescent="0.3">
      <c r="B161" s="43">
        <v>45590</v>
      </c>
      <c r="C161" s="242" t="str">
        <f t="shared" si="5"/>
        <v>Oct-24</v>
      </c>
      <c r="D161" t="s">
        <v>999</v>
      </c>
      <c r="E161" s="370">
        <v>5653</v>
      </c>
      <c r="F161" s="65">
        <v>552</v>
      </c>
      <c r="G161" s="10" t="s">
        <v>933</v>
      </c>
      <c r="H161" s="373">
        <v>0</v>
      </c>
      <c r="I161" s="369">
        <f t="shared" si="6"/>
        <v>552</v>
      </c>
      <c r="K161" s="331"/>
    </row>
    <row r="162" spans="2:11" x14ac:dyDescent="0.3">
      <c r="B162" s="43">
        <v>45593</v>
      </c>
      <c r="C162" s="242" t="str">
        <f t="shared" si="5"/>
        <v>Oct-24</v>
      </c>
      <c r="D162" t="s">
        <v>999</v>
      </c>
      <c r="E162" s="370" t="s">
        <v>1037</v>
      </c>
      <c r="F162" s="65">
        <v>140</v>
      </c>
      <c r="G162" s="10" t="s">
        <v>2470</v>
      </c>
      <c r="H162" s="373">
        <v>0</v>
      </c>
      <c r="I162" s="369">
        <f t="shared" si="6"/>
        <v>140</v>
      </c>
      <c r="K162" s="331"/>
    </row>
    <row r="163" spans="2:11" x14ac:dyDescent="0.3">
      <c r="B163" s="43">
        <v>45595</v>
      </c>
      <c r="C163" s="242" t="str">
        <f t="shared" si="5"/>
        <v>Oct-24</v>
      </c>
      <c r="D163" t="s">
        <v>999</v>
      </c>
      <c r="E163" s="370">
        <v>5750</v>
      </c>
      <c r="F163" s="65">
        <v>711</v>
      </c>
      <c r="G163" s="10" t="s">
        <v>929</v>
      </c>
      <c r="H163" s="373">
        <v>0</v>
      </c>
      <c r="I163" s="369">
        <f t="shared" si="6"/>
        <v>711</v>
      </c>
      <c r="K163" s="331"/>
    </row>
    <row r="164" spans="2:11" x14ac:dyDescent="0.3">
      <c r="B164" s="43">
        <v>45595</v>
      </c>
      <c r="C164" s="242" t="str">
        <f t="shared" si="5"/>
        <v>Oct-24</v>
      </c>
      <c r="D164" t="s">
        <v>999</v>
      </c>
      <c r="E164" s="370">
        <v>5750</v>
      </c>
      <c r="F164" s="65">
        <v>1030</v>
      </c>
      <c r="G164" s="10" t="s">
        <v>932</v>
      </c>
      <c r="H164" s="373">
        <v>0</v>
      </c>
      <c r="I164" s="369">
        <f t="shared" si="6"/>
        <v>1030</v>
      </c>
      <c r="K164" s="331"/>
    </row>
    <row r="165" spans="2:11" x14ac:dyDescent="0.3">
      <c r="B165" s="43">
        <v>45595</v>
      </c>
      <c r="C165" s="242" t="str">
        <f t="shared" si="5"/>
        <v>Oct-24</v>
      </c>
      <c r="D165" t="s">
        <v>999</v>
      </c>
      <c r="E165" s="370">
        <v>5761</v>
      </c>
      <c r="F165" s="65">
        <v>465</v>
      </c>
      <c r="G165" s="10" t="s">
        <v>933</v>
      </c>
      <c r="H165" s="373">
        <v>0</v>
      </c>
      <c r="I165" s="369">
        <f t="shared" si="6"/>
        <v>465</v>
      </c>
      <c r="K165" s="331"/>
    </row>
    <row r="166" spans="2:11" x14ac:dyDescent="0.3">
      <c r="B166" s="43">
        <v>45596</v>
      </c>
      <c r="C166" s="242" t="str">
        <f t="shared" si="5"/>
        <v>Oct-24</v>
      </c>
      <c r="D166" t="s">
        <v>999</v>
      </c>
      <c r="E166" s="370" t="s">
        <v>1037</v>
      </c>
      <c r="F166" s="65">
        <v>3282.44</v>
      </c>
      <c r="G166" s="10" t="s">
        <v>935</v>
      </c>
      <c r="H166" s="373">
        <v>0</v>
      </c>
      <c r="I166" s="369">
        <f t="shared" si="6"/>
        <v>3282.44</v>
      </c>
      <c r="K166" s="331"/>
    </row>
    <row r="167" spans="2:11" x14ac:dyDescent="0.3">
      <c r="B167" s="43">
        <v>45596</v>
      </c>
      <c r="C167" s="242" t="str">
        <f t="shared" si="5"/>
        <v>Oct-24</v>
      </c>
      <c r="D167" t="s">
        <v>1000</v>
      </c>
      <c r="E167" s="371">
        <v>45566</v>
      </c>
      <c r="F167" s="65">
        <v>1080</v>
      </c>
      <c r="G167" s="10" t="s">
        <v>941</v>
      </c>
      <c r="H167" s="373">
        <v>0</v>
      </c>
      <c r="I167" s="369">
        <f t="shared" si="6"/>
        <v>1080</v>
      </c>
      <c r="K167" s="331"/>
    </row>
    <row r="168" spans="2:11" x14ac:dyDescent="0.3">
      <c r="B168" s="43">
        <v>45597</v>
      </c>
      <c r="C168" s="242" t="str">
        <f t="shared" si="5"/>
        <v>Nov-24</v>
      </c>
      <c r="D168" t="s">
        <v>2463</v>
      </c>
      <c r="E168" s="370" t="s">
        <v>2504</v>
      </c>
      <c r="F168" s="65">
        <v>58000</v>
      </c>
      <c r="G168" s="10" t="s">
        <v>2465</v>
      </c>
      <c r="H168" s="373">
        <v>0</v>
      </c>
      <c r="I168" s="369">
        <f t="shared" si="6"/>
        <v>58000</v>
      </c>
      <c r="K168" s="331"/>
    </row>
    <row r="169" spans="2:11" x14ac:dyDescent="0.3">
      <c r="B169" s="43">
        <v>45599</v>
      </c>
      <c r="C169" s="242" t="str">
        <f t="shared" si="5"/>
        <v>Nov-24</v>
      </c>
      <c r="D169" t="s">
        <v>999</v>
      </c>
      <c r="E169" s="370">
        <v>5794</v>
      </c>
      <c r="F169" s="65">
        <v>505</v>
      </c>
      <c r="G169" s="10" t="s">
        <v>929</v>
      </c>
      <c r="H169" s="373">
        <v>0</v>
      </c>
      <c r="I169" s="369">
        <f t="shared" si="6"/>
        <v>505</v>
      </c>
      <c r="K169" s="331"/>
    </row>
    <row r="170" spans="2:11" x14ac:dyDescent="0.3">
      <c r="B170" s="43">
        <v>45604</v>
      </c>
      <c r="C170" s="242" t="str">
        <f t="shared" si="5"/>
        <v>Nov-24</v>
      </c>
      <c r="D170" t="s">
        <v>1013</v>
      </c>
      <c r="E170" s="370"/>
      <c r="F170" s="65">
        <v>930000</v>
      </c>
      <c r="G170" s="10" t="s">
        <v>2505</v>
      </c>
      <c r="H170" s="373">
        <v>930000</v>
      </c>
      <c r="I170" s="369">
        <v>0</v>
      </c>
      <c r="K170" s="331"/>
    </row>
    <row r="171" spans="2:11" x14ac:dyDescent="0.3">
      <c r="B171" s="43">
        <v>45605</v>
      </c>
      <c r="C171" s="242" t="str">
        <f t="shared" si="5"/>
        <v>Nov-24</v>
      </c>
      <c r="D171" t="s">
        <v>999</v>
      </c>
      <c r="E171" s="370">
        <v>5801</v>
      </c>
      <c r="F171" s="65">
        <v>1576</v>
      </c>
      <c r="G171" s="10" t="s">
        <v>933</v>
      </c>
      <c r="H171" s="373">
        <v>0</v>
      </c>
      <c r="I171" s="369">
        <f t="shared" ref="I171:I193" si="7">F171</f>
        <v>1576</v>
      </c>
      <c r="K171" s="331"/>
    </row>
    <row r="172" spans="2:11" x14ac:dyDescent="0.3">
      <c r="B172" s="43">
        <v>45606</v>
      </c>
      <c r="C172" s="242" t="str">
        <f t="shared" si="5"/>
        <v>Nov-24</v>
      </c>
      <c r="D172" t="s">
        <v>999</v>
      </c>
      <c r="E172" s="370">
        <v>5798</v>
      </c>
      <c r="F172" s="65">
        <v>1055</v>
      </c>
      <c r="G172" s="10" t="s">
        <v>929</v>
      </c>
      <c r="H172" s="373">
        <v>0</v>
      </c>
      <c r="I172" s="369">
        <f t="shared" si="7"/>
        <v>1055</v>
      </c>
      <c r="K172" s="331"/>
    </row>
    <row r="173" spans="2:11" x14ac:dyDescent="0.3">
      <c r="B173" s="43">
        <v>45606</v>
      </c>
      <c r="C173" s="242" t="str">
        <f t="shared" si="5"/>
        <v>Nov-24</v>
      </c>
      <c r="D173" t="s">
        <v>999</v>
      </c>
      <c r="E173" s="370">
        <v>5798</v>
      </c>
      <c r="F173" s="65">
        <v>830</v>
      </c>
      <c r="G173" s="10" t="s">
        <v>932</v>
      </c>
      <c r="H173" s="373">
        <v>0</v>
      </c>
      <c r="I173" s="369">
        <f t="shared" si="7"/>
        <v>830</v>
      </c>
      <c r="K173" s="331"/>
    </row>
    <row r="174" spans="2:11" x14ac:dyDescent="0.3">
      <c r="B174" s="43">
        <v>45608</v>
      </c>
      <c r="C174" s="242" t="str">
        <f t="shared" si="5"/>
        <v>Nov-24</v>
      </c>
      <c r="D174" t="s">
        <v>999</v>
      </c>
      <c r="E174" s="370" t="s">
        <v>1111</v>
      </c>
      <c r="F174" s="65">
        <v>8840</v>
      </c>
      <c r="G174" s="10" t="s">
        <v>936</v>
      </c>
      <c r="H174" s="373">
        <v>0</v>
      </c>
      <c r="I174" s="369">
        <f t="shared" si="7"/>
        <v>8840</v>
      </c>
      <c r="K174" s="331"/>
    </row>
    <row r="175" spans="2:11" x14ac:dyDescent="0.3">
      <c r="B175" s="43">
        <v>45608</v>
      </c>
      <c r="C175" s="242" t="str">
        <f t="shared" si="5"/>
        <v>Nov-24</v>
      </c>
      <c r="D175" t="s">
        <v>999</v>
      </c>
      <c r="E175" s="370" t="s">
        <v>1069</v>
      </c>
      <c r="F175" s="65">
        <v>4165</v>
      </c>
      <c r="G175" s="10" t="s">
        <v>936</v>
      </c>
      <c r="H175" s="373">
        <v>0</v>
      </c>
      <c r="I175" s="369">
        <f t="shared" si="7"/>
        <v>4165</v>
      </c>
      <c r="K175" s="331"/>
    </row>
    <row r="176" spans="2:11" x14ac:dyDescent="0.3">
      <c r="B176" s="43">
        <v>45615</v>
      </c>
      <c r="C176" s="242" t="str">
        <f t="shared" si="5"/>
        <v>Nov-24</v>
      </c>
      <c r="D176" t="s">
        <v>999</v>
      </c>
      <c r="E176" s="370">
        <v>5882</v>
      </c>
      <c r="F176" s="65">
        <v>1871</v>
      </c>
      <c r="G176" s="10" t="s">
        <v>933</v>
      </c>
      <c r="H176" s="373">
        <v>0</v>
      </c>
      <c r="I176" s="369">
        <f t="shared" si="7"/>
        <v>1871</v>
      </c>
      <c r="K176" s="331"/>
    </row>
    <row r="177" spans="2:11" x14ac:dyDescent="0.3">
      <c r="B177" s="43">
        <v>45615</v>
      </c>
      <c r="C177" s="242" t="str">
        <f t="shared" si="5"/>
        <v>Nov-24</v>
      </c>
      <c r="D177" t="s">
        <v>999</v>
      </c>
      <c r="E177" s="370">
        <v>5875</v>
      </c>
      <c r="F177" s="65">
        <v>715</v>
      </c>
      <c r="G177" s="10" t="s">
        <v>932</v>
      </c>
      <c r="H177" s="373">
        <v>0</v>
      </c>
      <c r="I177" s="369">
        <f t="shared" si="7"/>
        <v>715</v>
      </c>
      <c r="K177" s="331"/>
    </row>
    <row r="178" spans="2:11" x14ac:dyDescent="0.3">
      <c r="B178" s="43">
        <v>45615</v>
      </c>
      <c r="C178" s="242" t="str">
        <f t="shared" si="5"/>
        <v>Nov-24</v>
      </c>
      <c r="D178" t="s">
        <v>999</v>
      </c>
      <c r="E178" s="370">
        <v>5875</v>
      </c>
      <c r="F178" s="65">
        <v>848</v>
      </c>
      <c r="G178" s="10" t="s">
        <v>929</v>
      </c>
      <c r="H178" s="373">
        <v>0</v>
      </c>
      <c r="I178" s="369">
        <f t="shared" si="7"/>
        <v>848</v>
      </c>
      <c r="K178" s="331"/>
    </row>
    <row r="179" spans="2:11" x14ac:dyDescent="0.3">
      <c r="B179" s="43">
        <v>45623</v>
      </c>
      <c r="C179" s="242" t="str">
        <f t="shared" si="5"/>
        <v>Nov-24</v>
      </c>
      <c r="D179" t="s">
        <v>1739</v>
      </c>
      <c r="E179" s="370">
        <v>6056</v>
      </c>
      <c r="F179" s="65">
        <v>936</v>
      </c>
      <c r="G179" s="10" t="s">
        <v>1121</v>
      </c>
      <c r="H179" s="373">
        <v>0</v>
      </c>
      <c r="I179" s="369">
        <f t="shared" si="7"/>
        <v>936</v>
      </c>
      <c r="K179" s="331"/>
    </row>
    <row r="180" spans="2:11" x14ac:dyDescent="0.3">
      <c r="B180" s="43">
        <v>45626</v>
      </c>
      <c r="C180" s="242" t="str">
        <f t="shared" si="5"/>
        <v>Nov-24</v>
      </c>
      <c r="D180" t="s">
        <v>999</v>
      </c>
      <c r="E180" s="370">
        <v>5972</v>
      </c>
      <c r="F180" s="65">
        <v>910</v>
      </c>
      <c r="G180" s="10" t="s">
        <v>932</v>
      </c>
      <c r="H180" s="373">
        <v>0</v>
      </c>
      <c r="I180" s="369">
        <f t="shared" si="7"/>
        <v>910</v>
      </c>
      <c r="K180" s="331"/>
    </row>
    <row r="181" spans="2:11" x14ac:dyDescent="0.3">
      <c r="B181" s="43">
        <v>45626</v>
      </c>
      <c r="C181" s="242" t="str">
        <f t="shared" si="5"/>
        <v>Nov-24</v>
      </c>
      <c r="D181" t="s">
        <v>999</v>
      </c>
      <c r="E181" s="370">
        <v>5972</v>
      </c>
      <c r="F181" s="65">
        <v>933</v>
      </c>
      <c r="G181" s="10" t="s">
        <v>929</v>
      </c>
      <c r="H181" s="373">
        <v>0</v>
      </c>
      <c r="I181" s="369">
        <f t="shared" si="7"/>
        <v>933</v>
      </c>
      <c r="K181" s="331"/>
    </row>
    <row r="182" spans="2:11" x14ac:dyDescent="0.3">
      <c r="B182" s="43">
        <v>45626</v>
      </c>
      <c r="C182" s="242" t="str">
        <f t="shared" si="5"/>
        <v>Nov-24</v>
      </c>
      <c r="D182" t="s">
        <v>999</v>
      </c>
      <c r="E182" s="370">
        <v>5980</v>
      </c>
      <c r="F182" s="65">
        <v>2150</v>
      </c>
      <c r="G182" s="10" t="s">
        <v>933</v>
      </c>
      <c r="H182" s="373">
        <v>0</v>
      </c>
      <c r="I182" s="369">
        <f t="shared" si="7"/>
        <v>2150</v>
      </c>
      <c r="K182" s="331"/>
    </row>
    <row r="183" spans="2:11" x14ac:dyDescent="0.3">
      <c r="B183" s="43">
        <v>45626</v>
      </c>
      <c r="C183" s="242" t="str">
        <f t="shared" si="5"/>
        <v>Nov-24</v>
      </c>
      <c r="D183" t="s">
        <v>999</v>
      </c>
      <c r="E183" s="370" t="s">
        <v>1077</v>
      </c>
      <c r="F183" s="65">
        <v>2210</v>
      </c>
      <c r="G183" s="10" t="s">
        <v>936</v>
      </c>
      <c r="H183" s="373">
        <v>0</v>
      </c>
      <c r="I183" s="369">
        <f t="shared" si="7"/>
        <v>2210</v>
      </c>
      <c r="K183" s="331"/>
    </row>
    <row r="184" spans="2:11" x14ac:dyDescent="0.3">
      <c r="B184" s="43">
        <v>45626</v>
      </c>
      <c r="C184" s="242" t="str">
        <f t="shared" si="5"/>
        <v>Nov-24</v>
      </c>
      <c r="D184" t="s">
        <v>1003</v>
      </c>
      <c r="E184" s="371">
        <v>45597</v>
      </c>
      <c r="F184" s="65">
        <v>450</v>
      </c>
      <c r="G184" s="10" t="s">
        <v>937</v>
      </c>
      <c r="H184" s="373">
        <v>0</v>
      </c>
      <c r="I184" s="369">
        <f t="shared" si="7"/>
        <v>450</v>
      </c>
      <c r="K184" s="331"/>
    </row>
    <row r="185" spans="2:11" x14ac:dyDescent="0.3">
      <c r="B185" s="43">
        <v>45626</v>
      </c>
      <c r="C185" s="242" t="str">
        <f t="shared" si="5"/>
        <v>Nov-24</v>
      </c>
      <c r="D185" t="s">
        <v>1000</v>
      </c>
      <c r="E185" s="371">
        <v>45597</v>
      </c>
      <c r="F185" s="65">
        <v>510</v>
      </c>
      <c r="G185" s="10" t="s">
        <v>941</v>
      </c>
      <c r="H185" s="373">
        <v>0</v>
      </c>
      <c r="I185" s="369">
        <f t="shared" si="7"/>
        <v>510</v>
      </c>
      <c r="K185" s="331"/>
    </row>
    <row r="186" spans="2:11" x14ac:dyDescent="0.3">
      <c r="B186" s="43">
        <v>45626</v>
      </c>
      <c r="C186" s="242" t="str">
        <f t="shared" si="5"/>
        <v>Nov-24</v>
      </c>
      <c r="D186" t="s">
        <v>1013</v>
      </c>
      <c r="E186" s="371">
        <v>45597</v>
      </c>
      <c r="F186" s="65">
        <v>155000</v>
      </c>
      <c r="G186" s="10" t="s">
        <v>1123</v>
      </c>
      <c r="H186" s="373">
        <v>0</v>
      </c>
      <c r="I186" s="369">
        <f t="shared" si="7"/>
        <v>155000</v>
      </c>
      <c r="K186" s="331"/>
    </row>
    <row r="187" spans="2:11" x14ac:dyDescent="0.3">
      <c r="B187" s="43">
        <v>45628</v>
      </c>
      <c r="C187" s="242" t="str">
        <f t="shared" si="5"/>
        <v>Dec-24</v>
      </c>
      <c r="D187" t="s">
        <v>2463</v>
      </c>
      <c r="E187" s="370" t="s">
        <v>2506</v>
      </c>
      <c r="F187" s="65">
        <v>58000</v>
      </c>
      <c r="G187" s="10" t="s">
        <v>2465</v>
      </c>
      <c r="H187" s="373">
        <v>0</v>
      </c>
      <c r="I187" s="369">
        <f t="shared" si="7"/>
        <v>58000</v>
      </c>
      <c r="K187" s="331"/>
    </row>
    <row r="188" spans="2:11" x14ac:dyDescent="0.3">
      <c r="B188" s="43">
        <v>45629</v>
      </c>
      <c r="C188" s="242" t="str">
        <f t="shared" si="5"/>
        <v>Dec-24</v>
      </c>
      <c r="D188" t="s">
        <v>1739</v>
      </c>
      <c r="E188" s="370">
        <v>6123</v>
      </c>
      <c r="F188" s="65">
        <v>1200</v>
      </c>
      <c r="G188" s="10" t="s">
        <v>931</v>
      </c>
      <c r="H188" s="373">
        <v>0</v>
      </c>
      <c r="I188" s="369">
        <f t="shared" si="7"/>
        <v>1200</v>
      </c>
      <c r="K188" s="331"/>
    </row>
    <row r="189" spans="2:11" x14ac:dyDescent="0.3">
      <c r="B189" s="43">
        <v>45630</v>
      </c>
      <c r="C189" s="242" t="str">
        <f t="shared" si="5"/>
        <v>Dec-24</v>
      </c>
      <c r="D189" t="s">
        <v>1739</v>
      </c>
      <c r="E189" s="370" t="s">
        <v>2507</v>
      </c>
      <c r="F189" s="65">
        <v>4728</v>
      </c>
      <c r="G189" s="10" t="s">
        <v>1121</v>
      </c>
      <c r="H189" s="373">
        <v>0</v>
      </c>
      <c r="I189" s="369">
        <f t="shared" si="7"/>
        <v>4728</v>
      </c>
    </row>
    <row r="190" spans="2:11" x14ac:dyDescent="0.3">
      <c r="B190" s="43">
        <v>45631</v>
      </c>
      <c r="C190" s="242" t="str">
        <f t="shared" si="5"/>
        <v>Dec-24</v>
      </c>
      <c r="D190" t="s">
        <v>1530</v>
      </c>
      <c r="E190" s="370">
        <v>6306</v>
      </c>
      <c r="F190" s="65">
        <v>3778.1</v>
      </c>
      <c r="G190" s="10" t="s">
        <v>932</v>
      </c>
      <c r="H190" s="373">
        <v>0</v>
      </c>
      <c r="I190" s="369">
        <f t="shared" si="7"/>
        <v>3778.1</v>
      </c>
    </row>
    <row r="191" spans="2:11" x14ac:dyDescent="0.3">
      <c r="B191" s="43">
        <v>45631</v>
      </c>
      <c r="C191" s="242" t="str">
        <f t="shared" si="5"/>
        <v>Dec-24</v>
      </c>
      <c r="D191" t="s">
        <v>1530</v>
      </c>
      <c r="E191" s="370">
        <v>6306</v>
      </c>
      <c r="F191" s="65">
        <v>1640</v>
      </c>
      <c r="G191" s="10" t="s">
        <v>933</v>
      </c>
      <c r="H191" s="373">
        <v>0</v>
      </c>
      <c r="I191" s="369">
        <f t="shared" si="7"/>
        <v>1640</v>
      </c>
    </row>
    <row r="192" spans="2:11" x14ac:dyDescent="0.3">
      <c r="B192" s="43">
        <v>45631</v>
      </c>
      <c r="C192" s="242" t="str">
        <f t="shared" si="5"/>
        <v>Dec-24</v>
      </c>
      <c r="D192" t="s">
        <v>1530</v>
      </c>
      <c r="E192" s="370">
        <v>6306</v>
      </c>
      <c r="F192" s="65">
        <v>1777.9</v>
      </c>
      <c r="G192" s="10" t="s">
        <v>929</v>
      </c>
      <c r="H192" s="373">
        <v>0</v>
      </c>
      <c r="I192" s="369">
        <f t="shared" si="7"/>
        <v>1777.9</v>
      </c>
    </row>
    <row r="193" spans="2:9" x14ac:dyDescent="0.3">
      <c r="B193" s="43">
        <v>45636</v>
      </c>
      <c r="C193" s="242" t="str">
        <f t="shared" si="5"/>
        <v>Dec-24</v>
      </c>
      <c r="D193" t="s">
        <v>999</v>
      </c>
      <c r="E193" s="370" t="s">
        <v>1105</v>
      </c>
      <c r="F193" s="65">
        <v>6436</v>
      </c>
      <c r="G193" s="10" t="s">
        <v>936</v>
      </c>
      <c r="H193" s="373">
        <v>0</v>
      </c>
      <c r="I193" s="369">
        <f t="shared" si="7"/>
        <v>6436</v>
      </c>
    </row>
    <row r="194" spans="2:9" x14ac:dyDescent="0.3">
      <c r="B194" s="43">
        <v>45638</v>
      </c>
      <c r="C194" s="242" t="str">
        <f t="shared" si="5"/>
        <v>Dec-24</v>
      </c>
      <c r="D194" s="365" t="s">
        <v>1008</v>
      </c>
      <c r="E194" s="366" t="s">
        <v>2508</v>
      </c>
      <c r="F194" s="65">
        <v>559000</v>
      </c>
      <c r="G194" s="11" t="s">
        <v>939</v>
      </c>
      <c r="H194" s="368">
        <f>F194</f>
        <v>559000</v>
      </c>
      <c r="I194" s="369">
        <v>0</v>
      </c>
    </row>
    <row r="195" spans="2:9" x14ac:dyDescent="0.3">
      <c r="B195" s="43">
        <v>45643</v>
      </c>
      <c r="C195" s="242" t="str">
        <f t="shared" si="5"/>
        <v>Dec-24</v>
      </c>
      <c r="D195" t="s">
        <v>999</v>
      </c>
      <c r="E195" s="370" t="s">
        <v>1108</v>
      </c>
      <c r="F195" s="65">
        <v>6980</v>
      </c>
      <c r="G195" s="10" t="s">
        <v>936</v>
      </c>
      <c r="H195" s="373">
        <v>0</v>
      </c>
      <c r="I195" s="369">
        <f t="shared" ref="I195:I206" si="8">F195</f>
        <v>6980</v>
      </c>
    </row>
    <row r="196" spans="2:9" x14ac:dyDescent="0.3">
      <c r="B196" s="43">
        <v>45643</v>
      </c>
      <c r="C196" s="242" t="str">
        <f t="shared" si="5"/>
        <v>Dec-24</v>
      </c>
      <c r="D196" t="s">
        <v>999</v>
      </c>
      <c r="E196" s="370">
        <v>6100</v>
      </c>
      <c r="F196" s="65">
        <v>2885</v>
      </c>
      <c r="G196" s="10" t="s">
        <v>933</v>
      </c>
      <c r="H196" s="373">
        <v>0</v>
      </c>
      <c r="I196" s="369">
        <f t="shared" si="8"/>
        <v>2885</v>
      </c>
    </row>
    <row r="197" spans="2:9" x14ac:dyDescent="0.3">
      <c r="B197" s="43">
        <v>45643</v>
      </c>
      <c r="C197" s="242" t="str">
        <f t="shared" ref="C197:C260" si="9">TEXT(B197,"mmm-yy")</f>
        <v>Dec-24</v>
      </c>
      <c r="D197" t="s">
        <v>999</v>
      </c>
      <c r="E197" s="370" t="s">
        <v>1054</v>
      </c>
      <c r="F197" s="65">
        <v>9616.76</v>
      </c>
      <c r="G197" s="10" t="s">
        <v>2469</v>
      </c>
      <c r="H197" s="373">
        <v>0</v>
      </c>
      <c r="I197" s="369">
        <f t="shared" si="8"/>
        <v>9616.76</v>
      </c>
    </row>
    <row r="198" spans="2:9" x14ac:dyDescent="0.3">
      <c r="B198" s="43">
        <v>45643</v>
      </c>
      <c r="C198" s="242" t="str">
        <f t="shared" si="9"/>
        <v>Dec-24</v>
      </c>
      <c r="D198" t="s">
        <v>1739</v>
      </c>
      <c r="E198" s="370">
        <v>6236</v>
      </c>
      <c r="F198" s="65">
        <v>736</v>
      </c>
      <c r="G198" s="10" t="s">
        <v>1121</v>
      </c>
      <c r="H198" s="373">
        <v>0</v>
      </c>
      <c r="I198" s="369">
        <f t="shared" si="8"/>
        <v>736</v>
      </c>
    </row>
    <row r="199" spans="2:9" x14ac:dyDescent="0.3">
      <c r="B199" s="43">
        <v>45645</v>
      </c>
      <c r="C199" s="242" t="str">
        <f t="shared" si="9"/>
        <v>Dec-24</v>
      </c>
      <c r="D199" t="s">
        <v>999</v>
      </c>
      <c r="E199" s="370">
        <v>6098</v>
      </c>
      <c r="F199" s="65">
        <v>385</v>
      </c>
      <c r="G199" s="10" t="s">
        <v>929</v>
      </c>
      <c r="H199" s="373">
        <v>0</v>
      </c>
      <c r="I199" s="369">
        <f t="shared" si="8"/>
        <v>385</v>
      </c>
    </row>
    <row r="200" spans="2:9" x14ac:dyDescent="0.3">
      <c r="B200" s="43">
        <v>45645</v>
      </c>
      <c r="C200" s="242" t="str">
        <f t="shared" si="9"/>
        <v>Dec-24</v>
      </c>
      <c r="D200" t="s">
        <v>999</v>
      </c>
      <c r="E200" s="370">
        <v>6098</v>
      </c>
      <c r="F200" s="65">
        <v>1425</v>
      </c>
      <c r="G200" s="10" t="s">
        <v>932</v>
      </c>
      <c r="H200" s="373">
        <v>0</v>
      </c>
      <c r="I200" s="369">
        <f t="shared" si="8"/>
        <v>1425</v>
      </c>
    </row>
    <row r="201" spans="2:9" x14ac:dyDescent="0.3">
      <c r="B201" s="43">
        <v>45649</v>
      </c>
      <c r="C201" s="242" t="str">
        <f t="shared" si="9"/>
        <v>Dec-24</v>
      </c>
      <c r="D201" t="s">
        <v>999</v>
      </c>
      <c r="E201" s="370">
        <v>6272</v>
      </c>
      <c r="F201" s="65">
        <v>125</v>
      </c>
      <c r="G201" s="10" t="s">
        <v>929</v>
      </c>
      <c r="H201" s="373">
        <v>0</v>
      </c>
      <c r="I201" s="369">
        <f t="shared" si="8"/>
        <v>125</v>
      </c>
    </row>
    <row r="202" spans="2:9" x14ac:dyDescent="0.3">
      <c r="B202" s="43">
        <v>45649</v>
      </c>
      <c r="C202" s="242" t="str">
        <f t="shared" si="9"/>
        <v>Dec-24</v>
      </c>
      <c r="D202" t="s">
        <v>999</v>
      </c>
      <c r="E202" s="370">
        <v>6272</v>
      </c>
      <c r="F202" s="65">
        <v>1030</v>
      </c>
      <c r="G202" s="10" t="s">
        <v>932</v>
      </c>
      <c r="H202" s="373">
        <v>0</v>
      </c>
      <c r="I202" s="369">
        <f t="shared" si="8"/>
        <v>1030</v>
      </c>
    </row>
    <row r="203" spans="2:9" x14ac:dyDescent="0.3">
      <c r="B203" s="43">
        <v>45651</v>
      </c>
      <c r="C203" s="242" t="str">
        <f t="shared" si="9"/>
        <v>Dec-24</v>
      </c>
      <c r="D203" t="s">
        <v>999</v>
      </c>
      <c r="E203" s="370">
        <v>6291</v>
      </c>
      <c r="F203" s="65">
        <v>974</v>
      </c>
      <c r="G203" s="10" t="s">
        <v>933</v>
      </c>
      <c r="H203" s="373">
        <v>0</v>
      </c>
      <c r="I203" s="369">
        <f t="shared" si="8"/>
        <v>974</v>
      </c>
    </row>
    <row r="204" spans="2:9" x14ac:dyDescent="0.3">
      <c r="B204" s="43">
        <v>45653</v>
      </c>
      <c r="C204" s="242" t="str">
        <f t="shared" si="9"/>
        <v>Dec-24</v>
      </c>
      <c r="D204" t="s">
        <v>999</v>
      </c>
      <c r="E204" s="370">
        <v>6300</v>
      </c>
      <c r="F204" s="65">
        <v>324</v>
      </c>
      <c r="G204" s="10" t="s">
        <v>929</v>
      </c>
      <c r="H204" s="373">
        <v>0</v>
      </c>
      <c r="I204" s="369">
        <f t="shared" si="8"/>
        <v>324</v>
      </c>
    </row>
    <row r="205" spans="2:9" x14ac:dyDescent="0.3">
      <c r="B205" s="43">
        <v>45653</v>
      </c>
      <c r="C205" s="242" t="str">
        <f t="shared" si="9"/>
        <v>Dec-24</v>
      </c>
      <c r="D205" t="s">
        <v>999</v>
      </c>
      <c r="E205" s="370">
        <v>6300</v>
      </c>
      <c r="F205" s="65">
        <v>455</v>
      </c>
      <c r="G205" s="10" t="s">
        <v>932</v>
      </c>
      <c r="H205" s="373">
        <v>0</v>
      </c>
      <c r="I205" s="369">
        <f t="shared" si="8"/>
        <v>455</v>
      </c>
    </row>
    <row r="206" spans="2:9" x14ac:dyDescent="0.3">
      <c r="B206" s="43">
        <v>45654</v>
      </c>
      <c r="C206" s="242" t="str">
        <f t="shared" si="9"/>
        <v>Dec-24</v>
      </c>
      <c r="D206" t="s">
        <v>999</v>
      </c>
      <c r="E206" s="370" t="s">
        <v>1109</v>
      </c>
      <c r="F206" s="65">
        <v>6714</v>
      </c>
      <c r="G206" s="10" t="s">
        <v>936</v>
      </c>
      <c r="H206" s="373">
        <v>0</v>
      </c>
      <c r="I206" s="369">
        <f t="shared" si="8"/>
        <v>6714</v>
      </c>
    </row>
    <row r="207" spans="2:9" x14ac:dyDescent="0.3">
      <c r="B207" s="43">
        <v>45655</v>
      </c>
      <c r="C207" s="242" t="str">
        <f t="shared" si="9"/>
        <v>Dec-24</v>
      </c>
      <c r="D207" s="365" t="s">
        <v>1010</v>
      </c>
      <c r="E207" s="366" t="s">
        <v>1087</v>
      </c>
      <c r="F207" s="65">
        <v>40000</v>
      </c>
      <c r="G207" s="11" t="s">
        <v>939</v>
      </c>
      <c r="H207" s="368">
        <f>F207</f>
        <v>40000</v>
      </c>
      <c r="I207" s="369">
        <v>0</v>
      </c>
    </row>
    <row r="208" spans="2:9" x14ac:dyDescent="0.3">
      <c r="B208" s="43">
        <v>45657</v>
      </c>
      <c r="C208" s="242" t="str">
        <f t="shared" si="9"/>
        <v>Dec-24</v>
      </c>
      <c r="D208" s="365" t="s">
        <v>1364</v>
      </c>
      <c r="E208" s="374">
        <v>45627</v>
      </c>
      <c r="F208" s="65">
        <v>12778.46</v>
      </c>
      <c r="G208" s="11" t="s">
        <v>2179</v>
      </c>
      <c r="H208" s="368">
        <v>0</v>
      </c>
      <c r="I208" s="369">
        <f t="shared" ref="I208:I214" si="10">F208</f>
        <v>12778.46</v>
      </c>
    </row>
    <row r="209" spans="2:9" x14ac:dyDescent="0.3">
      <c r="B209" s="43">
        <v>45657</v>
      </c>
      <c r="C209" s="242" t="str">
        <f t="shared" si="9"/>
        <v>Dec-24</v>
      </c>
      <c r="D209" t="s">
        <v>1013</v>
      </c>
      <c r="E209" s="371">
        <v>45627</v>
      </c>
      <c r="F209" s="65">
        <v>155000</v>
      </c>
      <c r="G209" s="10" t="s">
        <v>1123</v>
      </c>
      <c r="H209" s="373">
        <v>0</v>
      </c>
      <c r="I209" s="369">
        <f t="shared" si="10"/>
        <v>155000</v>
      </c>
    </row>
    <row r="210" spans="2:9" x14ac:dyDescent="0.3">
      <c r="B210" s="43">
        <v>45657</v>
      </c>
      <c r="C210" s="242" t="str">
        <f t="shared" si="9"/>
        <v>Dec-24</v>
      </c>
      <c r="D210" t="s">
        <v>1003</v>
      </c>
      <c r="E210" s="371">
        <v>45627</v>
      </c>
      <c r="F210" s="65">
        <v>2040</v>
      </c>
      <c r="G210" s="10" t="s">
        <v>937</v>
      </c>
      <c r="H210" s="373">
        <v>0</v>
      </c>
      <c r="I210" s="369">
        <f t="shared" si="10"/>
        <v>2040</v>
      </c>
    </row>
    <row r="211" spans="2:9" x14ac:dyDescent="0.3">
      <c r="B211" s="43">
        <v>45657</v>
      </c>
      <c r="C211" s="242" t="str">
        <f t="shared" si="9"/>
        <v>Dec-24</v>
      </c>
      <c r="D211" t="s">
        <v>1000</v>
      </c>
      <c r="E211" s="371">
        <v>45627</v>
      </c>
      <c r="F211" s="65">
        <v>510</v>
      </c>
      <c r="G211" s="10" t="s">
        <v>941</v>
      </c>
      <c r="H211" s="373">
        <v>0</v>
      </c>
      <c r="I211" s="369">
        <f t="shared" si="10"/>
        <v>510</v>
      </c>
    </row>
    <row r="212" spans="2:9" x14ac:dyDescent="0.3">
      <c r="B212" s="43">
        <v>45657</v>
      </c>
      <c r="C212" s="242" t="str">
        <f t="shared" si="9"/>
        <v>Dec-24</v>
      </c>
      <c r="D212" t="s">
        <v>1000</v>
      </c>
      <c r="E212" s="371">
        <v>45627</v>
      </c>
      <c r="F212" s="65">
        <v>25230</v>
      </c>
      <c r="G212" s="10" t="s">
        <v>941</v>
      </c>
      <c r="H212" s="373">
        <v>0</v>
      </c>
      <c r="I212" s="369">
        <f t="shared" si="10"/>
        <v>25230</v>
      </c>
    </row>
    <row r="213" spans="2:9" x14ac:dyDescent="0.3">
      <c r="B213" s="43">
        <v>45658</v>
      </c>
      <c r="C213" s="242" t="str">
        <f t="shared" si="9"/>
        <v>Jan-25</v>
      </c>
      <c r="D213" t="s">
        <v>2463</v>
      </c>
      <c r="E213" s="370" t="s">
        <v>2509</v>
      </c>
      <c r="F213" s="65">
        <v>58000</v>
      </c>
      <c r="G213" s="10" t="s">
        <v>2465</v>
      </c>
      <c r="H213" s="373">
        <v>0</v>
      </c>
      <c r="I213" s="369">
        <f t="shared" si="10"/>
        <v>58000</v>
      </c>
    </row>
    <row r="214" spans="2:9" x14ac:dyDescent="0.3">
      <c r="B214" s="43">
        <v>45664</v>
      </c>
      <c r="C214" s="242" t="str">
        <f t="shared" si="9"/>
        <v>Jan-25</v>
      </c>
      <c r="D214" t="s">
        <v>2451</v>
      </c>
      <c r="E214" s="370" t="s">
        <v>2510</v>
      </c>
      <c r="F214" s="65">
        <v>13270</v>
      </c>
      <c r="G214" s="10" t="s">
        <v>932</v>
      </c>
      <c r="H214" s="373">
        <v>0</v>
      </c>
      <c r="I214" s="369">
        <f t="shared" si="10"/>
        <v>13270</v>
      </c>
    </row>
    <row r="215" spans="2:9" x14ac:dyDescent="0.3">
      <c r="B215" s="43">
        <v>45664</v>
      </c>
      <c r="C215" s="242" t="str">
        <f t="shared" si="9"/>
        <v>Jan-25</v>
      </c>
      <c r="D215" s="365" t="s">
        <v>1011</v>
      </c>
      <c r="E215" s="366">
        <v>128</v>
      </c>
      <c r="F215" s="65">
        <v>8500</v>
      </c>
      <c r="G215" s="11" t="s">
        <v>939</v>
      </c>
      <c r="H215" s="368">
        <f>F215</f>
        <v>8500</v>
      </c>
      <c r="I215" s="369">
        <v>0</v>
      </c>
    </row>
    <row r="216" spans="2:9" x14ac:dyDescent="0.3">
      <c r="B216" s="43">
        <v>45670</v>
      </c>
      <c r="C216" s="242" t="str">
        <f t="shared" si="9"/>
        <v>Jan-25</v>
      </c>
      <c r="D216" t="s">
        <v>999</v>
      </c>
      <c r="E216" s="370" t="s">
        <v>1090</v>
      </c>
      <c r="F216" s="65">
        <v>4856</v>
      </c>
      <c r="G216" s="10" t="s">
        <v>936</v>
      </c>
      <c r="H216" s="373">
        <v>0</v>
      </c>
      <c r="I216" s="369">
        <f t="shared" ref="I216:I222" si="11">F216</f>
        <v>4856</v>
      </c>
    </row>
    <row r="217" spans="2:9" x14ac:dyDescent="0.3">
      <c r="B217" s="43">
        <v>45670</v>
      </c>
      <c r="C217" s="242" t="str">
        <f t="shared" si="9"/>
        <v>Jan-25</v>
      </c>
      <c r="D217" t="s">
        <v>999</v>
      </c>
      <c r="E217" s="370" t="s">
        <v>1090</v>
      </c>
      <c r="F217" s="65">
        <v>7553</v>
      </c>
      <c r="G217" s="10" t="s">
        <v>942</v>
      </c>
      <c r="H217" s="373">
        <v>0</v>
      </c>
      <c r="I217" s="369">
        <f t="shared" si="11"/>
        <v>7553</v>
      </c>
    </row>
    <row r="218" spans="2:9" x14ac:dyDescent="0.3">
      <c r="B218" s="43">
        <v>45670</v>
      </c>
      <c r="C218" s="242" t="str">
        <f t="shared" si="9"/>
        <v>Jan-25</v>
      </c>
      <c r="D218" t="s">
        <v>999</v>
      </c>
      <c r="E218" s="370" t="s">
        <v>1110</v>
      </c>
      <c r="F218" s="65">
        <v>7178</v>
      </c>
      <c r="G218" s="10" t="s">
        <v>936</v>
      </c>
      <c r="H218" s="373">
        <v>0</v>
      </c>
      <c r="I218" s="369">
        <f t="shared" si="11"/>
        <v>7178</v>
      </c>
    </row>
    <row r="219" spans="2:9" x14ac:dyDescent="0.3">
      <c r="B219" s="43">
        <v>45674</v>
      </c>
      <c r="C219" s="242" t="str">
        <f t="shared" si="9"/>
        <v>Jan-25</v>
      </c>
      <c r="D219" t="s">
        <v>999</v>
      </c>
      <c r="E219" s="370">
        <v>6369</v>
      </c>
      <c r="F219" s="65">
        <v>655</v>
      </c>
      <c r="G219" s="10" t="s">
        <v>929</v>
      </c>
      <c r="H219" s="373">
        <v>0</v>
      </c>
      <c r="I219" s="369">
        <f t="shared" si="11"/>
        <v>655</v>
      </c>
    </row>
    <row r="220" spans="2:9" x14ac:dyDescent="0.3">
      <c r="B220" s="43">
        <v>45674</v>
      </c>
      <c r="C220" s="242" t="str">
        <f t="shared" si="9"/>
        <v>Jan-25</v>
      </c>
      <c r="D220" t="s">
        <v>999</v>
      </c>
      <c r="E220" s="370">
        <v>6369</v>
      </c>
      <c r="F220" s="65">
        <v>1030</v>
      </c>
      <c r="G220" s="10" t="s">
        <v>932</v>
      </c>
      <c r="H220" s="373">
        <v>0</v>
      </c>
      <c r="I220" s="369">
        <f t="shared" si="11"/>
        <v>1030</v>
      </c>
    </row>
    <row r="221" spans="2:9" x14ac:dyDescent="0.3">
      <c r="B221" s="43">
        <v>45674</v>
      </c>
      <c r="C221" s="242" t="str">
        <f t="shared" si="9"/>
        <v>Jan-25</v>
      </c>
      <c r="D221" t="s">
        <v>999</v>
      </c>
      <c r="E221" s="370">
        <v>6370</v>
      </c>
      <c r="F221" s="65">
        <v>3464</v>
      </c>
      <c r="G221" s="10" t="s">
        <v>933</v>
      </c>
      <c r="H221" s="373">
        <v>0</v>
      </c>
      <c r="I221" s="369">
        <f t="shared" si="11"/>
        <v>3464</v>
      </c>
    </row>
    <row r="222" spans="2:9" x14ac:dyDescent="0.3">
      <c r="B222" s="43">
        <v>45678</v>
      </c>
      <c r="C222" s="242" t="str">
        <f t="shared" si="9"/>
        <v>Jan-25</v>
      </c>
      <c r="D222" t="s">
        <v>1739</v>
      </c>
      <c r="E222" s="370">
        <v>6517</v>
      </c>
      <c r="F222" s="65">
        <v>816</v>
      </c>
      <c r="G222" s="10" t="s">
        <v>1121</v>
      </c>
      <c r="H222" s="373">
        <v>0</v>
      </c>
      <c r="I222" s="369">
        <f t="shared" si="11"/>
        <v>816</v>
      </c>
    </row>
    <row r="223" spans="2:9" x14ac:dyDescent="0.3">
      <c r="B223" s="43">
        <v>45678</v>
      </c>
      <c r="C223" s="242" t="str">
        <f t="shared" si="9"/>
        <v>Jan-25</v>
      </c>
      <c r="D223" t="s">
        <v>1014</v>
      </c>
      <c r="E223" s="370"/>
      <c r="F223" s="65">
        <v>210000</v>
      </c>
      <c r="G223" s="10" t="s">
        <v>2505</v>
      </c>
      <c r="H223" s="373">
        <f>F223</f>
        <v>210000</v>
      </c>
      <c r="I223" s="369">
        <v>0</v>
      </c>
    </row>
    <row r="224" spans="2:9" x14ac:dyDescent="0.3">
      <c r="B224" s="43">
        <v>45679</v>
      </c>
      <c r="C224" s="242" t="str">
        <f t="shared" si="9"/>
        <v>Jan-25</v>
      </c>
      <c r="D224" t="s">
        <v>1738</v>
      </c>
      <c r="E224" s="370" t="s">
        <v>2511</v>
      </c>
      <c r="F224" s="65">
        <v>14000</v>
      </c>
      <c r="G224" s="10" t="s">
        <v>931</v>
      </c>
      <c r="H224" s="373">
        <v>0</v>
      </c>
      <c r="I224" s="369">
        <f>F224</f>
        <v>14000</v>
      </c>
    </row>
    <row r="225" spans="2:9" x14ac:dyDescent="0.3">
      <c r="B225" s="43">
        <v>45679</v>
      </c>
      <c r="C225" s="242" t="str">
        <f t="shared" si="9"/>
        <v>Jan-25</v>
      </c>
      <c r="D225" s="365" t="s">
        <v>1002</v>
      </c>
      <c r="E225" s="366">
        <v>156</v>
      </c>
      <c r="F225" s="65">
        <v>1560000</v>
      </c>
      <c r="G225" s="11" t="s">
        <v>943</v>
      </c>
      <c r="H225" s="368">
        <f>F225</f>
        <v>1560000</v>
      </c>
      <c r="I225" s="369">
        <v>0</v>
      </c>
    </row>
    <row r="226" spans="2:9" x14ac:dyDescent="0.3">
      <c r="B226" s="43">
        <v>45679</v>
      </c>
      <c r="C226" s="242" t="str">
        <f t="shared" si="9"/>
        <v>Jan-25</v>
      </c>
      <c r="D226" s="365" t="s">
        <v>1002</v>
      </c>
      <c r="E226" s="366">
        <v>157</v>
      </c>
      <c r="F226" s="65">
        <v>128125</v>
      </c>
      <c r="G226" s="11" t="s">
        <v>943</v>
      </c>
      <c r="H226" s="368">
        <f>F226</f>
        <v>128125</v>
      </c>
      <c r="I226" s="369">
        <v>0</v>
      </c>
    </row>
    <row r="227" spans="2:9" x14ac:dyDescent="0.3">
      <c r="B227" s="43">
        <v>45680</v>
      </c>
      <c r="C227" s="242" t="str">
        <f t="shared" si="9"/>
        <v>Jan-25</v>
      </c>
      <c r="D227" t="s">
        <v>1739</v>
      </c>
      <c r="E227" s="370">
        <v>6589</v>
      </c>
      <c r="F227" s="65">
        <v>4571</v>
      </c>
      <c r="G227" s="10" t="s">
        <v>931</v>
      </c>
      <c r="H227" s="373">
        <v>0</v>
      </c>
      <c r="I227" s="369">
        <f t="shared" ref="I227:I276" si="12">F227</f>
        <v>4571</v>
      </c>
    </row>
    <row r="228" spans="2:9" x14ac:dyDescent="0.3">
      <c r="B228" s="43">
        <v>45680</v>
      </c>
      <c r="C228" s="242" t="str">
        <f t="shared" si="9"/>
        <v>Jan-25</v>
      </c>
      <c r="D228" t="s">
        <v>1739</v>
      </c>
      <c r="E228" s="370">
        <v>6591</v>
      </c>
      <c r="F228" s="65">
        <v>1992</v>
      </c>
      <c r="G228" s="10" t="s">
        <v>1121</v>
      </c>
      <c r="H228" s="373">
        <v>0</v>
      </c>
      <c r="I228" s="369">
        <f t="shared" si="12"/>
        <v>1992</v>
      </c>
    </row>
    <row r="229" spans="2:9" x14ac:dyDescent="0.3">
      <c r="B229" s="43">
        <v>45681</v>
      </c>
      <c r="C229" s="242" t="str">
        <f t="shared" si="9"/>
        <v>Jan-25</v>
      </c>
      <c r="D229" t="s">
        <v>1739</v>
      </c>
      <c r="E229" s="370">
        <v>6592</v>
      </c>
      <c r="F229" s="65">
        <v>1984</v>
      </c>
      <c r="G229" s="10" t="s">
        <v>1121</v>
      </c>
      <c r="H229" s="373">
        <v>0</v>
      </c>
      <c r="I229" s="369">
        <f t="shared" si="12"/>
        <v>1984</v>
      </c>
    </row>
    <row r="230" spans="2:9" x14ac:dyDescent="0.3">
      <c r="B230" s="43">
        <v>45682</v>
      </c>
      <c r="C230" s="242" t="str">
        <f t="shared" si="9"/>
        <v>Jan-25</v>
      </c>
      <c r="D230" t="s">
        <v>999</v>
      </c>
      <c r="E230" s="370">
        <v>6512</v>
      </c>
      <c r="F230" s="65">
        <v>922</v>
      </c>
      <c r="G230" s="10" t="s">
        <v>933</v>
      </c>
      <c r="H230" s="373">
        <v>0</v>
      </c>
      <c r="I230" s="369">
        <f t="shared" si="12"/>
        <v>922</v>
      </c>
    </row>
    <row r="231" spans="2:9" x14ac:dyDescent="0.3">
      <c r="B231" s="43">
        <v>45682</v>
      </c>
      <c r="C231" s="242" t="str">
        <f t="shared" si="9"/>
        <v>Jan-25</v>
      </c>
      <c r="D231" t="s">
        <v>1739</v>
      </c>
      <c r="E231" s="370">
        <v>6593</v>
      </c>
      <c r="F231" s="65">
        <v>1848</v>
      </c>
      <c r="G231" s="10" t="s">
        <v>1121</v>
      </c>
      <c r="H231" s="373">
        <v>0</v>
      </c>
      <c r="I231" s="369">
        <f t="shared" si="12"/>
        <v>1848</v>
      </c>
    </row>
    <row r="232" spans="2:9" x14ac:dyDescent="0.3">
      <c r="B232" s="43">
        <v>45685</v>
      </c>
      <c r="C232" s="242" t="str">
        <f t="shared" si="9"/>
        <v>Jan-25</v>
      </c>
      <c r="D232" t="s">
        <v>999</v>
      </c>
      <c r="E232" s="370">
        <v>6506</v>
      </c>
      <c r="F232" s="65">
        <v>1335</v>
      </c>
      <c r="G232" s="10" t="s">
        <v>929</v>
      </c>
      <c r="H232" s="373">
        <v>0</v>
      </c>
      <c r="I232" s="369">
        <f t="shared" si="12"/>
        <v>1335</v>
      </c>
    </row>
    <row r="233" spans="2:9" x14ac:dyDescent="0.3">
      <c r="B233" s="43">
        <v>45685</v>
      </c>
      <c r="C233" s="242" t="str">
        <f t="shared" si="9"/>
        <v>Jan-25</v>
      </c>
      <c r="D233" t="s">
        <v>999</v>
      </c>
      <c r="E233" s="370">
        <v>6506</v>
      </c>
      <c r="F233" s="65">
        <v>1933</v>
      </c>
      <c r="G233" s="10" t="s">
        <v>932</v>
      </c>
      <c r="H233" s="373">
        <v>0</v>
      </c>
      <c r="I233" s="369">
        <f t="shared" si="12"/>
        <v>1933</v>
      </c>
    </row>
    <row r="234" spans="2:9" x14ac:dyDescent="0.3">
      <c r="B234" s="43">
        <v>45686</v>
      </c>
      <c r="C234" s="242" t="str">
        <f t="shared" si="9"/>
        <v>Jan-25</v>
      </c>
      <c r="D234" t="s">
        <v>1739</v>
      </c>
      <c r="E234" s="370">
        <v>6712</v>
      </c>
      <c r="F234" s="65">
        <v>1056</v>
      </c>
      <c r="G234" s="10" t="s">
        <v>1121</v>
      </c>
      <c r="H234" s="373">
        <v>0</v>
      </c>
      <c r="I234" s="369">
        <f t="shared" si="12"/>
        <v>1056</v>
      </c>
    </row>
    <row r="235" spans="2:9" x14ac:dyDescent="0.3">
      <c r="B235" s="43">
        <v>45688</v>
      </c>
      <c r="C235" s="242" t="str">
        <f t="shared" si="9"/>
        <v>Jan-25</v>
      </c>
      <c r="D235" s="365" t="s">
        <v>1364</v>
      </c>
      <c r="E235" s="374">
        <v>45658</v>
      </c>
      <c r="F235" s="65">
        <v>19989.34</v>
      </c>
      <c r="G235" s="11" t="s">
        <v>2179</v>
      </c>
      <c r="H235" s="368">
        <v>0</v>
      </c>
      <c r="I235" s="369">
        <f t="shared" si="12"/>
        <v>19989.34</v>
      </c>
    </row>
    <row r="236" spans="2:9" x14ac:dyDescent="0.3">
      <c r="B236" s="43">
        <v>45688</v>
      </c>
      <c r="C236" s="242" t="str">
        <f t="shared" si="9"/>
        <v>Jan-25</v>
      </c>
      <c r="D236" t="s">
        <v>1013</v>
      </c>
      <c r="E236" s="371">
        <v>45658</v>
      </c>
      <c r="F236" s="65">
        <v>155000</v>
      </c>
      <c r="G236" s="10" t="s">
        <v>1123</v>
      </c>
      <c r="H236" s="373">
        <v>0</v>
      </c>
      <c r="I236" s="369">
        <f t="shared" si="12"/>
        <v>155000</v>
      </c>
    </row>
    <row r="237" spans="2:9" x14ac:dyDescent="0.3">
      <c r="B237" s="43">
        <v>45688</v>
      </c>
      <c r="C237" s="242" t="str">
        <f t="shared" si="9"/>
        <v>Jan-25</v>
      </c>
      <c r="D237" t="s">
        <v>1003</v>
      </c>
      <c r="E237" s="371">
        <v>45658</v>
      </c>
      <c r="F237" s="65">
        <v>780</v>
      </c>
      <c r="G237" s="10" t="s">
        <v>937</v>
      </c>
      <c r="H237" s="373">
        <v>0</v>
      </c>
      <c r="I237" s="369">
        <f t="shared" si="12"/>
        <v>780</v>
      </c>
    </row>
    <row r="238" spans="2:9" x14ac:dyDescent="0.3">
      <c r="B238" s="43">
        <v>45688</v>
      </c>
      <c r="C238" s="242" t="str">
        <f t="shared" si="9"/>
        <v>Jan-25</v>
      </c>
      <c r="D238" t="s">
        <v>1000</v>
      </c>
      <c r="E238" s="371">
        <v>45658</v>
      </c>
      <c r="F238" s="65">
        <v>20130</v>
      </c>
      <c r="G238" s="10" t="s">
        <v>941</v>
      </c>
      <c r="H238" s="373">
        <v>0</v>
      </c>
      <c r="I238" s="369">
        <f t="shared" si="12"/>
        <v>20130</v>
      </c>
    </row>
    <row r="239" spans="2:9" x14ac:dyDescent="0.3">
      <c r="B239" s="43">
        <v>45688</v>
      </c>
      <c r="C239" s="242" t="str">
        <f t="shared" si="9"/>
        <v>Jan-25</v>
      </c>
      <c r="D239" t="s">
        <v>1000</v>
      </c>
      <c r="E239" s="371">
        <v>45658</v>
      </c>
      <c r="F239" s="65">
        <v>710</v>
      </c>
      <c r="G239" s="10" t="s">
        <v>941</v>
      </c>
      <c r="H239" s="373">
        <v>0</v>
      </c>
      <c r="I239" s="369">
        <f t="shared" si="12"/>
        <v>710</v>
      </c>
    </row>
    <row r="240" spans="2:9" x14ac:dyDescent="0.3">
      <c r="B240" s="43">
        <v>45688</v>
      </c>
      <c r="C240" s="242" t="str">
        <f t="shared" si="9"/>
        <v>Jan-25</v>
      </c>
      <c r="D240" t="s">
        <v>1014</v>
      </c>
      <c r="E240" s="371">
        <v>45658</v>
      </c>
      <c r="F240" s="65">
        <v>19194</v>
      </c>
      <c r="G240" s="10" t="s">
        <v>1123</v>
      </c>
      <c r="H240" s="373">
        <v>0</v>
      </c>
      <c r="I240" s="369">
        <f t="shared" si="12"/>
        <v>19194</v>
      </c>
    </row>
    <row r="241" spans="2:9" x14ac:dyDescent="0.3">
      <c r="B241" s="43">
        <v>45688</v>
      </c>
      <c r="C241" s="242" t="str">
        <f t="shared" si="9"/>
        <v>Jan-25</v>
      </c>
      <c r="D241" t="s">
        <v>1004</v>
      </c>
      <c r="E241" s="371">
        <v>45658</v>
      </c>
      <c r="F241" s="65">
        <v>250000</v>
      </c>
      <c r="G241" s="10" t="s">
        <v>1122</v>
      </c>
      <c r="H241" s="373">
        <v>0</v>
      </c>
      <c r="I241" s="369">
        <f t="shared" si="12"/>
        <v>250000</v>
      </c>
    </row>
    <row r="242" spans="2:9" x14ac:dyDescent="0.3">
      <c r="B242" s="43">
        <v>45689</v>
      </c>
      <c r="C242" s="242" t="str">
        <f t="shared" si="9"/>
        <v>Feb-25</v>
      </c>
      <c r="D242" t="s">
        <v>2463</v>
      </c>
      <c r="E242" s="370" t="s">
        <v>2512</v>
      </c>
      <c r="F242" s="65">
        <v>58000</v>
      </c>
      <c r="G242" s="10" t="s">
        <v>2465</v>
      </c>
      <c r="H242" s="373">
        <v>0</v>
      </c>
      <c r="I242" s="369">
        <f t="shared" si="12"/>
        <v>58000</v>
      </c>
    </row>
    <row r="243" spans="2:9" x14ac:dyDescent="0.3">
      <c r="B243" s="43">
        <v>45691</v>
      </c>
      <c r="C243" s="242" t="str">
        <f t="shared" si="9"/>
        <v>Feb-25</v>
      </c>
      <c r="D243" t="s">
        <v>2451</v>
      </c>
      <c r="E243" s="370" t="s">
        <v>2513</v>
      </c>
      <c r="F243" s="65">
        <v>21493</v>
      </c>
      <c r="G243" s="10" t="s">
        <v>932</v>
      </c>
      <c r="H243" s="373">
        <v>0</v>
      </c>
      <c r="I243" s="369">
        <f t="shared" si="12"/>
        <v>21493</v>
      </c>
    </row>
    <row r="244" spans="2:9" x14ac:dyDescent="0.3">
      <c r="B244" s="43">
        <v>45691</v>
      </c>
      <c r="C244" s="242" t="str">
        <f t="shared" si="9"/>
        <v>Feb-25</v>
      </c>
      <c r="D244" t="s">
        <v>2451</v>
      </c>
      <c r="E244" s="370" t="s">
        <v>2514</v>
      </c>
      <c r="F244" s="65">
        <v>25015</v>
      </c>
      <c r="G244" s="10" t="s">
        <v>932</v>
      </c>
      <c r="H244" s="373">
        <v>0</v>
      </c>
      <c r="I244" s="369">
        <f t="shared" si="12"/>
        <v>25015</v>
      </c>
    </row>
    <row r="245" spans="2:9" x14ac:dyDescent="0.3">
      <c r="B245" s="43">
        <v>45691</v>
      </c>
      <c r="C245" s="242" t="str">
        <f t="shared" si="9"/>
        <v>Feb-25</v>
      </c>
      <c r="D245" t="s">
        <v>2451</v>
      </c>
      <c r="E245" s="370" t="s">
        <v>2513</v>
      </c>
      <c r="F245" s="65">
        <v>-16935</v>
      </c>
      <c r="G245" s="10" t="s">
        <v>932</v>
      </c>
      <c r="H245" s="373">
        <v>0</v>
      </c>
      <c r="I245" s="369">
        <f t="shared" si="12"/>
        <v>-16935</v>
      </c>
    </row>
    <row r="246" spans="2:9" x14ac:dyDescent="0.3">
      <c r="B246" s="43">
        <v>45692</v>
      </c>
      <c r="C246" s="242" t="str">
        <f t="shared" si="9"/>
        <v>Feb-25</v>
      </c>
      <c r="D246" t="s">
        <v>2451</v>
      </c>
      <c r="E246" s="370">
        <v>6673</v>
      </c>
      <c r="F246" s="65">
        <v>1857</v>
      </c>
      <c r="G246" s="10" t="s">
        <v>929</v>
      </c>
      <c r="H246" s="373">
        <v>0</v>
      </c>
      <c r="I246" s="369">
        <f t="shared" si="12"/>
        <v>1857</v>
      </c>
    </row>
    <row r="247" spans="2:9" x14ac:dyDescent="0.3">
      <c r="B247" s="43">
        <v>45693</v>
      </c>
      <c r="C247" s="242" t="str">
        <f t="shared" si="9"/>
        <v>Feb-25</v>
      </c>
      <c r="D247" t="s">
        <v>2451</v>
      </c>
      <c r="E247" s="370">
        <v>6672</v>
      </c>
      <c r="F247" s="65">
        <v>2359.7600000000002</v>
      </c>
      <c r="G247" s="10" t="s">
        <v>931</v>
      </c>
      <c r="H247" s="373">
        <v>0</v>
      </c>
      <c r="I247" s="369">
        <f t="shared" si="12"/>
        <v>2359.7600000000002</v>
      </c>
    </row>
    <row r="248" spans="2:9" x14ac:dyDescent="0.3">
      <c r="B248" s="43">
        <v>45693</v>
      </c>
      <c r="C248" s="242" t="str">
        <f t="shared" si="9"/>
        <v>Feb-25</v>
      </c>
      <c r="D248" t="s">
        <v>2451</v>
      </c>
      <c r="E248" s="370">
        <v>6672</v>
      </c>
      <c r="F248" s="65">
        <v>582.79999999999995</v>
      </c>
      <c r="G248" s="10" t="s">
        <v>933</v>
      </c>
      <c r="H248" s="373">
        <v>0</v>
      </c>
      <c r="I248" s="369">
        <f t="shared" si="12"/>
        <v>582.79999999999995</v>
      </c>
    </row>
    <row r="249" spans="2:9" x14ac:dyDescent="0.3">
      <c r="B249" s="43">
        <v>45695</v>
      </c>
      <c r="C249" s="242" t="str">
        <f t="shared" si="9"/>
        <v>Feb-25</v>
      </c>
      <c r="D249" t="s">
        <v>1530</v>
      </c>
      <c r="E249" s="370" t="s">
        <v>2515</v>
      </c>
      <c r="F249" s="65">
        <v>9493</v>
      </c>
      <c r="G249" s="10" t="s">
        <v>932</v>
      </c>
      <c r="H249" s="373">
        <v>0</v>
      </c>
      <c r="I249" s="369">
        <f t="shared" si="12"/>
        <v>9493</v>
      </c>
    </row>
    <row r="250" spans="2:9" x14ac:dyDescent="0.3">
      <c r="B250" s="43">
        <v>45697</v>
      </c>
      <c r="C250" s="242" t="str">
        <f t="shared" si="9"/>
        <v>Feb-25</v>
      </c>
      <c r="D250" t="s">
        <v>1530</v>
      </c>
      <c r="E250" s="370">
        <v>6897</v>
      </c>
      <c r="F250" s="65">
        <v>3348</v>
      </c>
      <c r="G250" s="10" t="s">
        <v>929</v>
      </c>
      <c r="H250" s="373">
        <v>0</v>
      </c>
      <c r="I250" s="369">
        <f t="shared" si="12"/>
        <v>3348</v>
      </c>
    </row>
    <row r="251" spans="2:9" x14ac:dyDescent="0.3">
      <c r="B251" s="43">
        <v>45698</v>
      </c>
      <c r="C251" s="242" t="str">
        <f t="shared" si="9"/>
        <v>Feb-25</v>
      </c>
      <c r="D251" t="s">
        <v>999</v>
      </c>
      <c r="E251" s="370" t="s">
        <v>1107</v>
      </c>
      <c r="F251" s="65">
        <v>2300</v>
      </c>
      <c r="G251" s="10" t="s">
        <v>936</v>
      </c>
      <c r="H251" s="373">
        <v>0</v>
      </c>
      <c r="I251" s="369">
        <f t="shared" si="12"/>
        <v>2300</v>
      </c>
    </row>
    <row r="252" spans="2:9" x14ac:dyDescent="0.3">
      <c r="B252" s="43">
        <v>45698</v>
      </c>
      <c r="C252" s="242" t="str">
        <f t="shared" si="9"/>
        <v>Feb-25</v>
      </c>
      <c r="D252" t="s">
        <v>999</v>
      </c>
      <c r="E252" s="370" t="s">
        <v>1107</v>
      </c>
      <c r="F252" s="65">
        <v>2430</v>
      </c>
      <c r="G252" s="10" t="s">
        <v>936</v>
      </c>
      <c r="H252" s="373">
        <v>0</v>
      </c>
      <c r="I252" s="369">
        <f t="shared" si="12"/>
        <v>2430</v>
      </c>
    </row>
    <row r="253" spans="2:9" x14ac:dyDescent="0.3">
      <c r="B253" s="43">
        <v>45698</v>
      </c>
      <c r="C253" s="242" t="str">
        <f t="shared" si="9"/>
        <v>Feb-25</v>
      </c>
      <c r="D253" t="s">
        <v>999</v>
      </c>
      <c r="E253" s="370" t="s">
        <v>1107</v>
      </c>
      <c r="F253" s="65">
        <v>9360</v>
      </c>
      <c r="G253" s="10" t="s">
        <v>936</v>
      </c>
      <c r="H253" s="373">
        <v>0</v>
      </c>
      <c r="I253" s="369">
        <f t="shared" si="12"/>
        <v>9360</v>
      </c>
    </row>
    <row r="254" spans="2:9" x14ac:dyDescent="0.3">
      <c r="B254" s="43">
        <v>45701</v>
      </c>
      <c r="C254" s="242" t="str">
        <f t="shared" si="9"/>
        <v>Feb-25</v>
      </c>
      <c r="D254" t="s">
        <v>1739</v>
      </c>
      <c r="E254" s="370">
        <v>6713</v>
      </c>
      <c r="F254" s="65">
        <v>672</v>
      </c>
      <c r="G254" s="10" t="s">
        <v>1121</v>
      </c>
      <c r="H254" s="373">
        <v>0</v>
      </c>
      <c r="I254" s="369">
        <f t="shared" si="12"/>
        <v>672</v>
      </c>
    </row>
    <row r="255" spans="2:9" x14ac:dyDescent="0.3">
      <c r="B255" s="43">
        <v>45702</v>
      </c>
      <c r="C255" s="242" t="str">
        <f t="shared" si="9"/>
        <v>Feb-25</v>
      </c>
      <c r="D255" t="s">
        <v>999</v>
      </c>
      <c r="E255" s="370">
        <v>6684</v>
      </c>
      <c r="F255" s="65">
        <v>2159</v>
      </c>
      <c r="G255" s="10" t="s">
        <v>932</v>
      </c>
      <c r="H255" s="373">
        <v>0</v>
      </c>
      <c r="I255" s="369">
        <f t="shared" si="12"/>
        <v>2159</v>
      </c>
    </row>
    <row r="256" spans="2:9" x14ac:dyDescent="0.3">
      <c r="B256" s="43">
        <v>45702</v>
      </c>
      <c r="C256" s="242" t="str">
        <f t="shared" si="9"/>
        <v>Feb-25</v>
      </c>
      <c r="D256" t="s">
        <v>999</v>
      </c>
      <c r="E256" s="370">
        <v>6684</v>
      </c>
      <c r="F256" s="65">
        <v>974</v>
      </c>
      <c r="G256" s="10" t="s">
        <v>929</v>
      </c>
      <c r="H256" s="373">
        <v>0</v>
      </c>
      <c r="I256" s="369">
        <f t="shared" si="12"/>
        <v>974</v>
      </c>
    </row>
    <row r="257" spans="2:9" x14ac:dyDescent="0.3">
      <c r="B257" s="43">
        <v>45712</v>
      </c>
      <c r="C257" s="242" t="str">
        <f t="shared" si="9"/>
        <v>Feb-25</v>
      </c>
      <c r="D257" t="s">
        <v>1739</v>
      </c>
      <c r="E257" s="370">
        <v>6912</v>
      </c>
      <c r="F257" s="65">
        <v>1549</v>
      </c>
      <c r="G257" s="10" t="s">
        <v>933</v>
      </c>
      <c r="H257" s="373">
        <v>0</v>
      </c>
      <c r="I257" s="369">
        <f t="shared" si="12"/>
        <v>1549</v>
      </c>
    </row>
    <row r="258" spans="2:9" x14ac:dyDescent="0.3">
      <c r="B258" s="43">
        <v>45712</v>
      </c>
      <c r="C258" s="242" t="str">
        <f t="shared" si="9"/>
        <v>Feb-25</v>
      </c>
      <c r="D258" t="s">
        <v>1739</v>
      </c>
      <c r="E258" s="370">
        <v>6909</v>
      </c>
      <c r="F258" s="65">
        <v>1984</v>
      </c>
      <c r="G258" s="10" t="s">
        <v>1121</v>
      </c>
      <c r="H258" s="373">
        <v>0</v>
      </c>
      <c r="I258" s="369">
        <f t="shared" si="12"/>
        <v>1984</v>
      </c>
    </row>
    <row r="259" spans="2:9" x14ac:dyDescent="0.3">
      <c r="B259" s="43">
        <v>45713</v>
      </c>
      <c r="C259" s="242" t="str">
        <f t="shared" si="9"/>
        <v>Feb-25</v>
      </c>
      <c r="D259" t="s">
        <v>1739</v>
      </c>
      <c r="E259" s="370">
        <v>6910</v>
      </c>
      <c r="F259" s="65">
        <v>1992</v>
      </c>
      <c r="G259" s="10" t="s">
        <v>1121</v>
      </c>
      <c r="H259" s="373">
        <v>0</v>
      </c>
      <c r="I259" s="369">
        <f t="shared" si="12"/>
        <v>1992</v>
      </c>
    </row>
    <row r="260" spans="2:9" x14ac:dyDescent="0.3">
      <c r="B260" s="43">
        <v>45714</v>
      </c>
      <c r="C260" s="242" t="str">
        <f t="shared" si="9"/>
        <v>Feb-25</v>
      </c>
      <c r="D260" t="s">
        <v>1739</v>
      </c>
      <c r="E260" s="370">
        <v>6911</v>
      </c>
      <c r="F260" s="65">
        <v>1136</v>
      </c>
      <c r="G260" s="10" t="s">
        <v>1121</v>
      </c>
      <c r="H260" s="373">
        <v>0</v>
      </c>
      <c r="I260" s="369">
        <f t="shared" si="12"/>
        <v>1136</v>
      </c>
    </row>
    <row r="261" spans="2:9" x14ac:dyDescent="0.3">
      <c r="B261" s="43">
        <v>45715</v>
      </c>
      <c r="C261" s="242" t="str">
        <f t="shared" ref="C261:C324" si="13">TEXT(B261,"mmm-yy")</f>
        <v>Feb-25</v>
      </c>
      <c r="D261" t="s">
        <v>1739</v>
      </c>
      <c r="E261" s="370">
        <v>6913</v>
      </c>
      <c r="F261" s="65">
        <v>325</v>
      </c>
      <c r="G261" s="10" t="s">
        <v>929</v>
      </c>
      <c r="H261" s="373">
        <v>0</v>
      </c>
      <c r="I261" s="369">
        <f t="shared" si="12"/>
        <v>325</v>
      </c>
    </row>
    <row r="262" spans="2:9" x14ac:dyDescent="0.3">
      <c r="B262" s="43">
        <v>45715</v>
      </c>
      <c r="C262" s="242" t="str">
        <f t="shared" si="13"/>
        <v>Feb-25</v>
      </c>
      <c r="D262" t="s">
        <v>2451</v>
      </c>
      <c r="E262" s="370" t="s">
        <v>2516</v>
      </c>
      <c r="F262" s="65">
        <v>9410</v>
      </c>
      <c r="G262" s="10" t="s">
        <v>932</v>
      </c>
      <c r="H262" s="373">
        <v>0</v>
      </c>
      <c r="I262" s="369">
        <f t="shared" si="12"/>
        <v>9410</v>
      </c>
    </row>
    <row r="263" spans="2:9" x14ac:dyDescent="0.3">
      <c r="B263" s="43">
        <v>45715</v>
      </c>
      <c r="C263" s="242" t="str">
        <f t="shared" si="13"/>
        <v>Feb-25</v>
      </c>
      <c r="D263" t="s">
        <v>1739</v>
      </c>
      <c r="E263" s="370" t="s">
        <v>2517</v>
      </c>
      <c r="F263" s="65">
        <v>15797</v>
      </c>
      <c r="G263" s="10" t="s">
        <v>932</v>
      </c>
      <c r="H263" s="373">
        <v>0</v>
      </c>
      <c r="I263" s="369">
        <f t="shared" si="12"/>
        <v>15797</v>
      </c>
    </row>
    <row r="264" spans="2:9" x14ac:dyDescent="0.3">
      <c r="B264" s="43">
        <v>45716</v>
      </c>
      <c r="C264" s="242" t="str">
        <f t="shared" si="13"/>
        <v>Feb-25</v>
      </c>
      <c r="D264" s="365" t="s">
        <v>1364</v>
      </c>
      <c r="E264" s="374">
        <v>45689</v>
      </c>
      <c r="F264" s="65">
        <v>23631.91</v>
      </c>
      <c r="G264" s="11" t="s">
        <v>2179</v>
      </c>
      <c r="H264" s="368">
        <v>0</v>
      </c>
      <c r="I264" s="369">
        <f t="shared" si="12"/>
        <v>23631.91</v>
      </c>
    </row>
    <row r="265" spans="2:9" x14ac:dyDescent="0.3">
      <c r="B265" s="43">
        <v>45716</v>
      </c>
      <c r="C265" s="242" t="str">
        <f t="shared" si="13"/>
        <v>Feb-25</v>
      </c>
      <c r="D265" t="s">
        <v>1739</v>
      </c>
      <c r="E265" s="370">
        <v>6914</v>
      </c>
      <c r="F265" s="65">
        <v>556</v>
      </c>
      <c r="G265" s="10" t="s">
        <v>929</v>
      </c>
      <c r="H265" s="373">
        <v>0</v>
      </c>
      <c r="I265" s="369">
        <f t="shared" si="12"/>
        <v>556</v>
      </c>
    </row>
    <row r="266" spans="2:9" x14ac:dyDescent="0.3">
      <c r="B266" s="43">
        <v>45716</v>
      </c>
      <c r="C266" s="242" t="str">
        <f t="shared" si="13"/>
        <v>Feb-25</v>
      </c>
      <c r="D266" t="s">
        <v>2451</v>
      </c>
      <c r="E266" s="370" t="s">
        <v>2518</v>
      </c>
      <c r="F266" s="65">
        <v>13972</v>
      </c>
      <c r="G266" s="10" t="s">
        <v>932</v>
      </c>
      <c r="H266" s="373">
        <v>0</v>
      </c>
      <c r="I266" s="369">
        <f t="shared" si="12"/>
        <v>13972</v>
      </c>
    </row>
    <row r="267" spans="2:9" x14ac:dyDescent="0.3">
      <c r="B267" s="43">
        <v>45716</v>
      </c>
      <c r="C267" s="242" t="str">
        <f t="shared" si="13"/>
        <v>Feb-25</v>
      </c>
      <c r="D267" t="s">
        <v>1014</v>
      </c>
      <c r="E267" s="371">
        <v>45689</v>
      </c>
      <c r="F267" s="65">
        <v>35000</v>
      </c>
      <c r="G267" s="10" t="s">
        <v>1123</v>
      </c>
      <c r="H267" s="373">
        <v>0</v>
      </c>
      <c r="I267" s="369">
        <f t="shared" si="12"/>
        <v>35000</v>
      </c>
    </row>
    <row r="268" spans="2:9" x14ac:dyDescent="0.3">
      <c r="B268" s="43">
        <v>45716</v>
      </c>
      <c r="C268" s="242" t="str">
        <f t="shared" si="13"/>
        <v>Feb-25</v>
      </c>
      <c r="D268" t="s">
        <v>1013</v>
      </c>
      <c r="E268" s="371">
        <v>45689</v>
      </c>
      <c r="F268" s="65">
        <v>155000</v>
      </c>
      <c r="G268" s="10" t="s">
        <v>1123</v>
      </c>
      <c r="H268" s="373">
        <v>0</v>
      </c>
      <c r="I268" s="369">
        <f t="shared" si="12"/>
        <v>155000</v>
      </c>
    </row>
    <row r="269" spans="2:9" x14ac:dyDescent="0.3">
      <c r="B269" s="43">
        <v>45716</v>
      </c>
      <c r="C269" s="242" t="str">
        <f t="shared" si="13"/>
        <v>Feb-25</v>
      </c>
      <c r="D269" t="s">
        <v>1004</v>
      </c>
      <c r="E269" s="371">
        <v>45689</v>
      </c>
      <c r="F269" s="65">
        <v>250000</v>
      </c>
      <c r="G269" s="10" t="s">
        <v>1122</v>
      </c>
      <c r="H269" s="373">
        <v>0</v>
      </c>
      <c r="I269" s="369">
        <f t="shared" si="12"/>
        <v>250000</v>
      </c>
    </row>
    <row r="270" spans="2:9" x14ac:dyDescent="0.3">
      <c r="B270" s="43">
        <v>45716</v>
      </c>
      <c r="C270" s="242" t="str">
        <f t="shared" si="13"/>
        <v>Feb-25</v>
      </c>
      <c r="D270" t="s">
        <v>1000</v>
      </c>
      <c r="E270" s="371">
        <v>45689</v>
      </c>
      <c r="F270" s="65">
        <v>20220</v>
      </c>
      <c r="G270" s="10" t="s">
        <v>941</v>
      </c>
      <c r="H270" s="373">
        <v>0</v>
      </c>
      <c r="I270" s="369">
        <f t="shared" si="12"/>
        <v>20220</v>
      </c>
    </row>
    <row r="271" spans="2:9" x14ac:dyDescent="0.3">
      <c r="B271" s="43">
        <v>45716</v>
      </c>
      <c r="C271" s="242" t="str">
        <f t="shared" si="13"/>
        <v>Feb-25</v>
      </c>
      <c r="D271" t="s">
        <v>1003</v>
      </c>
      <c r="E271" s="371">
        <v>45689</v>
      </c>
      <c r="F271" s="65">
        <v>195</v>
      </c>
      <c r="G271" s="10" t="s">
        <v>937</v>
      </c>
      <c r="H271" s="373">
        <v>0</v>
      </c>
      <c r="I271" s="369">
        <f t="shared" si="12"/>
        <v>195</v>
      </c>
    </row>
    <row r="272" spans="2:9" x14ac:dyDescent="0.3">
      <c r="B272" s="43">
        <v>45716</v>
      </c>
      <c r="C272" s="242" t="str">
        <f t="shared" si="13"/>
        <v>Feb-25</v>
      </c>
      <c r="D272" t="s">
        <v>1000</v>
      </c>
      <c r="E272" s="371">
        <v>45689</v>
      </c>
      <c r="F272" s="65">
        <v>655</v>
      </c>
      <c r="G272" s="10" t="s">
        <v>941</v>
      </c>
      <c r="H272" s="373">
        <v>0</v>
      </c>
      <c r="I272" s="369">
        <f t="shared" si="12"/>
        <v>655</v>
      </c>
    </row>
    <row r="273" spans="2:9" x14ac:dyDescent="0.3">
      <c r="B273" s="43">
        <v>45717</v>
      </c>
      <c r="C273" s="242" t="str">
        <f t="shared" si="13"/>
        <v>Mar-25</v>
      </c>
      <c r="D273" t="s">
        <v>2463</v>
      </c>
      <c r="E273" s="370" t="s">
        <v>2519</v>
      </c>
      <c r="F273" s="65">
        <v>58000</v>
      </c>
      <c r="G273" s="10" t="s">
        <v>2465</v>
      </c>
      <c r="H273" s="373">
        <v>0</v>
      </c>
      <c r="I273" s="369">
        <f t="shared" si="12"/>
        <v>58000</v>
      </c>
    </row>
    <row r="274" spans="2:9" x14ac:dyDescent="0.3">
      <c r="B274" s="43">
        <v>45723</v>
      </c>
      <c r="C274" s="242" t="str">
        <f t="shared" si="13"/>
        <v>Mar-25</v>
      </c>
      <c r="D274" t="s">
        <v>2178</v>
      </c>
      <c r="E274" s="370">
        <v>7269</v>
      </c>
      <c r="F274" s="65">
        <v>2100</v>
      </c>
      <c r="G274" s="10" t="s">
        <v>1121</v>
      </c>
      <c r="H274" s="373">
        <v>0</v>
      </c>
      <c r="I274" s="369">
        <f t="shared" si="12"/>
        <v>2100</v>
      </c>
    </row>
    <row r="275" spans="2:9" x14ac:dyDescent="0.3">
      <c r="B275" s="43">
        <v>45726</v>
      </c>
      <c r="C275" s="242" t="str">
        <f t="shared" si="13"/>
        <v>Mar-25</v>
      </c>
      <c r="D275" t="s">
        <v>999</v>
      </c>
      <c r="E275" s="370">
        <v>6980</v>
      </c>
      <c r="F275" s="65">
        <v>597</v>
      </c>
      <c r="G275" s="10" t="s">
        <v>929</v>
      </c>
      <c r="H275" s="373">
        <v>0</v>
      </c>
      <c r="I275" s="369">
        <f t="shared" si="12"/>
        <v>597</v>
      </c>
    </row>
    <row r="276" spans="2:9" x14ac:dyDescent="0.3">
      <c r="B276" s="43">
        <v>45726</v>
      </c>
      <c r="C276" s="242" t="str">
        <f t="shared" si="13"/>
        <v>Mar-25</v>
      </c>
      <c r="D276" t="s">
        <v>999</v>
      </c>
      <c r="E276" s="370">
        <v>6980</v>
      </c>
      <c r="F276" s="65">
        <v>1477</v>
      </c>
      <c r="G276" s="10" t="s">
        <v>932</v>
      </c>
      <c r="H276" s="373">
        <v>0</v>
      </c>
      <c r="I276" s="369">
        <f t="shared" si="12"/>
        <v>1477</v>
      </c>
    </row>
    <row r="277" spans="2:9" x14ac:dyDescent="0.3">
      <c r="B277" s="43">
        <v>45733</v>
      </c>
      <c r="C277" s="242" t="str">
        <f t="shared" si="13"/>
        <v>Mar-25</v>
      </c>
      <c r="D277" s="365" t="s">
        <v>1002</v>
      </c>
      <c r="E277" s="366">
        <v>183</v>
      </c>
      <c r="F277" s="65">
        <v>26250</v>
      </c>
      <c r="G277" s="11" t="s">
        <v>943</v>
      </c>
      <c r="H277" s="368">
        <f>F277</f>
        <v>26250</v>
      </c>
      <c r="I277" s="369">
        <v>0</v>
      </c>
    </row>
    <row r="278" spans="2:9" x14ac:dyDescent="0.3">
      <c r="B278" s="43">
        <v>45734</v>
      </c>
      <c r="C278" s="242" t="str">
        <f t="shared" si="13"/>
        <v>Mar-25</v>
      </c>
      <c r="D278" t="s">
        <v>2178</v>
      </c>
      <c r="E278" s="370">
        <v>7272</v>
      </c>
      <c r="F278" s="65">
        <v>2292</v>
      </c>
      <c r="G278" s="10" t="s">
        <v>1121</v>
      </c>
      <c r="H278" s="373">
        <v>0</v>
      </c>
      <c r="I278" s="369">
        <f>F278</f>
        <v>2292</v>
      </c>
    </row>
    <row r="279" spans="2:9" x14ac:dyDescent="0.3">
      <c r="B279" s="43">
        <v>45735</v>
      </c>
      <c r="C279" s="242" t="str">
        <f t="shared" si="13"/>
        <v>Mar-25</v>
      </c>
      <c r="D279" t="s">
        <v>999</v>
      </c>
      <c r="E279" s="370" t="s">
        <v>1118</v>
      </c>
      <c r="F279" s="65">
        <v>3500</v>
      </c>
      <c r="G279" s="10" t="s">
        <v>936</v>
      </c>
      <c r="H279" s="373">
        <v>0</v>
      </c>
      <c r="I279" s="369">
        <f>F279</f>
        <v>3500</v>
      </c>
    </row>
    <row r="280" spans="2:9" x14ac:dyDescent="0.3">
      <c r="B280" s="43">
        <v>45735</v>
      </c>
      <c r="C280" s="242" t="str">
        <f t="shared" si="13"/>
        <v>Mar-25</v>
      </c>
      <c r="D280" t="s">
        <v>999</v>
      </c>
      <c r="E280" s="370" t="s">
        <v>1118</v>
      </c>
      <c r="F280" s="65">
        <v>1300</v>
      </c>
      <c r="G280" s="10" t="s">
        <v>936</v>
      </c>
      <c r="H280" s="373">
        <v>0</v>
      </c>
      <c r="I280" s="369">
        <f>F280</f>
        <v>1300</v>
      </c>
    </row>
    <row r="281" spans="2:9" x14ac:dyDescent="0.3">
      <c r="B281" s="43">
        <v>45735</v>
      </c>
      <c r="C281" s="242" t="str">
        <f t="shared" si="13"/>
        <v>Mar-25</v>
      </c>
      <c r="D281" s="365" t="s">
        <v>1002</v>
      </c>
      <c r="E281" s="366">
        <v>184</v>
      </c>
      <c r="F281" s="65">
        <v>520500</v>
      </c>
      <c r="G281" s="11" t="s">
        <v>943</v>
      </c>
      <c r="H281" s="368">
        <f>F281</f>
        <v>520500</v>
      </c>
      <c r="I281" s="369">
        <v>0</v>
      </c>
    </row>
    <row r="282" spans="2:9" x14ac:dyDescent="0.3">
      <c r="B282" s="43">
        <v>45736</v>
      </c>
      <c r="C282" s="242" t="str">
        <f t="shared" si="13"/>
        <v>Mar-25</v>
      </c>
      <c r="D282" t="s">
        <v>999</v>
      </c>
      <c r="E282" s="370">
        <v>7033</v>
      </c>
      <c r="F282" s="65">
        <v>9322</v>
      </c>
      <c r="G282" s="10" t="s">
        <v>932</v>
      </c>
      <c r="H282" s="373">
        <v>0</v>
      </c>
      <c r="I282" s="369">
        <f t="shared" ref="I282:I345" si="14">F282</f>
        <v>9322</v>
      </c>
    </row>
    <row r="283" spans="2:9" x14ac:dyDescent="0.3">
      <c r="B283" s="43">
        <v>45736</v>
      </c>
      <c r="C283" s="242" t="str">
        <f t="shared" si="13"/>
        <v>Mar-25</v>
      </c>
      <c r="D283" t="s">
        <v>999</v>
      </c>
      <c r="E283" s="370">
        <v>7073</v>
      </c>
      <c r="F283" s="65">
        <v>4720</v>
      </c>
      <c r="G283" s="10" t="s">
        <v>931</v>
      </c>
      <c r="H283" s="373">
        <v>0</v>
      </c>
      <c r="I283" s="369">
        <f t="shared" si="14"/>
        <v>4720</v>
      </c>
    </row>
    <row r="284" spans="2:9" x14ac:dyDescent="0.3">
      <c r="B284" s="43">
        <v>45737</v>
      </c>
      <c r="C284" s="242" t="str">
        <f t="shared" si="13"/>
        <v>Mar-25</v>
      </c>
      <c r="D284" t="s">
        <v>999</v>
      </c>
      <c r="E284" s="370">
        <v>7048</v>
      </c>
      <c r="F284" s="65">
        <v>1430</v>
      </c>
      <c r="G284" s="10" t="s">
        <v>933</v>
      </c>
      <c r="H284" s="373">
        <v>0</v>
      </c>
      <c r="I284" s="369">
        <f t="shared" si="14"/>
        <v>1430</v>
      </c>
    </row>
    <row r="285" spans="2:9" x14ac:dyDescent="0.3">
      <c r="B285" s="43">
        <v>45737</v>
      </c>
      <c r="C285" s="242" t="str">
        <f t="shared" si="13"/>
        <v>Mar-25</v>
      </c>
      <c r="D285" t="s">
        <v>999</v>
      </c>
      <c r="E285" s="370">
        <v>7052</v>
      </c>
      <c r="F285" s="65">
        <v>2135</v>
      </c>
      <c r="G285" s="10" t="s">
        <v>929</v>
      </c>
      <c r="H285" s="373">
        <v>0</v>
      </c>
      <c r="I285" s="369">
        <f t="shared" si="14"/>
        <v>2135</v>
      </c>
    </row>
    <row r="286" spans="2:9" x14ac:dyDescent="0.3">
      <c r="B286" s="43">
        <v>45744</v>
      </c>
      <c r="C286" s="242" t="str">
        <f t="shared" si="13"/>
        <v>Mar-25</v>
      </c>
      <c r="D286" t="s">
        <v>1739</v>
      </c>
      <c r="E286" s="370">
        <v>7197</v>
      </c>
      <c r="F286" s="65">
        <v>3976</v>
      </c>
      <c r="G286" s="10" t="s">
        <v>1121</v>
      </c>
      <c r="H286" s="373">
        <v>0</v>
      </c>
      <c r="I286" s="369">
        <f t="shared" si="14"/>
        <v>3976</v>
      </c>
    </row>
    <row r="287" spans="2:9" x14ac:dyDescent="0.3">
      <c r="B287" s="43">
        <v>45747</v>
      </c>
      <c r="C287" s="242" t="str">
        <f t="shared" si="13"/>
        <v>Mar-25</v>
      </c>
      <c r="D287" s="365" t="s">
        <v>1364</v>
      </c>
      <c r="E287" s="374">
        <v>45717</v>
      </c>
      <c r="F287" s="65">
        <v>26163.9</v>
      </c>
      <c r="G287" s="11" t="s">
        <v>2179</v>
      </c>
      <c r="H287" s="368">
        <v>0</v>
      </c>
      <c r="I287" s="369">
        <f t="shared" si="14"/>
        <v>26163.9</v>
      </c>
    </row>
    <row r="288" spans="2:9" x14ac:dyDescent="0.3">
      <c r="B288" s="43">
        <v>45747</v>
      </c>
      <c r="C288" s="242" t="str">
        <f t="shared" si="13"/>
        <v>Mar-25</v>
      </c>
      <c r="D288" t="s">
        <v>999</v>
      </c>
      <c r="E288" s="370" t="s">
        <v>1120</v>
      </c>
      <c r="F288" s="65">
        <v>5480</v>
      </c>
      <c r="G288" s="10" t="s">
        <v>936</v>
      </c>
      <c r="H288" s="373">
        <v>0</v>
      </c>
      <c r="I288" s="369">
        <f t="shared" si="14"/>
        <v>5480</v>
      </c>
    </row>
    <row r="289" spans="2:9" x14ac:dyDescent="0.3">
      <c r="B289" s="43">
        <v>45747</v>
      </c>
      <c r="C289" s="242" t="str">
        <f t="shared" si="13"/>
        <v>Mar-25</v>
      </c>
      <c r="D289" t="s">
        <v>1014</v>
      </c>
      <c r="E289" s="371">
        <v>45717</v>
      </c>
      <c r="F289" s="65">
        <v>35000</v>
      </c>
      <c r="G289" s="10" t="s">
        <v>1123</v>
      </c>
      <c r="H289" s="373">
        <v>0</v>
      </c>
      <c r="I289" s="369">
        <f t="shared" si="14"/>
        <v>35000</v>
      </c>
    </row>
    <row r="290" spans="2:9" x14ac:dyDescent="0.3">
      <c r="B290" s="43">
        <v>45747</v>
      </c>
      <c r="C290" s="242" t="str">
        <f t="shared" si="13"/>
        <v>Mar-25</v>
      </c>
      <c r="D290" t="s">
        <v>1013</v>
      </c>
      <c r="E290" s="371">
        <v>45717</v>
      </c>
      <c r="F290" s="65">
        <v>155000</v>
      </c>
      <c r="G290" s="10" t="s">
        <v>1123</v>
      </c>
      <c r="H290" s="373">
        <v>0</v>
      </c>
      <c r="I290" s="369">
        <f t="shared" si="14"/>
        <v>155000</v>
      </c>
    </row>
    <row r="291" spans="2:9" x14ac:dyDescent="0.3">
      <c r="B291" s="43">
        <v>45747</v>
      </c>
      <c r="C291" s="242" t="str">
        <f t="shared" si="13"/>
        <v>Mar-25</v>
      </c>
      <c r="D291" t="s">
        <v>1004</v>
      </c>
      <c r="E291" s="371">
        <v>45717</v>
      </c>
      <c r="F291" s="65">
        <v>250000</v>
      </c>
      <c r="G291" s="10" t="s">
        <v>1122</v>
      </c>
      <c r="H291" s="373">
        <v>0</v>
      </c>
      <c r="I291" s="369">
        <f t="shared" si="14"/>
        <v>250000</v>
      </c>
    </row>
    <row r="292" spans="2:9" x14ac:dyDescent="0.3">
      <c r="B292" s="43">
        <v>45747</v>
      </c>
      <c r="C292" s="242" t="str">
        <f t="shared" si="13"/>
        <v>Mar-25</v>
      </c>
      <c r="D292" t="s">
        <v>1000</v>
      </c>
      <c r="E292" s="371">
        <v>45717</v>
      </c>
      <c r="F292" s="65">
        <v>655</v>
      </c>
      <c r="G292" s="10" t="s">
        <v>941</v>
      </c>
      <c r="H292" s="373">
        <v>0</v>
      </c>
      <c r="I292" s="369">
        <f t="shared" si="14"/>
        <v>655</v>
      </c>
    </row>
    <row r="293" spans="2:9" x14ac:dyDescent="0.3">
      <c r="B293" s="43">
        <v>45747</v>
      </c>
      <c r="C293" s="242" t="str">
        <f t="shared" si="13"/>
        <v>Mar-25</v>
      </c>
      <c r="D293" t="s">
        <v>1000</v>
      </c>
      <c r="E293" s="371">
        <v>45717</v>
      </c>
      <c r="F293" s="65">
        <v>20090</v>
      </c>
      <c r="G293" s="10" t="s">
        <v>941</v>
      </c>
      <c r="H293" s="373">
        <v>0</v>
      </c>
      <c r="I293" s="369">
        <f t="shared" si="14"/>
        <v>20090</v>
      </c>
    </row>
    <row r="294" spans="2:9" x14ac:dyDescent="0.3">
      <c r="B294" s="43">
        <v>45747</v>
      </c>
      <c r="C294" s="242" t="str">
        <f t="shared" si="13"/>
        <v>Mar-25</v>
      </c>
      <c r="D294" t="s">
        <v>1003</v>
      </c>
      <c r="E294" s="371">
        <v>45717</v>
      </c>
      <c r="F294" s="65">
        <v>195</v>
      </c>
      <c r="G294" s="10" t="s">
        <v>937</v>
      </c>
      <c r="H294" s="373">
        <v>0</v>
      </c>
      <c r="I294" s="369">
        <f t="shared" si="14"/>
        <v>195</v>
      </c>
    </row>
    <row r="295" spans="2:9" x14ac:dyDescent="0.3">
      <c r="B295" s="43">
        <v>45747</v>
      </c>
      <c r="C295" s="242" t="str">
        <f t="shared" si="13"/>
        <v>Mar-25</v>
      </c>
      <c r="D295" t="s">
        <v>1006</v>
      </c>
      <c r="E295" s="371">
        <v>45717</v>
      </c>
      <c r="F295" s="65">
        <v>674</v>
      </c>
      <c r="G295" s="10" t="s">
        <v>1361</v>
      </c>
      <c r="H295" s="373">
        <v>0</v>
      </c>
      <c r="I295" s="369">
        <f t="shared" si="14"/>
        <v>674</v>
      </c>
    </row>
    <row r="296" spans="2:9" x14ac:dyDescent="0.3">
      <c r="B296" s="43">
        <v>45748</v>
      </c>
      <c r="C296" s="242" t="str">
        <f t="shared" si="13"/>
        <v>Apr-25</v>
      </c>
      <c r="D296" t="s">
        <v>999</v>
      </c>
      <c r="E296" s="370">
        <v>7216</v>
      </c>
      <c r="F296" s="65">
        <v>891</v>
      </c>
      <c r="G296" s="10" t="s">
        <v>932</v>
      </c>
      <c r="H296" s="373">
        <v>0</v>
      </c>
      <c r="I296" s="369">
        <f t="shared" si="14"/>
        <v>891</v>
      </c>
    </row>
    <row r="297" spans="2:9" x14ac:dyDescent="0.3">
      <c r="B297" s="43">
        <v>45748</v>
      </c>
      <c r="C297" s="242" t="str">
        <f t="shared" si="13"/>
        <v>Apr-25</v>
      </c>
      <c r="D297" t="s">
        <v>999</v>
      </c>
      <c r="E297" s="370">
        <v>7216</v>
      </c>
      <c r="F297" s="65">
        <v>176</v>
      </c>
      <c r="G297" s="10" t="s">
        <v>929</v>
      </c>
      <c r="H297" s="373">
        <v>0</v>
      </c>
      <c r="I297" s="369">
        <f t="shared" si="14"/>
        <v>176</v>
      </c>
    </row>
    <row r="298" spans="2:9" x14ac:dyDescent="0.3">
      <c r="B298" s="43">
        <v>45748</v>
      </c>
      <c r="C298" s="242" t="str">
        <f t="shared" si="13"/>
        <v>Apr-25</v>
      </c>
      <c r="D298" t="s">
        <v>1739</v>
      </c>
      <c r="E298" s="370">
        <v>7265</v>
      </c>
      <c r="F298" s="65">
        <v>800</v>
      </c>
      <c r="G298" s="10" t="s">
        <v>933</v>
      </c>
      <c r="H298" s="373">
        <v>0</v>
      </c>
      <c r="I298" s="369">
        <f t="shared" si="14"/>
        <v>800</v>
      </c>
    </row>
    <row r="299" spans="2:9" x14ac:dyDescent="0.3">
      <c r="B299" s="43">
        <v>45748</v>
      </c>
      <c r="C299" s="242" t="str">
        <f t="shared" si="13"/>
        <v>Apr-25</v>
      </c>
      <c r="D299" t="s">
        <v>1530</v>
      </c>
      <c r="E299" s="370" t="s">
        <v>2520</v>
      </c>
      <c r="F299" s="65">
        <v>5181</v>
      </c>
      <c r="G299" s="10" t="s">
        <v>932</v>
      </c>
      <c r="H299" s="373">
        <v>0</v>
      </c>
      <c r="I299" s="369">
        <f t="shared" si="14"/>
        <v>5181</v>
      </c>
    </row>
    <row r="300" spans="2:9" x14ac:dyDescent="0.3">
      <c r="B300" s="43">
        <v>45748</v>
      </c>
      <c r="C300" s="242" t="str">
        <f t="shared" si="13"/>
        <v>Apr-25</v>
      </c>
      <c r="D300" t="s">
        <v>2463</v>
      </c>
      <c r="E300" s="370" t="s">
        <v>2521</v>
      </c>
      <c r="F300" s="65">
        <v>58000</v>
      </c>
      <c r="G300" s="10" t="s">
        <v>2465</v>
      </c>
      <c r="H300" s="373">
        <v>0</v>
      </c>
      <c r="I300" s="369">
        <f t="shared" si="14"/>
        <v>58000</v>
      </c>
    </row>
    <row r="301" spans="2:9" x14ac:dyDescent="0.3">
      <c r="B301" s="43">
        <v>45749</v>
      </c>
      <c r="C301" s="242" t="str">
        <f t="shared" si="13"/>
        <v>Apr-25</v>
      </c>
      <c r="D301" t="s">
        <v>999</v>
      </c>
      <c r="E301" s="370">
        <v>7217</v>
      </c>
      <c r="F301" s="65">
        <v>480</v>
      </c>
      <c r="G301" s="10" t="s">
        <v>1121</v>
      </c>
      <c r="H301" s="373">
        <v>0</v>
      </c>
      <c r="I301" s="369">
        <f t="shared" si="14"/>
        <v>480</v>
      </c>
    </row>
    <row r="302" spans="2:9" x14ac:dyDescent="0.3">
      <c r="B302" s="43">
        <v>45749</v>
      </c>
      <c r="C302" s="242" t="str">
        <f t="shared" si="13"/>
        <v>Apr-25</v>
      </c>
      <c r="D302" t="s">
        <v>1738</v>
      </c>
      <c r="E302" s="370">
        <v>7337</v>
      </c>
      <c r="F302" s="65">
        <v>800</v>
      </c>
      <c r="G302" s="10" t="s">
        <v>933</v>
      </c>
      <c r="H302" s="373">
        <v>0</v>
      </c>
      <c r="I302" s="369">
        <f t="shared" si="14"/>
        <v>800</v>
      </c>
    </row>
    <row r="303" spans="2:9" x14ac:dyDescent="0.3">
      <c r="B303" s="43">
        <v>45749</v>
      </c>
      <c r="C303" s="242" t="str">
        <f t="shared" si="13"/>
        <v>Apr-25</v>
      </c>
      <c r="D303" t="s">
        <v>1738</v>
      </c>
      <c r="E303" s="370">
        <v>7336</v>
      </c>
      <c r="F303" s="65">
        <v>2723</v>
      </c>
      <c r="G303" s="10" t="s">
        <v>932</v>
      </c>
      <c r="H303" s="373">
        <v>0</v>
      </c>
      <c r="I303" s="369">
        <f t="shared" si="14"/>
        <v>2723</v>
      </c>
    </row>
    <row r="304" spans="2:9" x14ac:dyDescent="0.3">
      <c r="B304" s="43">
        <v>45749</v>
      </c>
      <c r="C304" s="242" t="str">
        <f t="shared" si="13"/>
        <v>Apr-25</v>
      </c>
      <c r="D304" t="s">
        <v>1738</v>
      </c>
      <c r="E304" s="370">
        <v>7401</v>
      </c>
      <c r="F304" s="65">
        <v>3000</v>
      </c>
      <c r="G304" s="10" t="s">
        <v>931</v>
      </c>
      <c r="H304" s="373">
        <v>0</v>
      </c>
      <c r="I304" s="369">
        <f t="shared" si="14"/>
        <v>3000</v>
      </c>
    </row>
    <row r="305" spans="2:9" x14ac:dyDescent="0.3">
      <c r="B305" s="43">
        <v>45750</v>
      </c>
      <c r="C305" s="242" t="str">
        <f t="shared" si="13"/>
        <v>Apr-25</v>
      </c>
      <c r="D305" t="s">
        <v>1738</v>
      </c>
      <c r="E305" s="370">
        <v>7335</v>
      </c>
      <c r="F305" s="65">
        <v>5185</v>
      </c>
      <c r="G305" s="10" t="s">
        <v>929</v>
      </c>
      <c r="H305" s="373">
        <v>0</v>
      </c>
      <c r="I305" s="369">
        <f t="shared" si="14"/>
        <v>5185</v>
      </c>
    </row>
    <row r="306" spans="2:9" x14ac:dyDescent="0.3">
      <c r="B306" s="43">
        <v>45750</v>
      </c>
      <c r="C306" s="242" t="str">
        <f t="shared" si="13"/>
        <v>Apr-25</v>
      </c>
      <c r="D306" t="s">
        <v>1739</v>
      </c>
      <c r="E306" s="370">
        <v>7266</v>
      </c>
      <c r="F306" s="65">
        <v>800</v>
      </c>
      <c r="G306" s="10" t="s">
        <v>933</v>
      </c>
      <c r="H306" s="373">
        <v>0</v>
      </c>
      <c r="I306" s="369">
        <f t="shared" si="14"/>
        <v>800</v>
      </c>
    </row>
    <row r="307" spans="2:9" x14ac:dyDescent="0.3">
      <c r="B307" s="43">
        <v>45751</v>
      </c>
      <c r="C307" s="242" t="str">
        <f t="shared" si="13"/>
        <v>Apr-25</v>
      </c>
      <c r="D307" t="s">
        <v>998</v>
      </c>
      <c r="E307" s="370">
        <v>7242</v>
      </c>
      <c r="F307" s="65">
        <v>624</v>
      </c>
      <c r="G307" s="10" t="s">
        <v>1121</v>
      </c>
      <c r="H307" s="373">
        <v>0</v>
      </c>
      <c r="I307" s="369">
        <f t="shared" si="14"/>
        <v>624</v>
      </c>
    </row>
    <row r="308" spans="2:9" x14ac:dyDescent="0.3">
      <c r="B308" s="43">
        <v>45751</v>
      </c>
      <c r="C308" s="242" t="str">
        <f t="shared" si="13"/>
        <v>Apr-25</v>
      </c>
      <c r="D308" t="s">
        <v>1739</v>
      </c>
      <c r="E308" s="370">
        <v>7264</v>
      </c>
      <c r="F308" s="65">
        <v>5960</v>
      </c>
      <c r="G308" s="10" t="s">
        <v>1121</v>
      </c>
      <c r="H308" s="373">
        <v>0</v>
      </c>
      <c r="I308" s="369">
        <f t="shared" si="14"/>
        <v>5960</v>
      </c>
    </row>
    <row r="309" spans="2:9" x14ac:dyDescent="0.3">
      <c r="B309" s="43">
        <v>45751</v>
      </c>
      <c r="C309" s="242" t="str">
        <f t="shared" si="13"/>
        <v>Apr-25</v>
      </c>
      <c r="D309" t="s">
        <v>998</v>
      </c>
      <c r="E309" s="370">
        <v>7242</v>
      </c>
      <c r="F309" s="65">
        <v>624</v>
      </c>
      <c r="G309" s="10" t="s">
        <v>1121</v>
      </c>
      <c r="H309" s="373">
        <v>0</v>
      </c>
      <c r="I309" s="369">
        <f t="shared" si="14"/>
        <v>624</v>
      </c>
    </row>
    <row r="310" spans="2:9" x14ac:dyDescent="0.3">
      <c r="B310" s="43">
        <v>45756</v>
      </c>
      <c r="C310" s="242" t="str">
        <f t="shared" si="13"/>
        <v>Apr-25</v>
      </c>
      <c r="D310" t="s">
        <v>1530</v>
      </c>
      <c r="E310" s="370">
        <v>7390</v>
      </c>
      <c r="F310" s="65">
        <v>3622</v>
      </c>
      <c r="G310" s="10" t="s">
        <v>933</v>
      </c>
      <c r="H310" s="373">
        <v>0</v>
      </c>
      <c r="I310" s="369">
        <f t="shared" si="14"/>
        <v>3622</v>
      </c>
    </row>
    <row r="311" spans="2:9" x14ac:dyDescent="0.3">
      <c r="B311" s="43">
        <v>45756</v>
      </c>
      <c r="C311" s="242" t="str">
        <f t="shared" si="13"/>
        <v>Apr-25</v>
      </c>
      <c r="D311" t="s">
        <v>1530</v>
      </c>
      <c r="E311" s="370">
        <v>7390</v>
      </c>
      <c r="F311" s="65">
        <v>4592</v>
      </c>
      <c r="G311" s="10" t="s">
        <v>929</v>
      </c>
      <c r="H311" s="373">
        <v>0</v>
      </c>
      <c r="I311" s="369">
        <f t="shared" si="14"/>
        <v>4592</v>
      </c>
    </row>
    <row r="312" spans="2:9" x14ac:dyDescent="0.3">
      <c r="B312" s="43">
        <v>45757</v>
      </c>
      <c r="C312" s="242" t="str">
        <f t="shared" si="13"/>
        <v>Apr-25</v>
      </c>
      <c r="D312" t="s">
        <v>998</v>
      </c>
      <c r="E312" s="370">
        <v>7381</v>
      </c>
      <c r="F312" s="65">
        <v>636</v>
      </c>
      <c r="G312" s="10" t="s">
        <v>1121</v>
      </c>
      <c r="H312" s="373">
        <v>0</v>
      </c>
      <c r="I312" s="369">
        <f t="shared" si="14"/>
        <v>636</v>
      </c>
    </row>
    <row r="313" spans="2:9" x14ac:dyDescent="0.3">
      <c r="B313" s="43">
        <v>45757</v>
      </c>
      <c r="C313" s="242" t="str">
        <f t="shared" si="13"/>
        <v>Apr-25</v>
      </c>
      <c r="D313" t="s">
        <v>998</v>
      </c>
      <c r="E313" s="370">
        <v>7381</v>
      </c>
      <c r="F313" s="65">
        <v>636</v>
      </c>
      <c r="G313" s="10" t="s">
        <v>1121</v>
      </c>
      <c r="H313" s="373">
        <v>0</v>
      </c>
      <c r="I313" s="369">
        <f t="shared" si="14"/>
        <v>636</v>
      </c>
    </row>
    <row r="314" spans="2:9" x14ac:dyDescent="0.3">
      <c r="B314" s="43">
        <v>45759</v>
      </c>
      <c r="C314" s="242" t="str">
        <f t="shared" si="13"/>
        <v>Apr-25</v>
      </c>
      <c r="D314" t="s">
        <v>1530</v>
      </c>
      <c r="E314" s="370">
        <v>7389</v>
      </c>
      <c r="F314" s="65">
        <v>3132.6</v>
      </c>
      <c r="G314" s="10" t="s">
        <v>932</v>
      </c>
      <c r="H314" s="373">
        <v>0</v>
      </c>
      <c r="I314" s="369">
        <f t="shared" si="14"/>
        <v>3132.6</v>
      </c>
    </row>
    <row r="315" spans="2:9" x14ac:dyDescent="0.3">
      <c r="B315" s="43">
        <v>45759</v>
      </c>
      <c r="C315" s="242" t="str">
        <f t="shared" si="13"/>
        <v>Apr-25</v>
      </c>
      <c r="D315" t="s">
        <v>1530</v>
      </c>
      <c r="E315" s="370">
        <v>7389</v>
      </c>
      <c r="F315" s="65">
        <v>7275.74</v>
      </c>
      <c r="G315" s="10" t="s">
        <v>931</v>
      </c>
      <c r="H315" s="373">
        <v>0</v>
      </c>
      <c r="I315" s="369">
        <f t="shared" si="14"/>
        <v>7275.74</v>
      </c>
    </row>
    <row r="316" spans="2:9" x14ac:dyDescent="0.3">
      <c r="B316" s="43">
        <v>45759</v>
      </c>
      <c r="C316" s="242" t="str">
        <f t="shared" si="13"/>
        <v>Apr-25</v>
      </c>
      <c r="D316" t="s">
        <v>1530</v>
      </c>
      <c r="E316" s="370">
        <v>7389</v>
      </c>
      <c r="F316" s="65">
        <v>5460</v>
      </c>
      <c r="G316" s="10" t="s">
        <v>929</v>
      </c>
      <c r="H316" s="373">
        <v>0</v>
      </c>
      <c r="I316" s="369">
        <f t="shared" si="14"/>
        <v>5460</v>
      </c>
    </row>
    <row r="317" spans="2:9" x14ac:dyDescent="0.3">
      <c r="B317" s="43">
        <v>45759</v>
      </c>
      <c r="C317" s="242" t="str">
        <f t="shared" si="13"/>
        <v>Apr-25</v>
      </c>
      <c r="D317" t="s">
        <v>2178</v>
      </c>
      <c r="E317" s="370">
        <v>7371</v>
      </c>
      <c r="F317" s="65">
        <v>1635.54</v>
      </c>
      <c r="G317" s="10" t="s">
        <v>929</v>
      </c>
      <c r="H317" s="373">
        <v>0</v>
      </c>
      <c r="I317" s="369">
        <f t="shared" si="14"/>
        <v>1635.54</v>
      </c>
    </row>
    <row r="318" spans="2:9" x14ac:dyDescent="0.3">
      <c r="B318" s="43">
        <v>45759</v>
      </c>
      <c r="C318" s="242" t="str">
        <f t="shared" si="13"/>
        <v>Apr-25</v>
      </c>
      <c r="D318" t="s">
        <v>2178</v>
      </c>
      <c r="E318" s="370"/>
      <c r="F318" s="65">
        <v>9059</v>
      </c>
      <c r="G318" s="10" t="s">
        <v>932</v>
      </c>
      <c r="H318" s="373">
        <v>0</v>
      </c>
      <c r="I318" s="369">
        <f t="shared" si="14"/>
        <v>9059</v>
      </c>
    </row>
    <row r="319" spans="2:9" x14ac:dyDescent="0.3">
      <c r="B319" s="43">
        <v>45762</v>
      </c>
      <c r="C319" s="242" t="str">
        <f t="shared" si="13"/>
        <v>Apr-25</v>
      </c>
      <c r="D319" t="s">
        <v>1736</v>
      </c>
      <c r="E319" s="370">
        <v>7385</v>
      </c>
      <c r="F319" s="65">
        <v>681</v>
      </c>
      <c r="G319" s="10" t="s">
        <v>933</v>
      </c>
      <c r="H319" s="373">
        <v>0</v>
      </c>
      <c r="I319" s="369">
        <f t="shared" si="14"/>
        <v>681</v>
      </c>
    </row>
    <row r="320" spans="2:9" x14ac:dyDescent="0.3">
      <c r="B320" s="43">
        <v>45763</v>
      </c>
      <c r="C320" s="242" t="str">
        <f t="shared" si="13"/>
        <v>Apr-25</v>
      </c>
      <c r="D320" t="s">
        <v>2178</v>
      </c>
      <c r="E320" s="370"/>
      <c r="F320" s="65">
        <v>6600</v>
      </c>
      <c r="G320" s="10" t="s">
        <v>931</v>
      </c>
      <c r="H320" s="373">
        <v>0</v>
      </c>
      <c r="I320" s="369">
        <f t="shared" si="14"/>
        <v>6600</v>
      </c>
    </row>
    <row r="321" spans="2:9" x14ac:dyDescent="0.3">
      <c r="B321" s="43">
        <v>45763</v>
      </c>
      <c r="C321" s="242" t="str">
        <f t="shared" si="13"/>
        <v>Apr-25</v>
      </c>
      <c r="D321" t="s">
        <v>1739</v>
      </c>
      <c r="E321" s="370"/>
      <c r="F321" s="65">
        <v>9320</v>
      </c>
      <c r="G321" s="10" t="s">
        <v>931</v>
      </c>
      <c r="H321" s="373">
        <v>0</v>
      </c>
      <c r="I321" s="369">
        <f t="shared" si="14"/>
        <v>9320</v>
      </c>
    </row>
    <row r="322" spans="2:9" x14ac:dyDescent="0.3">
      <c r="B322" s="43">
        <v>45764</v>
      </c>
      <c r="C322" s="242" t="str">
        <f t="shared" si="13"/>
        <v>Apr-25</v>
      </c>
      <c r="D322" t="s">
        <v>1736</v>
      </c>
      <c r="E322" s="370">
        <v>7537</v>
      </c>
      <c r="F322" s="65">
        <v>603</v>
      </c>
      <c r="G322" s="10" t="s">
        <v>933</v>
      </c>
      <c r="H322" s="373">
        <v>0</v>
      </c>
      <c r="I322" s="369">
        <f t="shared" si="14"/>
        <v>603</v>
      </c>
    </row>
    <row r="323" spans="2:9" x14ac:dyDescent="0.3">
      <c r="B323" s="43">
        <v>45765</v>
      </c>
      <c r="C323" s="242" t="str">
        <f t="shared" si="13"/>
        <v>Apr-25</v>
      </c>
      <c r="D323" t="s">
        <v>2522</v>
      </c>
      <c r="E323" s="375" t="s">
        <v>2523</v>
      </c>
      <c r="F323" s="65">
        <v>31591</v>
      </c>
      <c r="G323" s="10" t="s">
        <v>935</v>
      </c>
      <c r="H323" s="373">
        <v>0</v>
      </c>
      <c r="I323" s="369">
        <f t="shared" si="14"/>
        <v>31591</v>
      </c>
    </row>
    <row r="324" spans="2:9" x14ac:dyDescent="0.3">
      <c r="B324" s="43">
        <v>45766</v>
      </c>
      <c r="C324" s="242" t="str">
        <f t="shared" si="13"/>
        <v>Apr-25</v>
      </c>
      <c r="D324" t="s">
        <v>1739</v>
      </c>
      <c r="E324" s="370">
        <v>7419</v>
      </c>
      <c r="F324" s="65">
        <v>1255</v>
      </c>
      <c r="G324" s="10" t="s">
        <v>933</v>
      </c>
      <c r="H324" s="373">
        <v>0</v>
      </c>
      <c r="I324" s="369">
        <f t="shared" si="14"/>
        <v>1255</v>
      </c>
    </row>
    <row r="325" spans="2:9" x14ac:dyDescent="0.3">
      <c r="B325" s="43">
        <v>45767</v>
      </c>
      <c r="C325" s="242" t="str">
        <f t="shared" ref="C325:C388" si="15">TEXT(B325,"mmm-yy")</f>
        <v>Apr-25</v>
      </c>
      <c r="D325" t="s">
        <v>1739</v>
      </c>
      <c r="E325" s="370">
        <v>7418</v>
      </c>
      <c r="F325" s="65">
        <v>5664</v>
      </c>
      <c r="G325" s="10" t="s">
        <v>1121</v>
      </c>
      <c r="H325" s="373">
        <v>0</v>
      </c>
      <c r="I325" s="369">
        <f t="shared" si="14"/>
        <v>5664</v>
      </c>
    </row>
    <row r="326" spans="2:9" x14ac:dyDescent="0.3">
      <c r="B326" s="43">
        <v>45768</v>
      </c>
      <c r="C326" s="242" t="str">
        <f t="shared" si="15"/>
        <v>Apr-25</v>
      </c>
      <c r="D326" t="s">
        <v>1530</v>
      </c>
      <c r="E326" s="370">
        <v>7437</v>
      </c>
      <c r="F326" s="65">
        <v>2236.39</v>
      </c>
      <c r="G326" s="10" t="s">
        <v>929</v>
      </c>
      <c r="H326" s="373">
        <v>0</v>
      </c>
      <c r="I326" s="369">
        <f t="shared" si="14"/>
        <v>2236.39</v>
      </c>
    </row>
    <row r="327" spans="2:9" x14ac:dyDescent="0.3">
      <c r="B327" s="43">
        <v>45768</v>
      </c>
      <c r="C327" s="242" t="str">
        <f t="shared" si="15"/>
        <v>Apr-25</v>
      </c>
      <c r="D327" t="s">
        <v>1530</v>
      </c>
      <c r="E327" s="370">
        <v>7437</v>
      </c>
      <c r="F327" s="65">
        <v>262</v>
      </c>
      <c r="G327" s="10" t="s">
        <v>933</v>
      </c>
      <c r="H327" s="373">
        <v>0</v>
      </c>
      <c r="I327" s="369">
        <f t="shared" si="14"/>
        <v>262</v>
      </c>
    </row>
    <row r="328" spans="2:9" x14ac:dyDescent="0.3">
      <c r="B328" s="43">
        <v>45768</v>
      </c>
      <c r="C328" s="242" t="str">
        <f t="shared" si="15"/>
        <v>Apr-25</v>
      </c>
      <c r="D328" t="s">
        <v>1736</v>
      </c>
      <c r="E328" s="370">
        <v>7539</v>
      </c>
      <c r="F328" s="65">
        <v>720</v>
      </c>
      <c r="G328" s="10" t="s">
        <v>933</v>
      </c>
      <c r="H328" s="373">
        <v>0</v>
      </c>
      <c r="I328" s="369">
        <f t="shared" si="14"/>
        <v>720</v>
      </c>
    </row>
    <row r="329" spans="2:9" x14ac:dyDescent="0.3">
      <c r="B329" s="43">
        <v>45769</v>
      </c>
      <c r="C329" s="242" t="str">
        <f t="shared" si="15"/>
        <v>Apr-25</v>
      </c>
      <c r="D329" t="s">
        <v>999</v>
      </c>
      <c r="E329" s="370">
        <v>7443</v>
      </c>
      <c r="F329" s="65">
        <v>690</v>
      </c>
      <c r="G329" s="10" t="s">
        <v>933</v>
      </c>
      <c r="H329" s="373">
        <v>0</v>
      </c>
      <c r="I329" s="369">
        <f t="shared" si="14"/>
        <v>690</v>
      </c>
    </row>
    <row r="330" spans="2:9" x14ac:dyDescent="0.3">
      <c r="B330" s="43">
        <v>45769</v>
      </c>
      <c r="C330" s="242" t="str">
        <f t="shared" si="15"/>
        <v>Apr-25</v>
      </c>
      <c r="D330" t="s">
        <v>999</v>
      </c>
      <c r="E330" s="370">
        <v>7444</v>
      </c>
      <c r="F330" s="65">
        <v>127</v>
      </c>
      <c r="G330" s="10" t="s">
        <v>933</v>
      </c>
      <c r="H330" s="373">
        <v>0</v>
      </c>
      <c r="I330" s="369">
        <f t="shared" si="14"/>
        <v>127</v>
      </c>
    </row>
    <row r="331" spans="2:9" x14ac:dyDescent="0.3">
      <c r="B331" s="43">
        <v>45769</v>
      </c>
      <c r="C331" s="242" t="str">
        <f t="shared" si="15"/>
        <v>Apr-25</v>
      </c>
      <c r="D331" t="s">
        <v>999</v>
      </c>
      <c r="E331" s="370">
        <v>7325</v>
      </c>
      <c r="F331" s="65">
        <v>1977</v>
      </c>
      <c r="G331" s="10" t="s">
        <v>929</v>
      </c>
      <c r="H331" s="373">
        <v>0</v>
      </c>
      <c r="I331" s="369">
        <f t="shared" si="14"/>
        <v>1977</v>
      </c>
    </row>
    <row r="332" spans="2:9" x14ac:dyDescent="0.3">
      <c r="B332" s="43">
        <v>45769</v>
      </c>
      <c r="C332" s="242" t="str">
        <f t="shared" si="15"/>
        <v>Apr-25</v>
      </c>
      <c r="D332" t="s">
        <v>999</v>
      </c>
      <c r="E332" s="370">
        <v>7325</v>
      </c>
      <c r="F332" s="65">
        <v>1569</v>
      </c>
      <c r="G332" s="10" t="s">
        <v>932</v>
      </c>
      <c r="H332" s="373">
        <v>0</v>
      </c>
      <c r="I332" s="369">
        <f t="shared" si="14"/>
        <v>1569</v>
      </c>
    </row>
    <row r="333" spans="2:9" x14ac:dyDescent="0.3">
      <c r="B333" s="43">
        <v>45769</v>
      </c>
      <c r="C333" s="242" t="str">
        <f t="shared" si="15"/>
        <v>Apr-25</v>
      </c>
      <c r="D333" t="s">
        <v>1530</v>
      </c>
      <c r="E333" s="370">
        <v>7441</v>
      </c>
      <c r="F333" s="65">
        <v>1864</v>
      </c>
      <c r="G333" s="10" t="s">
        <v>929</v>
      </c>
      <c r="H333" s="373">
        <v>0</v>
      </c>
      <c r="I333" s="369">
        <f t="shared" si="14"/>
        <v>1864</v>
      </c>
    </row>
    <row r="334" spans="2:9" x14ac:dyDescent="0.3">
      <c r="B334" s="43">
        <v>45769</v>
      </c>
      <c r="C334" s="242" t="str">
        <f t="shared" si="15"/>
        <v>Apr-25</v>
      </c>
      <c r="D334" t="s">
        <v>1736</v>
      </c>
      <c r="E334" s="370">
        <v>7540</v>
      </c>
      <c r="F334" s="65">
        <v>417</v>
      </c>
      <c r="G334" s="10" t="s">
        <v>933</v>
      </c>
      <c r="H334" s="373">
        <v>0</v>
      </c>
      <c r="I334" s="369">
        <f t="shared" si="14"/>
        <v>417</v>
      </c>
    </row>
    <row r="335" spans="2:9" x14ac:dyDescent="0.3">
      <c r="B335" s="43">
        <v>45770</v>
      </c>
      <c r="C335" s="242" t="str">
        <f t="shared" si="15"/>
        <v>Apr-25</v>
      </c>
      <c r="D335" t="s">
        <v>999</v>
      </c>
      <c r="E335" s="370" t="s">
        <v>1069</v>
      </c>
      <c r="F335" s="65">
        <v>13753</v>
      </c>
      <c r="G335" s="10" t="s">
        <v>936</v>
      </c>
      <c r="H335" s="373">
        <v>0</v>
      </c>
      <c r="I335" s="369">
        <f t="shared" si="14"/>
        <v>13753</v>
      </c>
    </row>
    <row r="336" spans="2:9" x14ac:dyDescent="0.3">
      <c r="B336" s="43">
        <v>45770</v>
      </c>
      <c r="C336" s="242" t="str">
        <f t="shared" si="15"/>
        <v>Apr-25</v>
      </c>
      <c r="D336" t="s">
        <v>1530</v>
      </c>
      <c r="E336" s="370">
        <v>7452</v>
      </c>
      <c r="F336" s="65">
        <v>140</v>
      </c>
      <c r="G336" s="10" t="s">
        <v>933</v>
      </c>
      <c r="H336" s="373">
        <v>0</v>
      </c>
      <c r="I336" s="369">
        <f t="shared" si="14"/>
        <v>140</v>
      </c>
    </row>
    <row r="337" spans="2:9" x14ac:dyDescent="0.3">
      <c r="B337" s="43">
        <v>45770</v>
      </c>
      <c r="C337" s="242" t="str">
        <f t="shared" si="15"/>
        <v>Apr-25</v>
      </c>
      <c r="D337" t="s">
        <v>1530</v>
      </c>
      <c r="E337" s="370">
        <v>7452</v>
      </c>
      <c r="F337" s="65">
        <v>2364.36</v>
      </c>
      <c r="G337" s="10" t="s">
        <v>929</v>
      </c>
      <c r="H337" s="373">
        <v>0</v>
      </c>
      <c r="I337" s="369">
        <f t="shared" si="14"/>
        <v>2364.36</v>
      </c>
    </row>
    <row r="338" spans="2:9" x14ac:dyDescent="0.3">
      <c r="B338" s="43">
        <v>45770</v>
      </c>
      <c r="C338" s="242" t="str">
        <f t="shared" si="15"/>
        <v>Apr-25</v>
      </c>
      <c r="D338" t="s">
        <v>2178</v>
      </c>
      <c r="E338" s="370">
        <v>7740</v>
      </c>
      <c r="F338" s="65">
        <v>952</v>
      </c>
      <c r="G338" s="10" t="s">
        <v>929</v>
      </c>
      <c r="H338" s="373">
        <v>0</v>
      </c>
      <c r="I338" s="369">
        <f t="shared" si="14"/>
        <v>952</v>
      </c>
    </row>
    <row r="339" spans="2:9" x14ac:dyDescent="0.3">
      <c r="B339" s="43">
        <v>45770</v>
      </c>
      <c r="C339" s="242" t="str">
        <f t="shared" si="15"/>
        <v>Apr-25</v>
      </c>
      <c r="D339" t="s">
        <v>2178</v>
      </c>
      <c r="E339" s="370">
        <v>7740</v>
      </c>
      <c r="F339" s="65">
        <v>1680</v>
      </c>
      <c r="G339" s="10" t="s">
        <v>1121</v>
      </c>
      <c r="H339" s="373">
        <v>0</v>
      </c>
      <c r="I339" s="369">
        <f t="shared" si="14"/>
        <v>1680</v>
      </c>
    </row>
    <row r="340" spans="2:9" x14ac:dyDescent="0.3">
      <c r="B340" s="43">
        <v>45770</v>
      </c>
      <c r="C340" s="242" t="str">
        <f t="shared" si="15"/>
        <v>Apr-25</v>
      </c>
      <c r="D340" t="s">
        <v>1736</v>
      </c>
      <c r="E340" s="370">
        <v>7542</v>
      </c>
      <c r="F340" s="65">
        <v>733</v>
      </c>
      <c r="G340" s="10" t="s">
        <v>933</v>
      </c>
      <c r="H340" s="373">
        <v>0</v>
      </c>
      <c r="I340" s="369">
        <f t="shared" si="14"/>
        <v>733</v>
      </c>
    </row>
    <row r="341" spans="2:9" x14ac:dyDescent="0.3">
      <c r="B341" s="43">
        <v>45771</v>
      </c>
      <c r="C341" s="242" t="str">
        <f t="shared" si="15"/>
        <v>Apr-25</v>
      </c>
      <c r="D341" t="s">
        <v>999</v>
      </c>
      <c r="E341" s="370">
        <v>7334</v>
      </c>
      <c r="F341" s="65">
        <v>1456</v>
      </c>
      <c r="G341" s="10" t="s">
        <v>1121</v>
      </c>
      <c r="H341" s="373">
        <v>0</v>
      </c>
      <c r="I341" s="369">
        <f t="shared" si="14"/>
        <v>1456</v>
      </c>
    </row>
    <row r="342" spans="2:9" x14ac:dyDescent="0.3">
      <c r="B342" s="43">
        <v>45771</v>
      </c>
      <c r="C342" s="242" t="str">
        <f t="shared" si="15"/>
        <v>Apr-25</v>
      </c>
      <c r="D342" t="s">
        <v>998</v>
      </c>
      <c r="E342" s="370">
        <v>7501</v>
      </c>
      <c r="F342" s="65">
        <v>460</v>
      </c>
      <c r="G342" s="10" t="s">
        <v>1121</v>
      </c>
      <c r="H342" s="373">
        <v>0</v>
      </c>
      <c r="I342" s="369">
        <f t="shared" si="14"/>
        <v>460</v>
      </c>
    </row>
    <row r="343" spans="2:9" x14ac:dyDescent="0.3">
      <c r="B343" s="43">
        <v>45771</v>
      </c>
      <c r="C343" s="242" t="str">
        <f t="shared" si="15"/>
        <v>Apr-25</v>
      </c>
      <c r="D343" t="s">
        <v>2178</v>
      </c>
      <c r="E343" s="370">
        <v>7741</v>
      </c>
      <c r="F343" s="65">
        <v>1660</v>
      </c>
      <c r="G343" s="10" t="s">
        <v>1121</v>
      </c>
      <c r="H343" s="373">
        <v>0</v>
      </c>
      <c r="I343" s="369">
        <f t="shared" si="14"/>
        <v>1660</v>
      </c>
    </row>
    <row r="344" spans="2:9" x14ac:dyDescent="0.3">
      <c r="B344" s="43">
        <v>45771</v>
      </c>
      <c r="C344" s="242" t="str">
        <f t="shared" si="15"/>
        <v>Apr-25</v>
      </c>
      <c r="D344" t="s">
        <v>2178</v>
      </c>
      <c r="E344" s="370">
        <v>7741</v>
      </c>
      <c r="F344" s="65">
        <v>422</v>
      </c>
      <c r="G344" s="10" t="s">
        <v>929</v>
      </c>
      <c r="H344" s="373">
        <v>0</v>
      </c>
      <c r="I344" s="369">
        <f t="shared" si="14"/>
        <v>422</v>
      </c>
    </row>
    <row r="345" spans="2:9" x14ac:dyDescent="0.3">
      <c r="B345" s="43">
        <v>45771</v>
      </c>
      <c r="C345" s="242" t="str">
        <f t="shared" si="15"/>
        <v>Apr-25</v>
      </c>
      <c r="D345" t="s">
        <v>998</v>
      </c>
      <c r="E345" s="370">
        <v>7501</v>
      </c>
      <c r="F345" s="65">
        <v>460</v>
      </c>
      <c r="G345" s="10" t="s">
        <v>1121</v>
      </c>
      <c r="H345" s="373">
        <v>0</v>
      </c>
      <c r="I345" s="369">
        <f t="shared" si="14"/>
        <v>460</v>
      </c>
    </row>
    <row r="346" spans="2:9" x14ac:dyDescent="0.3">
      <c r="B346" s="43">
        <v>45771</v>
      </c>
      <c r="C346" s="242" t="str">
        <f t="shared" si="15"/>
        <v>Apr-25</v>
      </c>
      <c r="D346" t="s">
        <v>1736</v>
      </c>
      <c r="E346" s="370">
        <v>7384</v>
      </c>
      <c r="F346" s="65">
        <v>4105</v>
      </c>
      <c r="G346" s="10" t="s">
        <v>929</v>
      </c>
      <c r="H346" s="373">
        <v>0</v>
      </c>
      <c r="I346" s="369">
        <f t="shared" ref="I346:I355" si="16">F346</f>
        <v>4105</v>
      </c>
    </row>
    <row r="347" spans="2:9" x14ac:dyDescent="0.3">
      <c r="B347" s="43">
        <v>45771</v>
      </c>
      <c r="C347" s="242" t="str">
        <f t="shared" si="15"/>
        <v>Apr-25</v>
      </c>
      <c r="D347" t="s">
        <v>1736</v>
      </c>
      <c r="E347" s="370">
        <v>7384</v>
      </c>
      <c r="F347" s="65">
        <v>5440</v>
      </c>
      <c r="G347" s="10" t="s">
        <v>1121</v>
      </c>
      <c r="H347" s="373">
        <v>0</v>
      </c>
      <c r="I347" s="369">
        <f t="shared" si="16"/>
        <v>5440</v>
      </c>
    </row>
    <row r="348" spans="2:9" x14ac:dyDescent="0.3">
      <c r="B348" s="43">
        <v>45771</v>
      </c>
      <c r="C348" s="242" t="str">
        <f t="shared" si="15"/>
        <v>Apr-25</v>
      </c>
      <c r="D348" t="s">
        <v>1736</v>
      </c>
      <c r="E348" s="370">
        <v>7543</v>
      </c>
      <c r="F348" s="65">
        <v>334</v>
      </c>
      <c r="G348" s="10" t="s">
        <v>933</v>
      </c>
      <c r="H348" s="373">
        <v>0</v>
      </c>
      <c r="I348" s="369">
        <f t="shared" si="16"/>
        <v>334</v>
      </c>
    </row>
    <row r="349" spans="2:9" x14ac:dyDescent="0.3">
      <c r="B349" s="43">
        <v>45771</v>
      </c>
      <c r="C349" s="242" t="str">
        <f t="shared" si="15"/>
        <v>Apr-25</v>
      </c>
      <c r="D349" t="s">
        <v>1736</v>
      </c>
      <c r="E349" s="370"/>
      <c r="F349" s="65">
        <v>20758.59</v>
      </c>
      <c r="G349" s="10" t="s">
        <v>932</v>
      </c>
      <c r="H349" s="373">
        <v>0</v>
      </c>
      <c r="I349" s="369">
        <f t="shared" si="16"/>
        <v>20758.59</v>
      </c>
    </row>
    <row r="350" spans="2:9" x14ac:dyDescent="0.3">
      <c r="B350" s="43">
        <v>45771</v>
      </c>
      <c r="C350" s="242" t="str">
        <f t="shared" si="15"/>
        <v>Apr-25</v>
      </c>
      <c r="D350" t="s">
        <v>1736</v>
      </c>
      <c r="E350" s="370"/>
      <c r="F350" s="65">
        <v>1766.5</v>
      </c>
      <c r="G350" s="10" t="s">
        <v>931</v>
      </c>
      <c r="H350" s="373">
        <v>0</v>
      </c>
      <c r="I350" s="369">
        <f t="shared" si="16"/>
        <v>1766.5</v>
      </c>
    </row>
    <row r="351" spans="2:9" x14ac:dyDescent="0.3">
      <c r="B351" s="43">
        <v>45772</v>
      </c>
      <c r="C351" s="242" t="str">
        <f t="shared" si="15"/>
        <v>Apr-25</v>
      </c>
      <c r="D351" t="s">
        <v>1530</v>
      </c>
      <c r="E351" s="370">
        <v>7522</v>
      </c>
      <c r="F351" s="65">
        <v>3845.78</v>
      </c>
      <c r="G351" s="10" t="s">
        <v>929</v>
      </c>
      <c r="H351" s="373">
        <v>0</v>
      </c>
      <c r="I351" s="369">
        <f t="shared" si="16"/>
        <v>3845.78</v>
      </c>
    </row>
    <row r="352" spans="2:9" x14ac:dyDescent="0.3">
      <c r="B352" s="43">
        <v>45772</v>
      </c>
      <c r="C352" s="242" t="str">
        <f t="shared" si="15"/>
        <v>Apr-25</v>
      </c>
      <c r="D352" t="s">
        <v>1530</v>
      </c>
      <c r="E352" s="370">
        <v>7522</v>
      </c>
      <c r="F352" s="65">
        <v>530</v>
      </c>
      <c r="G352" s="10" t="s">
        <v>933</v>
      </c>
      <c r="H352" s="373">
        <v>0</v>
      </c>
      <c r="I352" s="369">
        <f t="shared" si="16"/>
        <v>530</v>
      </c>
    </row>
    <row r="353" spans="2:9" x14ac:dyDescent="0.3">
      <c r="B353" s="43">
        <v>45775</v>
      </c>
      <c r="C353" s="242" t="str">
        <f t="shared" si="15"/>
        <v>Apr-25</v>
      </c>
      <c r="D353" t="s">
        <v>1530</v>
      </c>
      <c r="E353" s="370">
        <v>7567</v>
      </c>
      <c r="F353" s="65">
        <v>887</v>
      </c>
      <c r="G353" s="10" t="s">
        <v>929</v>
      </c>
      <c r="H353" s="373">
        <v>0</v>
      </c>
      <c r="I353" s="369">
        <f t="shared" si="16"/>
        <v>887</v>
      </c>
    </row>
    <row r="354" spans="2:9" x14ac:dyDescent="0.3">
      <c r="B354" s="43">
        <v>45775</v>
      </c>
      <c r="C354" s="242" t="str">
        <f t="shared" si="15"/>
        <v>Apr-25</v>
      </c>
      <c r="D354" t="s">
        <v>1530</v>
      </c>
      <c r="E354" s="370">
        <v>7567</v>
      </c>
      <c r="F354" s="65">
        <v>781</v>
      </c>
      <c r="G354" s="10" t="s">
        <v>933</v>
      </c>
      <c r="H354" s="373">
        <v>0</v>
      </c>
      <c r="I354" s="369">
        <f t="shared" si="16"/>
        <v>781</v>
      </c>
    </row>
    <row r="355" spans="2:9" x14ac:dyDescent="0.3">
      <c r="B355" s="43">
        <v>45775</v>
      </c>
      <c r="C355" s="242" t="str">
        <f t="shared" si="15"/>
        <v>Apr-25</v>
      </c>
      <c r="D355" t="s">
        <v>1530</v>
      </c>
      <c r="E355" s="370">
        <v>7567</v>
      </c>
      <c r="F355" s="65">
        <v>6000</v>
      </c>
      <c r="G355" s="10" t="s">
        <v>931</v>
      </c>
      <c r="H355" s="373">
        <v>0</v>
      </c>
      <c r="I355" s="369">
        <f t="shared" si="16"/>
        <v>6000</v>
      </c>
    </row>
    <row r="356" spans="2:9" x14ac:dyDescent="0.3">
      <c r="B356" s="43">
        <v>45776</v>
      </c>
      <c r="C356" s="242" t="str">
        <f t="shared" si="15"/>
        <v>Apr-25</v>
      </c>
      <c r="D356" s="365" t="s">
        <v>1005</v>
      </c>
      <c r="E356" s="366" t="s">
        <v>2524</v>
      </c>
      <c r="F356" s="65">
        <v>33950.61</v>
      </c>
      <c r="G356" s="11" t="s">
        <v>939</v>
      </c>
      <c r="H356" s="368">
        <f>F356</f>
        <v>33950.61</v>
      </c>
      <c r="I356" s="369">
        <v>0</v>
      </c>
    </row>
    <row r="357" spans="2:9" x14ac:dyDescent="0.3">
      <c r="B357" s="43">
        <v>45776</v>
      </c>
      <c r="C357" s="242" t="str">
        <f t="shared" si="15"/>
        <v>Apr-25</v>
      </c>
      <c r="D357" t="s">
        <v>2178</v>
      </c>
      <c r="E357" s="370">
        <v>7742</v>
      </c>
      <c r="F357" s="65">
        <v>1120</v>
      </c>
      <c r="G357" s="10" t="s">
        <v>1121</v>
      </c>
      <c r="H357" s="373">
        <v>0</v>
      </c>
      <c r="I357" s="369">
        <f t="shared" ref="I357:I418" si="17">F357</f>
        <v>1120</v>
      </c>
    </row>
    <row r="358" spans="2:9" x14ac:dyDescent="0.3">
      <c r="B358" s="43">
        <v>45777</v>
      </c>
      <c r="C358" s="242" t="str">
        <f t="shared" si="15"/>
        <v>Apr-25</v>
      </c>
      <c r="D358" s="365" t="s">
        <v>1364</v>
      </c>
      <c r="E358" s="374">
        <v>45748</v>
      </c>
      <c r="F358" s="65">
        <v>31833.77</v>
      </c>
      <c r="G358" s="11" t="s">
        <v>2179</v>
      </c>
      <c r="H358" s="368">
        <v>0</v>
      </c>
      <c r="I358" s="369">
        <f t="shared" si="17"/>
        <v>31833.77</v>
      </c>
    </row>
    <row r="359" spans="2:9" x14ac:dyDescent="0.3">
      <c r="B359" s="43">
        <v>45777</v>
      </c>
      <c r="C359" s="242" t="str">
        <f t="shared" si="15"/>
        <v>Apr-25</v>
      </c>
      <c r="D359" t="s">
        <v>1014</v>
      </c>
      <c r="E359" s="371">
        <v>45748</v>
      </c>
      <c r="F359" s="65">
        <v>35000</v>
      </c>
      <c r="G359" s="10" t="s">
        <v>1123</v>
      </c>
      <c r="H359" s="373">
        <v>0</v>
      </c>
      <c r="I359" s="369">
        <f t="shared" si="17"/>
        <v>35000</v>
      </c>
    </row>
    <row r="360" spans="2:9" x14ac:dyDescent="0.3">
      <c r="B360" s="43">
        <v>45777</v>
      </c>
      <c r="C360" s="242" t="str">
        <f t="shared" si="15"/>
        <v>Apr-25</v>
      </c>
      <c r="D360" t="s">
        <v>1013</v>
      </c>
      <c r="E360" s="371">
        <v>45748</v>
      </c>
      <c r="F360" s="65">
        <v>155000</v>
      </c>
      <c r="G360" s="10" t="s">
        <v>1123</v>
      </c>
      <c r="H360" s="373">
        <v>0</v>
      </c>
      <c r="I360" s="369">
        <f t="shared" si="17"/>
        <v>155000</v>
      </c>
    </row>
    <row r="361" spans="2:9" x14ac:dyDescent="0.3">
      <c r="B361" s="43">
        <v>45777</v>
      </c>
      <c r="C361" s="242" t="str">
        <f t="shared" si="15"/>
        <v>Apr-25</v>
      </c>
      <c r="D361" t="s">
        <v>1004</v>
      </c>
      <c r="E361" s="371">
        <v>45748</v>
      </c>
      <c r="F361" s="65">
        <v>250000</v>
      </c>
      <c r="G361" s="10" t="s">
        <v>1122</v>
      </c>
      <c r="H361" s="373">
        <v>0</v>
      </c>
      <c r="I361" s="369">
        <f t="shared" si="17"/>
        <v>250000</v>
      </c>
    </row>
    <row r="362" spans="2:9" x14ac:dyDescent="0.3">
      <c r="B362" s="43">
        <v>45777</v>
      </c>
      <c r="C362" s="242" t="str">
        <f t="shared" si="15"/>
        <v>Apr-25</v>
      </c>
      <c r="D362" t="s">
        <v>1000</v>
      </c>
      <c r="E362" s="371">
        <v>45748</v>
      </c>
      <c r="F362" s="65">
        <v>26140</v>
      </c>
      <c r="G362" s="10" t="s">
        <v>941</v>
      </c>
      <c r="H362" s="373">
        <v>0</v>
      </c>
      <c r="I362" s="369">
        <f t="shared" si="17"/>
        <v>26140</v>
      </c>
    </row>
    <row r="363" spans="2:9" x14ac:dyDescent="0.3">
      <c r="B363" s="43">
        <v>45777</v>
      </c>
      <c r="C363" s="242" t="str">
        <f t="shared" si="15"/>
        <v>Apr-25</v>
      </c>
      <c r="D363" t="s">
        <v>1003</v>
      </c>
      <c r="E363" s="371">
        <v>45748</v>
      </c>
      <c r="F363" s="65">
        <v>660</v>
      </c>
      <c r="G363" s="10" t="s">
        <v>937</v>
      </c>
      <c r="H363" s="373">
        <v>0</v>
      </c>
      <c r="I363" s="369">
        <f t="shared" si="17"/>
        <v>660</v>
      </c>
    </row>
    <row r="364" spans="2:9" x14ac:dyDescent="0.3">
      <c r="B364" s="43">
        <v>45777</v>
      </c>
      <c r="C364" s="242" t="str">
        <f t="shared" si="15"/>
        <v>Apr-25</v>
      </c>
      <c r="D364" t="s">
        <v>1006</v>
      </c>
      <c r="E364" s="371">
        <v>45748</v>
      </c>
      <c r="F364" s="65">
        <v>5055</v>
      </c>
      <c r="G364" s="10" t="s">
        <v>1361</v>
      </c>
      <c r="H364" s="373">
        <v>0</v>
      </c>
      <c r="I364" s="369">
        <f t="shared" si="17"/>
        <v>5055</v>
      </c>
    </row>
    <row r="365" spans="2:9" x14ac:dyDescent="0.3">
      <c r="B365" s="43">
        <v>45784</v>
      </c>
      <c r="C365" s="242" t="str">
        <f t="shared" si="15"/>
        <v>May-25</v>
      </c>
      <c r="D365" t="s">
        <v>2178</v>
      </c>
      <c r="E365" s="370">
        <v>7874</v>
      </c>
      <c r="F365" s="65">
        <v>2280</v>
      </c>
      <c r="G365" s="10" t="s">
        <v>1121</v>
      </c>
      <c r="H365" s="373">
        <v>0</v>
      </c>
      <c r="I365" s="369">
        <f t="shared" si="17"/>
        <v>2280</v>
      </c>
    </row>
    <row r="366" spans="2:9" x14ac:dyDescent="0.3">
      <c r="B366" s="43">
        <v>45785</v>
      </c>
      <c r="C366" s="242" t="str">
        <f t="shared" si="15"/>
        <v>May-25</v>
      </c>
      <c r="D366" t="s">
        <v>999</v>
      </c>
      <c r="E366" s="370" t="s">
        <v>1077</v>
      </c>
      <c r="F366" s="65">
        <v>10780</v>
      </c>
      <c r="G366" s="10" t="s">
        <v>936</v>
      </c>
      <c r="H366" s="373">
        <v>0</v>
      </c>
      <c r="I366" s="369">
        <f t="shared" si="17"/>
        <v>10780</v>
      </c>
    </row>
    <row r="367" spans="2:9" x14ac:dyDescent="0.3">
      <c r="B367" s="43">
        <v>45786</v>
      </c>
      <c r="C367" s="242" t="str">
        <f t="shared" si="15"/>
        <v>May-25</v>
      </c>
      <c r="D367" t="s">
        <v>998</v>
      </c>
      <c r="E367" s="370">
        <v>7676</v>
      </c>
      <c r="F367" s="65">
        <v>596</v>
      </c>
      <c r="G367" s="10" t="s">
        <v>1121</v>
      </c>
      <c r="H367" s="373">
        <v>0</v>
      </c>
      <c r="I367" s="369">
        <f t="shared" si="17"/>
        <v>596</v>
      </c>
    </row>
    <row r="368" spans="2:9" x14ac:dyDescent="0.3">
      <c r="B368" s="43">
        <v>45786</v>
      </c>
      <c r="C368" s="242" t="str">
        <f t="shared" si="15"/>
        <v>May-25</v>
      </c>
      <c r="D368" t="s">
        <v>998</v>
      </c>
      <c r="E368" s="370">
        <v>7676</v>
      </c>
      <c r="F368" s="65">
        <v>596</v>
      </c>
      <c r="G368" s="10" t="s">
        <v>1121</v>
      </c>
      <c r="H368" s="373">
        <v>0</v>
      </c>
      <c r="I368" s="369">
        <f t="shared" si="17"/>
        <v>596</v>
      </c>
    </row>
    <row r="369" spans="2:9" x14ac:dyDescent="0.3">
      <c r="B369" s="43">
        <v>45789</v>
      </c>
      <c r="C369" s="242" t="str">
        <f t="shared" si="15"/>
        <v>May-25</v>
      </c>
      <c r="D369" t="s">
        <v>1739</v>
      </c>
      <c r="E369" s="370">
        <v>7696</v>
      </c>
      <c r="F369" s="65">
        <v>1344</v>
      </c>
      <c r="G369" s="10" t="s">
        <v>933</v>
      </c>
      <c r="H369" s="373">
        <v>0</v>
      </c>
      <c r="I369" s="369">
        <f t="shared" si="17"/>
        <v>1344</v>
      </c>
    </row>
    <row r="370" spans="2:9" x14ac:dyDescent="0.3">
      <c r="B370" s="43">
        <v>45791</v>
      </c>
      <c r="C370" s="242" t="str">
        <f t="shared" si="15"/>
        <v>May-25</v>
      </c>
      <c r="D370" t="s">
        <v>999</v>
      </c>
      <c r="E370" s="370">
        <v>7672</v>
      </c>
      <c r="F370" s="65">
        <v>360</v>
      </c>
      <c r="G370" s="10" t="s">
        <v>1121</v>
      </c>
      <c r="H370" s="373">
        <v>0</v>
      </c>
      <c r="I370" s="369">
        <f t="shared" si="17"/>
        <v>360</v>
      </c>
    </row>
    <row r="371" spans="2:9" x14ac:dyDescent="0.3">
      <c r="B371" s="43">
        <v>45792</v>
      </c>
      <c r="C371" s="242" t="str">
        <f t="shared" si="15"/>
        <v>May-25</v>
      </c>
      <c r="D371" t="s">
        <v>1739</v>
      </c>
      <c r="E371" s="370">
        <v>7695</v>
      </c>
      <c r="F371" s="65">
        <v>1605</v>
      </c>
      <c r="G371" s="10" t="s">
        <v>929</v>
      </c>
      <c r="H371" s="373">
        <v>0</v>
      </c>
      <c r="I371" s="369">
        <f t="shared" si="17"/>
        <v>1605</v>
      </c>
    </row>
    <row r="372" spans="2:9" x14ac:dyDescent="0.3">
      <c r="B372" s="43">
        <v>45792</v>
      </c>
      <c r="C372" s="242" t="str">
        <f t="shared" si="15"/>
        <v>May-25</v>
      </c>
      <c r="D372" t="s">
        <v>1739</v>
      </c>
      <c r="E372" s="370">
        <v>7695</v>
      </c>
      <c r="F372" s="65">
        <v>1633</v>
      </c>
      <c r="G372" s="10" t="s">
        <v>933</v>
      </c>
      <c r="H372" s="373">
        <v>0</v>
      </c>
      <c r="I372" s="369">
        <f t="shared" si="17"/>
        <v>1633</v>
      </c>
    </row>
    <row r="373" spans="2:9" x14ac:dyDescent="0.3">
      <c r="B373" s="43">
        <v>45793</v>
      </c>
      <c r="C373" s="242" t="str">
        <f t="shared" si="15"/>
        <v>May-25</v>
      </c>
      <c r="D373" t="s">
        <v>2178</v>
      </c>
      <c r="E373" s="370">
        <v>7875</v>
      </c>
      <c r="F373" s="65">
        <v>1212</v>
      </c>
      <c r="G373" s="10" t="s">
        <v>1121</v>
      </c>
      <c r="H373" s="373">
        <v>0</v>
      </c>
      <c r="I373" s="369">
        <f t="shared" si="17"/>
        <v>1212</v>
      </c>
    </row>
    <row r="374" spans="2:9" x14ac:dyDescent="0.3">
      <c r="B374" s="43">
        <v>45797</v>
      </c>
      <c r="C374" s="242" t="str">
        <f t="shared" si="15"/>
        <v>May-25</v>
      </c>
      <c r="D374" t="s">
        <v>1530</v>
      </c>
      <c r="E374" s="370">
        <v>7739</v>
      </c>
      <c r="F374" s="65">
        <v>2810</v>
      </c>
      <c r="G374" s="10" t="s">
        <v>933</v>
      </c>
      <c r="H374" s="373">
        <v>0</v>
      </c>
      <c r="I374" s="369">
        <f t="shared" si="17"/>
        <v>2810</v>
      </c>
    </row>
    <row r="375" spans="2:9" x14ac:dyDescent="0.3">
      <c r="B375" s="43">
        <v>45797</v>
      </c>
      <c r="C375" s="242" t="str">
        <f t="shared" si="15"/>
        <v>May-25</v>
      </c>
      <c r="D375" t="s">
        <v>1530</v>
      </c>
      <c r="E375" s="370">
        <v>7739</v>
      </c>
      <c r="F375" s="65">
        <v>15537</v>
      </c>
      <c r="G375" s="10" t="s">
        <v>931</v>
      </c>
      <c r="H375" s="373">
        <v>0</v>
      </c>
      <c r="I375" s="369">
        <f t="shared" si="17"/>
        <v>15537</v>
      </c>
    </row>
    <row r="376" spans="2:9" x14ac:dyDescent="0.3">
      <c r="B376" s="43">
        <v>45798</v>
      </c>
      <c r="C376" s="242" t="str">
        <f t="shared" si="15"/>
        <v>May-25</v>
      </c>
      <c r="D376" t="s">
        <v>1736</v>
      </c>
      <c r="E376" s="370">
        <v>7844</v>
      </c>
      <c r="F376" s="65">
        <v>1050</v>
      </c>
      <c r="G376" s="10" t="s">
        <v>933</v>
      </c>
      <c r="H376" s="373">
        <v>0</v>
      </c>
      <c r="I376" s="369">
        <f t="shared" si="17"/>
        <v>1050</v>
      </c>
    </row>
    <row r="377" spans="2:9" x14ac:dyDescent="0.3">
      <c r="B377" s="43">
        <v>45799</v>
      </c>
      <c r="C377" s="242" t="str">
        <f t="shared" si="15"/>
        <v>May-25</v>
      </c>
      <c r="D377" t="s">
        <v>1530</v>
      </c>
      <c r="E377" s="370">
        <v>7755</v>
      </c>
      <c r="F377" s="65">
        <v>12514.15</v>
      </c>
      <c r="G377" s="10" t="s">
        <v>929</v>
      </c>
      <c r="H377" s="373">
        <v>0</v>
      </c>
      <c r="I377" s="369">
        <f t="shared" si="17"/>
        <v>12514.15</v>
      </c>
    </row>
    <row r="378" spans="2:9" x14ac:dyDescent="0.3">
      <c r="B378" s="43">
        <v>45801</v>
      </c>
      <c r="C378" s="242" t="str">
        <f t="shared" si="15"/>
        <v>May-25</v>
      </c>
      <c r="D378" t="s">
        <v>2178</v>
      </c>
      <c r="E378" s="370">
        <v>7871</v>
      </c>
      <c r="F378" s="65">
        <v>4918</v>
      </c>
      <c r="G378" s="10" t="s">
        <v>932</v>
      </c>
      <c r="H378" s="373">
        <v>0</v>
      </c>
      <c r="I378" s="369">
        <f t="shared" si="17"/>
        <v>4918</v>
      </c>
    </row>
    <row r="379" spans="2:9" x14ac:dyDescent="0.3">
      <c r="B379" s="43">
        <v>45801</v>
      </c>
      <c r="C379" s="242" t="str">
        <f t="shared" si="15"/>
        <v>May-25</v>
      </c>
      <c r="D379" t="s">
        <v>2178</v>
      </c>
      <c r="E379" s="370"/>
      <c r="F379" s="65">
        <v>9011.68</v>
      </c>
      <c r="G379" s="10" t="s">
        <v>931</v>
      </c>
      <c r="H379" s="373">
        <v>0</v>
      </c>
      <c r="I379" s="369">
        <f t="shared" si="17"/>
        <v>9011.68</v>
      </c>
    </row>
    <row r="380" spans="2:9" x14ac:dyDescent="0.3">
      <c r="B380" s="43">
        <v>45801</v>
      </c>
      <c r="C380" s="242" t="str">
        <f t="shared" si="15"/>
        <v>May-25</v>
      </c>
      <c r="D380" t="s">
        <v>1739</v>
      </c>
      <c r="E380" s="370"/>
      <c r="F380" s="65">
        <v>25780.73</v>
      </c>
      <c r="G380" s="10" t="s">
        <v>931</v>
      </c>
      <c r="H380" s="373">
        <v>0</v>
      </c>
      <c r="I380" s="369">
        <f t="shared" si="17"/>
        <v>25780.73</v>
      </c>
    </row>
    <row r="381" spans="2:9" x14ac:dyDescent="0.3">
      <c r="B381" s="43">
        <v>45803</v>
      </c>
      <c r="C381" s="242" t="str">
        <f t="shared" si="15"/>
        <v>May-25</v>
      </c>
      <c r="D381" t="s">
        <v>1736</v>
      </c>
      <c r="E381" s="370">
        <v>7583</v>
      </c>
      <c r="F381" s="65">
        <v>10624</v>
      </c>
      <c r="G381" s="10" t="s">
        <v>1121</v>
      </c>
      <c r="H381" s="373">
        <v>0</v>
      </c>
      <c r="I381" s="369">
        <f t="shared" si="17"/>
        <v>10624</v>
      </c>
    </row>
    <row r="382" spans="2:9" x14ac:dyDescent="0.3">
      <c r="B382" s="43">
        <v>45804</v>
      </c>
      <c r="C382" s="242" t="str">
        <f t="shared" si="15"/>
        <v>May-25</v>
      </c>
      <c r="D382" t="s">
        <v>999</v>
      </c>
      <c r="E382" s="370" t="s">
        <v>1105</v>
      </c>
      <c r="F382" s="65">
        <v>10660</v>
      </c>
      <c r="G382" s="10" t="s">
        <v>936</v>
      </c>
      <c r="H382" s="373">
        <v>0</v>
      </c>
      <c r="I382" s="369">
        <f t="shared" si="17"/>
        <v>10660</v>
      </c>
    </row>
    <row r="383" spans="2:9" x14ac:dyDescent="0.3">
      <c r="B383" s="43">
        <v>45804</v>
      </c>
      <c r="C383" s="242" t="str">
        <f t="shared" si="15"/>
        <v>May-25</v>
      </c>
      <c r="D383" t="s">
        <v>1739</v>
      </c>
      <c r="E383" s="370">
        <v>7857</v>
      </c>
      <c r="F383" s="65">
        <v>3048</v>
      </c>
      <c r="G383" s="10" t="s">
        <v>1121</v>
      </c>
      <c r="H383" s="373">
        <v>0</v>
      </c>
      <c r="I383" s="369">
        <f t="shared" si="17"/>
        <v>3048</v>
      </c>
    </row>
    <row r="384" spans="2:9" x14ac:dyDescent="0.3">
      <c r="B384" s="43">
        <v>45805</v>
      </c>
      <c r="C384" s="242" t="str">
        <f t="shared" si="15"/>
        <v>May-25</v>
      </c>
      <c r="D384" t="s">
        <v>1530</v>
      </c>
      <c r="E384" s="370">
        <v>7970</v>
      </c>
      <c r="F384" s="65">
        <v>7437.87</v>
      </c>
      <c r="G384" s="10" t="s">
        <v>929</v>
      </c>
      <c r="H384" s="373">
        <v>0</v>
      </c>
      <c r="I384" s="369">
        <f t="shared" si="17"/>
        <v>7437.87</v>
      </c>
    </row>
    <row r="385" spans="2:9" x14ac:dyDescent="0.3">
      <c r="B385" s="43">
        <v>45805</v>
      </c>
      <c r="C385" s="242" t="str">
        <f t="shared" si="15"/>
        <v>May-25</v>
      </c>
      <c r="D385" t="s">
        <v>1530</v>
      </c>
      <c r="E385" s="370">
        <v>7970</v>
      </c>
      <c r="F385" s="65">
        <v>489</v>
      </c>
      <c r="G385" s="10" t="s">
        <v>933</v>
      </c>
      <c r="H385" s="373">
        <v>0</v>
      </c>
      <c r="I385" s="369">
        <f t="shared" si="17"/>
        <v>489</v>
      </c>
    </row>
    <row r="386" spans="2:9" x14ac:dyDescent="0.3">
      <c r="B386" s="43">
        <v>45808</v>
      </c>
      <c r="C386" s="242" t="str">
        <f t="shared" si="15"/>
        <v>May-25</v>
      </c>
      <c r="D386" s="365" t="s">
        <v>1364</v>
      </c>
      <c r="E386" s="374">
        <v>45778</v>
      </c>
      <c r="F386" s="65">
        <v>33397.019999999997</v>
      </c>
      <c r="G386" s="11" t="s">
        <v>2179</v>
      </c>
      <c r="H386" s="368">
        <v>0</v>
      </c>
      <c r="I386" s="369">
        <f t="shared" si="17"/>
        <v>33397.019999999997</v>
      </c>
    </row>
    <row r="387" spans="2:9" x14ac:dyDescent="0.3">
      <c r="B387" s="43">
        <v>45808</v>
      </c>
      <c r="C387" s="242" t="str">
        <f t="shared" si="15"/>
        <v>May-25</v>
      </c>
      <c r="D387" t="s">
        <v>1014</v>
      </c>
      <c r="E387" s="371">
        <v>45778</v>
      </c>
      <c r="F387" s="65">
        <v>35000</v>
      </c>
      <c r="G387" s="10" t="s">
        <v>1123</v>
      </c>
      <c r="H387" s="373">
        <v>0</v>
      </c>
      <c r="I387" s="369">
        <f t="shared" si="17"/>
        <v>35000</v>
      </c>
    </row>
    <row r="388" spans="2:9" x14ac:dyDescent="0.3">
      <c r="B388" s="43">
        <v>45808</v>
      </c>
      <c r="C388" s="242" t="str">
        <f t="shared" si="15"/>
        <v>May-25</v>
      </c>
      <c r="D388" t="s">
        <v>1013</v>
      </c>
      <c r="E388" s="371">
        <v>45778</v>
      </c>
      <c r="F388" s="65">
        <v>155000</v>
      </c>
      <c r="G388" s="10" t="s">
        <v>1123</v>
      </c>
      <c r="H388" s="373">
        <v>0</v>
      </c>
      <c r="I388" s="369">
        <f t="shared" si="17"/>
        <v>155000</v>
      </c>
    </row>
    <row r="389" spans="2:9" x14ac:dyDescent="0.3">
      <c r="B389" s="43">
        <v>45808</v>
      </c>
      <c r="C389" s="242" t="str">
        <f t="shared" ref="C389:C452" si="18">TEXT(B389,"mmm-yy")</f>
        <v>May-25</v>
      </c>
      <c r="D389" t="s">
        <v>1003</v>
      </c>
      <c r="E389" s="371">
        <v>45778</v>
      </c>
      <c r="F389" s="65">
        <v>660</v>
      </c>
      <c r="G389" s="10" t="s">
        <v>937</v>
      </c>
      <c r="H389" s="373">
        <v>0</v>
      </c>
      <c r="I389" s="369">
        <f t="shared" si="17"/>
        <v>660</v>
      </c>
    </row>
    <row r="390" spans="2:9" x14ac:dyDescent="0.3">
      <c r="B390" s="43">
        <v>45808</v>
      </c>
      <c r="C390" s="242" t="str">
        <f t="shared" si="18"/>
        <v>May-25</v>
      </c>
      <c r="D390" t="s">
        <v>1004</v>
      </c>
      <c r="E390" s="371">
        <v>45778</v>
      </c>
      <c r="F390" s="65">
        <v>250000</v>
      </c>
      <c r="G390" s="10" t="s">
        <v>1122</v>
      </c>
      <c r="H390" s="373">
        <v>0</v>
      </c>
      <c r="I390" s="369">
        <f t="shared" si="17"/>
        <v>250000</v>
      </c>
    </row>
    <row r="391" spans="2:9" x14ac:dyDescent="0.3">
      <c r="B391" s="43">
        <v>45808</v>
      </c>
      <c r="C391" s="242" t="str">
        <f t="shared" si="18"/>
        <v>May-25</v>
      </c>
      <c r="D391" t="s">
        <v>1000</v>
      </c>
      <c r="E391" s="371">
        <v>45778</v>
      </c>
      <c r="F391" s="65">
        <v>40600</v>
      </c>
      <c r="G391" s="10" t="s">
        <v>941</v>
      </c>
      <c r="H391" s="373">
        <v>0</v>
      </c>
      <c r="I391" s="369">
        <f t="shared" si="17"/>
        <v>40600</v>
      </c>
    </row>
    <row r="392" spans="2:9" x14ac:dyDescent="0.3">
      <c r="B392" s="43">
        <v>45808</v>
      </c>
      <c r="C392" s="242" t="str">
        <f t="shared" si="18"/>
        <v>May-25</v>
      </c>
      <c r="D392" t="s">
        <v>1006</v>
      </c>
      <c r="E392" s="371">
        <v>45778</v>
      </c>
      <c r="F392" s="65">
        <v>5223</v>
      </c>
      <c r="G392" s="10" t="s">
        <v>1361</v>
      </c>
      <c r="H392" s="373">
        <v>0</v>
      </c>
      <c r="I392" s="369">
        <f t="shared" si="17"/>
        <v>5223</v>
      </c>
    </row>
    <row r="393" spans="2:9" x14ac:dyDescent="0.3">
      <c r="B393" s="43">
        <v>45809</v>
      </c>
      <c r="C393" s="242" t="str">
        <f t="shared" si="18"/>
        <v>Jun-25</v>
      </c>
      <c r="D393" t="s">
        <v>1530</v>
      </c>
      <c r="E393" s="370">
        <v>8249</v>
      </c>
      <c r="F393" s="65">
        <v>12850</v>
      </c>
      <c r="G393" s="10" t="s">
        <v>931</v>
      </c>
      <c r="H393" s="373">
        <v>0</v>
      </c>
      <c r="I393" s="369">
        <f t="shared" si="17"/>
        <v>12850</v>
      </c>
    </row>
    <row r="394" spans="2:9" x14ac:dyDescent="0.3">
      <c r="B394" s="43">
        <v>45810</v>
      </c>
      <c r="C394" s="242" t="str">
        <f t="shared" si="18"/>
        <v>Jun-25</v>
      </c>
      <c r="D394" t="s">
        <v>2178</v>
      </c>
      <c r="E394" s="370">
        <v>8368</v>
      </c>
      <c r="F394" s="65">
        <v>555</v>
      </c>
      <c r="G394" s="10" t="s">
        <v>929</v>
      </c>
      <c r="H394" s="373">
        <v>0</v>
      </c>
      <c r="I394" s="369">
        <f t="shared" si="17"/>
        <v>555</v>
      </c>
    </row>
    <row r="395" spans="2:9" x14ac:dyDescent="0.3">
      <c r="B395" s="43">
        <v>45814</v>
      </c>
      <c r="C395" s="242" t="str">
        <f t="shared" si="18"/>
        <v>Jun-25</v>
      </c>
      <c r="D395" t="s">
        <v>999</v>
      </c>
      <c r="E395" s="370" t="s">
        <v>1108</v>
      </c>
      <c r="F395" s="65">
        <v>19220</v>
      </c>
      <c r="G395" s="10" t="s">
        <v>936</v>
      </c>
      <c r="H395" s="373">
        <v>0</v>
      </c>
      <c r="I395" s="369">
        <f t="shared" si="17"/>
        <v>19220</v>
      </c>
    </row>
    <row r="396" spans="2:9" x14ac:dyDescent="0.3">
      <c r="B396" s="43">
        <v>45817</v>
      </c>
      <c r="C396" s="242" t="str">
        <f t="shared" si="18"/>
        <v>Jun-25</v>
      </c>
      <c r="D396" t="s">
        <v>2178</v>
      </c>
      <c r="E396" s="370">
        <v>8370</v>
      </c>
      <c r="F396" s="65">
        <v>1520</v>
      </c>
      <c r="G396" s="10" t="s">
        <v>1121</v>
      </c>
      <c r="H396" s="373">
        <v>0</v>
      </c>
      <c r="I396" s="369">
        <f t="shared" si="17"/>
        <v>1520</v>
      </c>
    </row>
    <row r="397" spans="2:9" x14ac:dyDescent="0.3">
      <c r="B397" s="43">
        <v>45820</v>
      </c>
      <c r="C397" s="242" t="str">
        <f t="shared" si="18"/>
        <v>Jun-25</v>
      </c>
      <c r="D397" t="s">
        <v>999</v>
      </c>
      <c r="E397" s="370" t="s">
        <v>1109</v>
      </c>
      <c r="F397" s="65">
        <v>2645</v>
      </c>
      <c r="G397" s="10" t="s">
        <v>936</v>
      </c>
      <c r="H397" s="373">
        <v>0</v>
      </c>
      <c r="I397" s="369">
        <f t="shared" si="17"/>
        <v>2645</v>
      </c>
    </row>
    <row r="398" spans="2:9" x14ac:dyDescent="0.3">
      <c r="B398" s="43">
        <v>45820</v>
      </c>
      <c r="C398" s="242" t="str">
        <f t="shared" si="18"/>
        <v>Jun-25</v>
      </c>
      <c r="D398" t="s">
        <v>999</v>
      </c>
      <c r="E398" s="370" t="s">
        <v>1109</v>
      </c>
      <c r="F398" s="65">
        <v>82300</v>
      </c>
      <c r="G398" s="10" t="s">
        <v>2525</v>
      </c>
      <c r="H398" s="373">
        <v>0</v>
      </c>
      <c r="I398" s="369">
        <f t="shared" si="17"/>
        <v>82300</v>
      </c>
    </row>
    <row r="399" spans="2:9" x14ac:dyDescent="0.3">
      <c r="B399" s="43">
        <v>45821</v>
      </c>
      <c r="C399" s="242" t="str">
        <f t="shared" si="18"/>
        <v>Jun-25</v>
      </c>
      <c r="D399" t="s">
        <v>999</v>
      </c>
      <c r="E399" s="370">
        <v>7985</v>
      </c>
      <c r="F399" s="65">
        <v>304</v>
      </c>
      <c r="G399" s="10" t="s">
        <v>1121</v>
      </c>
      <c r="H399" s="373">
        <v>0</v>
      </c>
      <c r="I399" s="369">
        <f t="shared" si="17"/>
        <v>304</v>
      </c>
    </row>
    <row r="400" spans="2:9" x14ac:dyDescent="0.3">
      <c r="B400" s="43">
        <v>45822</v>
      </c>
      <c r="C400" s="242" t="str">
        <f t="shared" si="18"/>
        <v>Jun-25</v>
      </c>
      <c r="D400" t="s">
        <v>998</v>
      </c>
      <c r="E400" s="370">
        <v>7962</v>
      </c>
      <c r="F400" s="65">
        <v>2832</v>
      </c>
      <c r="G400" s="10" t="s">
        <v>1121</v>
      </c>
      <c r="H400" s="373">
        <v>0</v>
      </c>
      <c r="I400" s="369">
        <f t="shared" si="17"/>
        <v>2832</v>
      </c>
    </row>
    <row r="401" spans="2:9" x14ac:dyDescent="0.3">
      <c r="B401" s="43">
        <v>45822</v>
      </c>
      <c r="C401" s="242" t="str">
        <f t="shared" si="18"/>
        <v>Jun-25</v>
      </c>
      <c r="D401" t="s">
        <v>1737</v>
      </c>
      <c r="E401" s="370">
        <v>8025</v>
      </c>
      <c r="F401" s="65">
        <v>1585</v>
      </c>
      <c r="G401" s="10" t="s">
        <v>929</v>
      </c>
      <c r="H401" s="373">
        <v>0</v>
      </c>
      <c r="I401" s="369">
        <f t="shared" si="17"/>
        <v>1585</v>
      </c>
    </row>
    <row r="402" spans="2:9" x14ac:dyDescent="0.3">
      <c r="B402" s="43">
        <v>45822</v>
      </c>
      <c r="C402" s="242" t="str">
        <f t="shared" si="18"/>
        <v>Jun-25</v>
      </c>
      <c r="D402" t="s">
        <v>998</v>
      </c>
      <c r="E402" s="370">
        <v>7962</v>
      </c>
      <c r="F402" s="65">
        <v>2832</v>
      </c>
      <c r="G402" s="10" t="s">
        <v>1121</v>
      </c>
      <c r="H402" s="373">
        <v>0</v>
      </c>
      <c r="I402" s="369">
        <f t="shared" si="17"/>
        <v>2832</v>
      </c>
    </row>
    <row r="403" spans="2:9" x14ac:dyDescent="0.3">
      <c r="B403" s="43">
        <v>45822</v>
      </c>
      <c r="C403" s="242" t="str">
        <f t="shared" si="18"/>
        <v>Jun-25</v>
      </c>
      <c r="D403" t="s">
        <v>1736</v>
      </c>
      <c r="E403" s="370">
        <v>8006</v>
      </c>
      <c r="F403" s="65">
        <v>881</v>
      </c>
      <c r="G403" s="10" t="s">
        <v>1766</v>
      </c>
      <c r="H403" s="373">
        <v>0</v>
      </c>
      <c r="I403" s="369">
        <f t="shared" si="17"/>
        <v>881</v>
      </c>
    </row>
    <row r="404" spans="2:9" x14ac:dyDescent="0.3">
      <c r="B404" s="43">
        <v>45825</v>
      </c>
      <c r="C404" s="242" t="str">
        <f t="shared" si="18"/>
        <v>Jun-25</v>
      </c>
      <c r="D404" t="s">
        <v>1736</v>
      </c>
      <c r="E404" s="370">
        <v>8141</v>
      </c>
      <c r="F404" s="65">
        <v>374</v>
      </c>
      <c r="G404" s="10" t="s">
        <v>933</v>
      </c>
      <c r="H404" s="373">
        <v>0</v>
      </c>
      <c r="I404" s="369">
        <f t="shared" si="17"/>
        <v>374</v>
      </c>
    </row>
    <row r="405" spans="2:9" x14ac:dyDescent="0.3">
      <c r="B405" s="43">
        <v>45826</v>
      </c>
      <c r="C405" s="242" t="str">
        <f t="shared" si="18"/>
        <v>Jun-25</v>
      </c>
      <c r="D405" t="s">
        <v>2178</v>
      </c>
      <c r="E405" s="370">
        <v>8367</v>
      </c>
      <c r="F405" s="65">
        <v>559</v>
      </c>
      <c r="G405" s="10" t="s">
        <v>929</v>
      </c>
      <c r="H405" s="373">
        <v>0</v>
      </c>
      <c r="I405" s="369">
        <f t="shared" si="17"/>
        <v>559</v>
      </c>
    </row>
    <row r="406" spans="2:9" x14ac:dyDescent="0.3">
      <c r="B406" s="43">
        <v>45826</v>
      </c>
      <c r="C406" s="242" t="str">
        <f t="shared" si="18"/>
        <v>Jun-25</v>
      </c>
      <c r="D406" t="s">
        <v>1736</v>
      </c>
      <c r="E406" s="370">
        <v>8140</v>
      </c>
      <c r="F406" s="65">
        <v>800</v>
      </c>
      <c r="G406" s="10" t="s">
        <v>933</v>
      </c>
      <c r="H406" s="373">
        <v>0</v>
      </c>
      <c r="I406" s="369">
        <f t="shared" si="17"/>
        <v>800</v>
      </c>
    </row>
    <row r="407" spans="2:9" x14ac:dyDescent="0.3">
      <c r="B407" s="43">
        <v>45827</v>
      </c>
      <c r="C407" s="242" t="str">
        <f t="shared" si="18"/>
        <v>Jun-25</v>
      </c>
      <c r="D407" t="s">
        <v>999</v>
      </c>
      <c r="E407" s="370" t="s">
        <v>1090</v>
      </c>
      <c r="F407" s="65">
        <v>13050</v>
      </c>
      <c r="G407" s="10" t="s">
        <v>936</v>
      </c>
      <c r="H407" s="373">
        <v>0</v>
      </c>
      <c r="I407" s="369">
        <f t="shared" si="17"/>
        <v>13050</v>
      </c>
    </row>
    <row r="408" spans="2:9" x14ac:dyDescent="0.3">
      <c r="B408" s="43">
        <v>45827</v>
      </c>
      <c r="C408" s="242" t="str">
        <f t="shared" si="18"/>
        <v>Jun-25</v>
      </c>
      <c r="D408" t="s">
        <v>1739</v>
      </c>
      <c r="E408" s="370">
        <v>8049</v>
      </c>
      <c r="F408" s="65">
        <v>5952</v>
      </c>
      <c r="G408" s="10" t="s">
        <v>1121</v>
      </c>
      <c r="H408" s="373">
        <v>0</v>
      </c>
      <c r="I408" s="369">
        <f t="shared" si="17"/>
        <v>5952</v>
      </c>
    </row>
    <row r="409" spans="2:9" x14ac:dyDescent="0.3">
      <c r="B409" s="43">
        <v>45827</v>
      </c>
      <c r="C409" s="242" t="str">
        <f t="shared" si="18"/>
        <v>Jun-25</v>
      </c>
      <c r="D409" t="s">
        <v>999</v>
      </c>
      <c r="E409" s="370" t="s">
        <v>1090</v>
      </c>
      <c r="F409" s="65">
        <v>78000</v>
      </c>
      <c r="G409" s="10" t="s">
        <v>2525</v>
      </c>
      <c r="H409" s="373">
        <v>0</v>
      </c>
      <c r="I409" s="369">
        <f t="shared" si="17"/>
        <v>78000</v>
      </c>
    </row>
    <row r="410" spans="2:9" x14ac:dyDescent="0.3">
      <c r="B410" s="43">
        <v>45828</v>
      </c>
      <c r="C410" s="242" t="str">
        <f t="shared" si="18"/>
        <v>Jun-25</v>
      </c>
      <c r="D410" t="s">
        <v>998</v>
      </c>
      <c r="E410" s="370">
        <v>8085</v>
      </c>
      <c r="F410" s="65">
        <v>684</v>
      </c>
      <c r="G410" s="10" t="s">
        <v>1121</v>
      </c>
      <c r="H410" s="373">
        <v>0</v>
      </c>
      <c r="I410" s="369">
        <f t="shared" si="17"/>
        <v>684</v>
      </c>
    </row>
    <row r="411" spans="2:9" x14ac:dyDescent="0.3">
      <c r="B411" s="43">
        <v>45828</v>
      </c>
      <c r="C411" s="242" t="str">
        <f t="shared" si="18"/>
        <v>Jun-25</v>
      </c>
      <c r="D411" t="s">
        <v>998</v>
      </c>
      <c r="E411" s="370">
        <v>8085</v>
      </c>
      <c r="F411" s="65">
        <v>684</v>
      </c>
      <c r="G411" s="10" t="s">
        <v>1121</v>
      </c>
      <c r="H411" s="373">
        <v>0</v>
      </c>
      <c r="I411" s="369">
        <f t="shared" si="17"/>
        <v>684</v>
      </c>
    </row>
    <row r="412" spans="2:9" x14ac:dyDescent="0.3">
      <c r="B412" s="43">
        <v>45831</v>
      </c>
      <c r="C412" s="242" t="str">
        <f t="shared" si="18"/>
        <v>Jun-25</v>
      </c>
      <c r="D412" t="s">
        <v>1736</v>
      </c>
      <c r="E412" s="370">
        <v>7974</v>
      </c>
      <c r="F412" s="65">
        <v>8168</v>
      </c>
      <c r="G412" s="10" t="s">
        <v>1121</v>
      </c>
      <c r="H412" s="373">
        <v>0</v>
      </c>
      <c r="I412" s="369">
        <f t="shared" si="17"/>
        <v>8168</v>
      </c>
    </row>
    <row r="413" spans="2:9" x14ac:dyDescent="0.3">
      <c r="B413" s="43">
        <v>45832</v>
      </c>
      <c r="C413" s="242" t="str">
        <f t="shared" si="18"/>
        <v>Jun-25</v>
      </c>
      <c r="D413" t="s">
        <v>2178</v>
      </c>
      <c r="E413" s="370">
        <v>8366</v>
      </c>
      <c r="F413" s="65">
        <v>2995</v>
      </c>
      <c r="G413" s="10" t="s">
        <v>929</v>
      </c>
      <c r="H413" s="373">
        <v>0</v>
      </c>
      <c r="I413" s="369">
        <f t="shared" si="17"/>
        <v>2995</v>
      </c>
    </row>
    <row r="414" spans="2:9" x14ac:dyDescent="0.3">
      <c r="B414" s="43">
        <v>45833</v>
      </c>
      <c r="C414" s="242" t="str">
        <f t="shared" si="18"/>
        <v>Jun-25</v>
      </c>
      <c r="D414" t="s">
        <v>999</v>
      </c>
      <c r="E414" s="370" t="s">
        <v>1110</v>
      </c>
      <c r="F414" s="65">
        <v>26200</v>
      </c>
      <c r="G414" s="10" t="s">
        <v>936</v>
      </c>
      <c r="H414" s="373">
        <v>0</v>
      </c>
      <c r="I414" s="369">
        <f t="shared" si="17"/>
        <v>26200</v>
      </c>
    </row>
    <row r="415" spans="2:9" x14ac:dyDescent="0.3">
      <c r="B415" s="43">
        <v>45833</v>
      </c>
      <c r="C415" s="242" t="str">
        <f t="shared" si="18"/>
        <v>Jun-25</v>
      </c>
      <c r="D415" t="s">
        <v>999</v>
      </c>
      <c r="E415" s="370" t="s">
        <v>1110</v>
      </c>
      <c r="F415" s="65">
        <v>69000</v>
      </c>
      <c r="G415" s="10" t="s">
        <v>2525</v>
      </c>
      <c r="H415" s="373">
        <v>0</v>
      </c>
      <c r="I415" s="369">
        <f t="shared" si="17"/>
        <v>69000</v>
      </c>
    </row>
    <row r="416" spans="2:9" x14ac:dyDescent="0.3">
      <c r="B416" s="43">
        <v>45833</v>
      </c>
      <c r="C416" s="242" t="str">
        <f t="shared" si="18"/>
        <v>Jun-25</v>
      </c>
      <c r="D416" t="s">
        <v>999</v>
      </c>
      <c r="E416" s="370" t="s">
        <v>1107</v>
      </c>
      <c r="F416" s="65">
        <v>13875</v>
      </c>
      <c r="G416" s="10" t="s">
        <v>936</v>
      </c>
      <c r="H416" s="373">
        <v>0</v>
      </c>
      <c r="I416" s="369">
        <f t="shared" si="17"/>
        <v>13875</v>
      </c>
    </row>
    <row r="417" spans="2:9" x14ac:dyDescent="0.3">
      <c r="B417" s="43">
        <v>45833</v>
      </c>
      <c r="C417" s="242" t="str">
        <f t="shared" si="18"/>
        <v>Jun-25</v>
      </c>
      <c r="D417" t="s">
        <v>999</v>
      </c>
      <c r="E417" s="370" t="s">
        <v>1107</v>
      </c>
      <c r="F417" s="65">
        <v>84400</v>
      </c>
      <c r="G417" s="10" t="s">
        <v>2525</v>
      </c>
      <c r="H417" s="373">
        <v>0</v>
      </c>
      <c r="I417" s="369">
        <f t="shared" si="17"/>
        <v>84400</v>
      </c>
    </row>
    <row r="418" spans="2:9" x14ac:dyDescent="0.3">
      <c r="B418" s="43">
        <v>45833</v>
      </c>
      <c r="C418" s="242" t="str">
        <f t="shared" si="18"/>
        <v>Jun-25</v>
      </c>
      <c r="D418" t="s">
        <v>2178</v>
      </c>
      <c r="E418" s="370">
        <v>8374</v>
      </c>
      <c r="F418" s="65">
        <v>2440</v>
      </c>
      <c r="G418" s="10" t="s">
        <v>1121</v>
      </c>
      <c r="H418" s="373">
        <v>0</v>
      </c>
      <c r="I418" s="369">
        <f t="shared" si="17"/>
        <v>2440</v>
      </c>
    </row>
    <row r="419" spans="2:9" x14ac:dyDescent="0.3">
      <c r="B419" s="43">
        <v>45833</v>
      </c>
      <c r="C419" s="242" t="str">
        <f t="shared" si="18"/>
        <v>Jun-25</v>
      </c>
      <c r="D419" s="365" t="s">
        <v>1002</v>
      </c>
      <c r="E419" s="366">
        <v>35</v>
      </c>
      <c r="F419" s="65">
        <v>740000</v>
      </c>
      <c r="G419" s="11" t="s">
        <v>943</v>
      </c>
      <c r="H419" s="368">
        <f>F419</f>
        <v>740000</v>
      </c>
      <c r="I419" s="369">
        <v>0</v>
      </c>
    </row>
    <row r="420" spans="2:9" x14ac:dyDescent="0.3">
      <c r="B420" s="43">
        <v>45834</v>
      </c>
      <c r="C420" s="242" t="str">
        <f t="shared" si="18"/>
        <v>Jun-25</v>
      </c>
      <c r="D420" t="s">
        <v>1738</v>
      </c>
      <c r="E420" s="370">
        <v>8170</v>
      </c>
      <c r="F420" s="65">
        <v>1130</v>
      </c>
      <c r="G420" s="10" t="s">
        <v>929</v>
      </c>
      <c r="H420" s="373">
        <v>0</v>
      </c>
      <c r="I420" s="369">
        <f t="shared" ref="I420:I449" si="19">F420</f>
        <v>1130</v>
      </c>
    </row>
    <row r="421" spans="2:9" x14ac:dyDescent="0.3">
      <c r="B421" s="43">
        <v>45834</v>
      </c>
      <c r="C421" s="242" t="str">
        <f t="shared" si="18"/>
        <v>Jun-25</v>
      </c>
      <c r="D421" t="s">
        <v>1736</v>
      </c>
      <c r="E421" s="370">
        <v>8204</v>
      </c>
      <c r="F421" s="65">
        <v>464</v>
      </c>
      <c r="G421" s="10" t="s">
        <v>1121</v>
      </c>
      <c r="H421" s="373">
        <v>0</v>
      </c>
      <c r="I421" s="369">
        <f t="shared" si="19"/>
        <v>464</v>
      </c>
    </row>
    <row r="422" spans="2:9" x14ac:dyDescent="0.3">
      <c r="B422" s="43">
        <v>45838</v>
      </c>
      <c r="C422" s="242" t="str">
        <f t="shared" si="18"/>
        <v>Jun-25</v>
      </c>
      <c r="D422" s="365" t="s">
        <v>1364</v>
      </c>
      <c r="E422" s="374">
        <v>45809</v>
      </c>
      <c r="F422" s="65">
        <v>33089.702334246576</v>
      </c>
      <c r="G422" s="11" t="s">
        <v>2179</v>
      </c>
      <c r="H422" s="368">
        <v>0</v>
      </c>
      <c r="I422" s="369">
        <f t="shared" si="19"/>
        <v>33089.702334246576</v>
      </c>
    </row>
    <row r="423" spans="2:9" x14ac:dyDescent="0.3">
      <c r="B423" s="43">
        <v>45838</v>
      </c>
      <c r="C423" s="242" t="str">
        <f t="shared" si="18"/>
        <v>Jun-25</v>
      </c>
      <c r="D423" t="s">
        <v>1003</v>
      </c>
      <c r="E423" s="371">
        <v>45809</v>
      </c>
      <c r="F423" s="65">
        <v>1860</v>
      </c>
      <c r="G423" s="10" t="s">
        <v>937</v>
      </c>
      <c r="H423" s="373">
        <v>0</v>
      </c>
      <c r="I423" s="369">
        <f t="shared" si="19"/>
        <v>1860</v>
      </c>
    </row>
    <row r="424" spans="2:9" x14ac:dyDescent="0.3">
      <c r="B424" s="43">
        <v>45838</v>
      </c>
      <c r="C424" s="242" t="str">
        <f t="shared" si="18"/>
        <v>Jun-25</v>
      </c>
      <c r="D424" t="s">
        <v>1737</v>
      </c>
      <c r="E424" s="370" t="s">
        <v>2526</v>
      </c>
      <c r="F424" s="65">
        <v>12204</v>
      </c>
      <c r="G424" s="10" t="s">
        <v>932</v>
      </c>
      <c r="H424" s="373">
        <v>0</v>
      </c>
      <c r="I424" s="369">
        <f t="shared" si="19"/>
        <v>12204</v>
      </c>
    </row>
    <row r="425" spans="2:9" x14ac:dyDescent="0.3">
      <c r="B425" s="43">
        <v>45838</v>
      </c>
      <c r="C425" s="242" t="str">
        <f t="shared" si="18"/>
        <v>Jun-25</v>
      </c>
      <c r="D425" t="s">
        <v>1000</v>
      </c>
      <c r="E425" s="371">
        <v>45809</v>
      </c>
      <c r="F425" s="65">
        <v>35000</v>
      </c>
      <c r="G425" s="10" t="s">
        <v>941</v>
      </c>
      <c r="H425" s="373">
        <v>0</v>
      </c>
      <c r="I425" s="369">
        <f t="shared" si="19"/>
        <v>35000</v>
      </c>
    </row>
    <row r="426" spans="2:9" x14ac:dyDescent="0.3">
      <c r="B426" s="43">
        <v>45838</v>
      </c>
      <c r="C426" s="242" t="str">
        <f t="shared" si="18"/>
        <v>Jun-25</v>
      </c>
      <c r="D426" t="s">
        <v>1737</v>
      </c>
      <c r="E426" s="370">
        <v>8222</v>
      </c>
      <c r="F426" s="65">
        <v>1336</v>
      </c>
      <c r="G426" s="10" t="s">
        <v>1121</v>
      </c>
      <c r="H426" s="373">
        <v>0</v>
      </c>
      <c r="I426" s="369">
        <f t="shared" si="19"/>
        <v>1336</v>
      </c>
    </row>
    <row r="427" spans="2:9" x14ac:dyDescent="0.3">
      <c r="B427" s="43">
        <v>45838</v>
      </c>
      <c r="C427" s="242" t="str">
        <f t="shared" si="18"/>
        <v>Jun-25</v>
      </c>
      <c r="D427" t="s">
        <v>1014</v>
      </c>
      <c r="E427" s="371">
        <v>45809</v>
      </c>
      <c r="F427" s="65">
        <v>35000</v>
      </c>
      <c r="G427" s="10" t="s">
        <v>1123</v>
      </c>
      <c r="H427" s="373">
        <v>0</v>
      </c>
      <c r="I427" s="369">
        <f t="shared" si="19"/>
        <v>35000</v>
      </c>
    </row>
    <row r="428" spans="2:9" x14ac:dyDescent="0.3">
      <c r="B428" s="43">
        <v>45838</v>
      </c>
      <c r="C428" s="242" t="str">
        <f t="shared" si="18"/>
        <v>Jun-25</v>
      </c>
      <c r="D428" t="s">
        <v>1006</v>
      </c>
      <c r="E428" s="371">
        <v>45809</v>
      </c>
      <c r="F428" s="65">
        <v>5055</v>
      </c>
      <c r="G428" s="10" t="s">
        <v>1361</v>
      </c>
      <c r="H428" s="373">
        <v>0</v>
      </c>
      <c r="I428" s="369">
        <f t="shared" si="19"/>
        <v>5055</v>
      </c>
    </row>
    <row r="429" spans="2:9" x14ac:dyDescent="0.3">
      <c r="B429" s="43">
        <v>45838</v>
      </c>
      <c r="C429" s="242" t="str">
        <f t="shared" si="18"/>
        <v>Jun-25</v>
      </c>
      <c r="D429" t="s">
        <v>1013</v>
      </c>
      <c r="E429" s="371">
        <v>45809</v>
      </c>
      <c r="F429" s="65">
        <v>155000</v>
      </c>
      <c r="G429" s="10" t="s">
        <v>1123</v>
      </c>
      <c r="H429" s="373">
        <v>0</v>
      </c>
      <c r="I429" s="369">
        <f t="shared" si="19"/>
        <v>155000</v>
      </c>
    </row>
    <row r="430" spans="2:9" x14ac:dyDescent="0.3">
      <c r="B430" s="43">
        <v>45838</v>
      </c>
      <c r="C430" s="242" t="str">
        <f t="shared" si="18"/>
        <v>Jun-25</v>
      </c>
      <c r="D430" t="s">
        <v>1004</v>
      </c>
      <c r="E430" s="371">
        <v>45809</v>
      </c>
      <c r="F430" s="65">
        <v>250000</v>
      </c>
      <c r="G430" s="10" t="s">
        <v>1122</v>
      </c>
      <c r="H430" s="373">
        <v>0</v>
      </c>
      <c r="I430" s="369">
        <f t="shared" si="19"/>
        <v>250000</v>
      </c>
    </row>
    <row r="431" spans="2:9" x14ac:dyDescent="0.3">
      <c r="B431" s="43">
        <v>45838</v>
      </c>
      <c r="C431" s="242" t="str">
        <f t="shared" si="18"/>
        <v>Jun-25</v>
      </c>
      <c r="D431" t="s">
        <v>999</v>
      </c>
      <c r="E431" s="370" t="s">
        <v>1118</v>
      </c>
      <c r="F431" s="65">
        <v>33761</v>
      </c>
      <c r="G431" s="10" t="s">
        <v>936</v>
      </c>
      <c r="H431" s="373">
        <v>0</v>
      </c>
      <c r="I431" s="369">
        <f t="shared" si="19"/>
        <v>33761</v>
      </c>
    </row>
    <row r="432" spans="2:9" x14ac:dyDescent="0.3">
      <c r="B432" s="43">
        <v>45838</v>
      </c>
      <c r="C432" s="242" t="str">
        <f t="shared" si="18"/>
        <v>Jun-25</v>
      </c>
      <c r="D432" t="s">
        <v>1737</v>
      </c>
      <c r="E432" s="370">
        <v>8276</v>
      </c>
      <c r="F432" s="65">
        <v>2912</v>
      </c>
      <c r="G432" s="10" t="s">
        <v>1121</v>
      </c>
      <c r="H432" s="373">
        <v>0</v>
      </c>
      <c r="I432" s="369">
        <f t="shared" si="19"/>
        <v>2912</v>
      </c>
    </row>
    <row r="433" spans="2:9" x14ac:dyDescent="0.3">
      <c r="B433" s="43">
        <v>45838</v>
      </c>
      <c r="C433" s="242" t="str">
        <f t="shared" si="18"/>
        <v>Jun-25</v>
      </c>
      <c r="D433" t="s">
        <v>1000</v>
      </c>
      <c r="E433" s="371">
        <v>45809</v>
      </c>
      <c r="F433" s="65">
        <v>12800</v>
      </c>
      <c r="G433" s="10" t="s">
        <v>941</v>
      </c>
      <c r="H433" s="373">
        <v>0</v>
      </c>
      <c r="I433" s="369">
        <f t="shared" si="19"/>
        <v>12800</v>
      </c>
    </row>
    <row r="434" spans="2:9" x14ac:dyDescent="0.3">
      <c r="B434" s="43">
        <v>45839</v>
      </c>
      <c r="C434" s="242" t="str">
        <f t="shared" si="18"/>
        <v>Jul-25</v>
      </c>
      <c r="D434" t="s">
        <v>2177</v>
      </c>
      <c r="E434" s="370" t="s">
        <v>1541</v>
      </c>
      <c r="F434" s="65">
        <v>80000</v>
      </c>
      <c r="G434" s="10" t="s">
        <v>1123</v>
      </c>
      <c r="H434" s="373">
        <v>0</v>
      </c>
      <c r="I434" s="369">
        <f t="shared" si="19"/>
        <v>80000</v>
      </c>
    </row>
    <row r="435" spans="2:9" x14ac:dyDescent="0.3">
      <c r="B435" s="43">
        <v>45839</v>
      </c>
      <c r="C435" s="242" t="str">
        <f t="shared" si="18"/>
        <v>Jul-25</v>
      </c>
      <c r="D435" t="s">
        <v>1014</v>
      </c>
      <c r="E435" s="370" t="s">
        <v>1541</v>
      </c>
      <c r="F435" s="65">
        <v>35000</v>
      </c>
      <c r="G435" s="10" t="s">
        <v>1123</v>
      </c>
      <c r="H435" s="373">
        <v>0</v>
      </c>
      <c r="I435" s="369">
        <f t="shared" si="19"/>
        <v>35000</v>
      </c>
    </row>
    <row r="436" spans="2:9" x14ac:dyDescent="0.3">
      <c r="B436" s="43">
        <v>45839</v>
      </c>
      <c r="C436" s="242" t="str">
        <f t="shared" si="18"/>
        <v>Jul-25</v>
      </c>
      <c r="D436" t="s">
        <v>2178</v>
      </c>
      <c r="E436" s="370">
        <v>8574</v>
      </c>
      <c r="F436" s="65">
        <v>300</v>
      </c>
      <c r="G436" s="10" t="s">
        <v>929</v>
      </c>
      <c r="H436" s="373">
        <v>0</v>
      </c>
      <c r="I436" s="369">
        <f t="shared" si="19"/>
        <v>300</v>
      </c>
    </row>
    <row r="437" spans="2:9" x14ac:dyDescent="0.3">
      <c r="B437" s="43">
        <v>45839</v>
      </c>
      <c r="C437" s="242" t="str">
        <f t="shared" si="18"/>
        <v>Jul-25</v>
      </c>
      <c r="D437" t="s">
        <v>1002</v>
      </c>
      <c r="E437" s="370">
        <v>37</v>
      </c>
      <c r="F437" s="65">
        <v>50500</v>
      </c>
      <c r="G437" s="10" t="s">
        <v>935</v>
      </c>
      <c r="H437" s="373">
        <v>0</v>
      </c>
      <c r="I437" s="369">
        <f t="shared" si="19"/>
        <v>50500</v>
      </c>
    </row>
    <row r="438" spans="2:9" x14ac:dyDescent="0.3">
      <c r="B438" s="43">
        <v>45840</v>
      </c>
      <c r="C438" s="242" t="str">
        <f t="shared" si="18"/>
        <v>Jul-25</v>
      </c>
      <c r="D438" t="s">
        <v>1004</v>
      </c>
      <c r="E438" s="370">
        <v>4</v>
      </c>
      <c r="F438" s="65">
        <v>250000</v>
      </c>
      <c r="G438" s="10" t="s">
        <v>1122</v>
      </c>
      <c r="H438" s="373">
        <v>0</v>
      </c>
      <c r="I438" s="369">
        <f t="shared" si="19"/>
        <v>250000</v>
      </c>
    </row>
    <row r="439" spans="2:9" x14ac:dyDescent="0.3">
      <c r="B439" s="43">
        <v>45844</v>
      </c>
      <c r="C439" s="242" t="str">
        <f t="shared" si="18"/>
        <v>Jul-25</v>
      </c>
      <c r="D439" t="s">
        <v>1530</v>
      </c>
      <c r="E439" s="370">
        <v>8487</v>
      </c>
      <c r="F439" s="65">
        <v>785</v>
      </c>
      <c r="G439" s="10" t="s">
        <v>933</v>
      </c>
      <c r="H439" s="373">
        <v>0</v>
      </c>
      <c r="I439" s="369">
        <f t="shared" si="19"/>
        <v>785</v>
      </c>
    </row>
    <row r="440" spans="2:9" x14ac:dyDescent="0.3">
      <c r="B440" s="43">
        <v>45844</v>
      </c>
      <c r="C440" s="242" t="str">
        <f t="shared" si="18"/>
        <v>Jul-25</v>
      </c>
      <c r="D440" t="s">
        <v>1530</v>
      </c>
      <c r="E440" s="370">
        <v>8484</v>
      </c>
      <c r="F440" s="65">
        <v>1480</v>
      </c>
      <c r="G440" s="10" t="s">
        <v>933</v>
      </c>
      <c r="H440" s="373">
        <v>0</v>
      </c>
      <c r="I440" s="369">
        <f t="shared" si="19"/>
        <v>1480</v>
      </c>
    </row>
    <row r="441" spans="2:9" x14ac:dyDescent="0.3">
      <c r="B441" s="43">
        <v>45844</v>
      </c>
      <c r="C441" s="242" t="str">
        <f t="shared" si="18"/>
        <v>Jul-25</v>
      </c>
      <c r="D441" t="s">
        <v>1530</v>
      </c>
      <c r="E441" s="370">
        <v>8484</v>
      </c>
      <c r="F441" s="65">
        <v>2315.9699999999998</v>
      </c>
      <c r="G441" s="10" t="s">
        <v>929</v>
      </c>
      <c r="H441" s="373">
        <v>0</v>
      </c>
      <c r="I441" s="369">
        <f t="shared" si="19"/>
        <v>2315.9699999999998</v>
      </c>
    </row>
    <row r="442" spans="2:9" x14ac:dyDescent="0.3">
      <c r="B442" s="43">
        <v>45844</v>
      </c>
      <c r="C442" s="242" t="str">
        <f t="shared" si="18"/>
        <v>Jul-25</v>
      </c>
      <c r="D442" t="s">
        <v>1530</v>
      </c>
      <c r="E442" s="370">
        <v>8487</v>
      </c>
      <c r="F442" s="65">
        <v>1579.05</v>
      </c>
      <c r="G442" s="10" t="s">
        <v>932</v>
      </c>
      <c r="H442" s="373">
        <v>0</v>
      </c>
      <c r="I442" s="369">
        <f t="shared" si="19"/>
        <v>1579.05</v>
      </c>
    </row>
    <row r="443" spans="2:9" x14ac:dyDescent="0.3">
      <c r="B443" s="43">
        <v>45847</v>
      </c>
      <c r="C443" s="242" t="str">
        <f t="shared" si="18"/>
        <v>Jul-25</v>
      </c>
      <c r="D443" t="s">
        <v>999</v>
      </c>
      <c r="E443" s="370">
        <v>8419</v>
      </c>
      <c r="F443" s="65">
        <v>396</v>
      </c>
      <c r="G443" s="10" t="s">
        <v>1121</v>
      </c>
      <c r="H443" s="373">
        <v>0</v>
      </c>
      <c r="I443" s="369">
        <f t="shared" si="19"/>
        <v>396</v>
      </c>
    </row>
    <row r="444" spans="2:9" x14ac:dyDescent="0.3">
      <c r="B444" s="43">
        <v>45852</v>
      </c>
      <c r="C444" s="242" t="str">
        <f t="shared" si="18"/>
        <v>Jul-25</v>
      </c>
      <c r="D444" t="s">
        <v>1737</v>
      </c>
      <c r="E444" s="370">
        <v>8362</v>
      </c>
      <c r="F444" s="65">
        <v>2088</v>
      </c>
      <c r="G444" s="10" t="s">
        <v>1121</v>
      </c>
      <c r="H444" s="373">
        <v>0</v>
      </c>
      <c r="I444" s="369">
        <f t="shared" si="19"/>
        <v>2088</v>
      </c>
    </row>
    <row r="445" spans="2:9" x14ac:dyDescent="0.3">
      <c r="B445" s="43">
        <v>45859</v>
      </c>
      <c r="C445" s="242" t="str">
        <f t="shared" si="18"/>
        <v>Jul-25</v>
      </c>
      <c r="D445" t="s">
        <v>1737</v>
      </c>
      <c r="E445" s="370">
        <v>8464</v>
      </c>
      <c r="F445" s="65">
        <v>2792</v>
      </c>
      <c r="G445" s="10" t="s">
        <v>1121</v>
      </c>
      <c r="H445" s="373">
        <v>0</v>
      </c>
      <c r="I445" s="369">
        <f t="shared" si="19"/>
        <v>2792</v>
      </c>
    </row>
    <row r="446" spans="2:9" x14ac:dyDescent="0.3">
      <c r="B446" s="43">
        <v>45859</v>
      </c>
      <c r="C446" s="242" t="str">
        <f t="shared" si="18"/>
        <v>Jul-25</v>
      </c>
      <c r="D446" t="s">
        <v>999</v>
      </c>
      <c r="E446" s="370" t="s">
        <v>1120</v>
      </c>
      <c r="F446" s="65">
        <v>42644</v>
      </c>
      <c r="G446" s="10" t="s">
        <v>936</v>
      </c>
      <c r="H446" s="373">
        <v>0</v>
      </c>
      <c r="I446" s="369">
        <f t="shared" si="19"/>
        <v>42644</v>
      </c>
    </row>
    <row r="447" spans="2:9" x14ac:dyDescent="0.3">
      <c r="B447" s="43">
        <v>45861</v>
      </c>
      <c r="C447" s="242" t="str">
        <f t="shared" si="18"/>
        <v>Jul-25</v>
      </c>
      <c r="D447" t="s">
        <v>2178</v>
      </c>
      <c r="E447" s="370">
        <v>8573</v>
      </c>
      <c r="F447" s="65">
        <v>2217</v>
      </c>
      <c r="G447" s="10" t="s">
        <v>929</v>
      </c>
      <c r="H447" s="373">
        <v>0</v>
      </c>
      <c r="I447" s="369">
        <f t="shared" si="19"/>
        <v>2217</v>
      </c>
    </row>
    <row r="448" spans="2:9" x14ac:dyDescent="0.3">
      <c r="B448" s="43">
        <v>45863</v>
      </c>
      <c r="C448" s="242" t="str">
        <f t="shared" si="18"/>
        <v>Jul-25</v>
      </c>
      <c r="D448" t="s">
        <v>1737</v>
      </c>
      <c r="E448" s="370">
        <v>8565</v>
      </c>
      <c r="F448" s="65">
        <v>1952</v>
      </c>
      <c r="G448" s="10" t="s">
        <v>1121</v>
      </c>
      <c r="H448" s="373">
        <v>0</v>
      </c>
      <c r="I448" s="369">
        <f t="shared" si="19"/>
        <v>1952</v>
      </c>
    </row>
    <row r="449" spans="2:9" x14ac:dyDescent="0.3">
      <c r="B449" s="43">
        <v>45864</v>
      </c>
      <c r="C449" s="242" t="str">
        <f t="shared" si="18"/>
        <v>Jul-25</v>
      </c>
      <c r="D449" t="s">
        <v>999</v>
      </c>
      <c r="E449" s="370">
        <v>8517</v>
      </c>
      <c r="F449" s="65">
        <v>584</v>
      </c>
      <c r="G449" s="10" t="s">
        <v>1121</v>
      </c>
      <c r="H449" s="373">
        <v>0</v>
      </c>
      <c r="I449" s="369">
        <f t="shared" si="19"/>
        <v>584</v>
      </c>
    </row>
    <row r="450" spans="2:9" x14ac:dyDescent="0.3">
      <c r="B450" s="43">
        <v>45864</v>
      </c>
      <c r="C450" s="242" t="str">
        <f t="shared" si="18"/>
        <v>Jul-25</v>
      </c>
      <c r="D450" s="365" t="s">
        <v>1002</v>
      </c>
      <c r="E450" s="366">
        <v>49</v>
      </c>
      <c r="F450" s="65">
        <v>740000</v>
      </c>
      <c r="G450" s="11" t="s">
        <v>943</v>
      </c>
      <c r="H450" s="368">
        <f>F450</f>
        <v>740000</v>
      </c>
      <c r="I450" s="369">
        <v>0</v>
      </c>
    </row>
    <row r="451" spans="2:9" x14ac:dyDescent="0.3">
      <c r="B451" s="43">
        <v>45864</v>
      </c>
      <c r="C451" s="242" t="str">
        <f t="shared" si="18"/>
        <v>Jul-25</v>
      </c>
      <c r="D451" s="365" t="s">
        <v>1002</v>
      </c>
      <c r="E451" s="366">
        <v>49</v>
      </c>
      <c r="F451" s="65">
        <v>20000</v>
      </c>
      <c r="G451" s="11" t="s">
        <v>943</v>
      </c>
      <c r="H451" s="368">
        <f>F451</f>
        <v>20000</v>
      </c>
      <c r="I451" s="369">
        <v>0</v>
      </c>
    </row>
    <row r="452" spans="2:9" x14ac:dyDescent="0.3">
      <c r="B452" s="43">
        <v>45865</v>
      </c>
      <c r="C452" s="242" t="str">
        <f t="shared" si="18"/>
        <v>Jul-25</v>
      </c>
      <c r="D452" t="s">
        <v>999</v>
      </c>
      <c r="E452" s="370" t="s">
        <v>1536</v>
      </c>
      <c r="F452" s="65">
        <v>33940</v>
      </c>
      <c r="G452" s="10" t="s">
        <v>936</v>
      </c>
      <c r="H452" s="373">
        <v>0</v>
      </c>
      <c r="I452" s="369">
        <f t="shared" ref="I452:I462" si="20">F452</f>
        <v>33940</v>
      </c>
    </row>
    <row r="453" spans="2:9" x14ac:dyDescent="0.3">
      <c r="B453" s="43">
        <v>45867</v>
      </c>
      <c r="C453" s="242" t="str">
        <f t="shared" ref="C453:C516" si="21">TEXT(B453,"mmm-yy")</f>
        <v>Jul-25</v>
      </c>
      <c r="D453" t="s">
        <v>999</v>
      </c>
      <c r="E453" s="370" t="s">
        <v>1534</v>
      </c>
      <c r="F453" s="65">
        <v>28000</v>
      </c>
      <c r="G453" s="10" t="s">
        <v>936</v>
      </c>
      <c r="H453" s="373">
        <v>0</v>
      </c>
      <c r="I453" s="369">
        <f t="shared" si="20"/>
        <v>28000</v>
      </c>
    </row>
    <row r="454" spans="2:9" x14ac:dyDescent="0.3">
      <c r="B454" s="43">
        <v>45868</v>
      </c>
      <c r="C454" s="242" t="str">
        <f t="shared" si="21"/>
        <v>Jul-25</v>
      </c>
      <c r="D454" t="s">
        <v>1739</v>
      </c>
      <c r="E454" s="370"/>
      <c r="F454" s="65">
        <v>11281.880000000001</v>
      </c>
      <c r="G454" s="10" t="s">
        <v>932</v>
      </c>
      <c r="H454" s="373">
        <v>0</v>
      </c>
      <c r="I454" s="369">
        <f t="shared" si="20"/>
        <v>11281.880000000001</v>
      </c>
    </row>
    <row r="455" spans="2:9" x14ac:dyDescent="0.3">
      <c r="B455" s="43">
        <v>45869</v>
      </c>
      <c r="C455" s="242" t="str">
        <f t="shared" si="21"/>
        <v>Jul-25</v>
      </c>
      <c r="D455" s="365" t="s">
        <v>1364</v>
      </c>
      <c r="E455" s="374">
        <v>45839</v>
      </c>
      <c r="F455" s="65">
        <v>37375.381727123291</v>
      </c>
      <c r="G455" s="11" t="s">
        <v>2179</v>
      </c>
      <c r="H455" s="368">
        <v>0</v>
      </c>
      <c r="I455" s="369">
        <f t="shared" si="20"/>
        <v>37375.381727123291</v>
      </c>
    </row>
    <row r="456" spans="2:9" x14ac:dyDescent="0.3">
      <c r="B456" s="43">
        <v>45869</v>
      </c>
      <c r="C456" s="242" t="str">
        <f t="shared" si="21"/>
        <v>Jul-25</v>
      </c>
      <c r="D456" t="s">
        <v>1006</v>
      </c>
      <c r="E456" s="371">
        <v>45839</v>
      </c>
      <c r="F456" s="65">
        <v>5223.3139999999994</v>
      </c>
      <c r="G456" s="10" t="s">
        <v>1361</v>
      </c>
      <c r="H456" s="373">
        <v>0</v>
      </c>
      <c r="I456" s="369">
        <f t="shared" si="20"/>
        <v>5223.3139999999994</v>
      </c>
    </row>
    <row r="457" spans="2:9" x14ac:dyDescent="0.3">
      <c r="B457" s="43">
        <v>45869</v>
      </c>
      <c r="C457" s="242" t="str">
        <f t="shared" si="21"/>
        <v>Jul-25</v>
      </c>
      <c r="D457" t="s">
        <v>1000</v>
      </c>
      <c r="E457" s="371">
        <v>45839</v>
      </c>
      <c r="F457" s="65">
        <v>51610</v>
      </c>
      <c r="G457" s="10" t="s">
        <v>941</v>
      </c>
      <c r="H457" s="373">
        <v>0</v>
      </c>
      <c r="I457" s="369">
        <f t="shared" si="20"/>
        <v>51610</v>
      </c>
    </row>
    <row r="458" spans="2:9" x14ac:dyDescent="0.3">
      <c r="B458" s="43">
        <v>45869</v>
      </c>
      <c r="C458" s="242" t="str">
        <f t="shared" si="21"/>
        <v>Jul-25</v>
      </c>
      <c r="D458" t="s">
        <v>1736</v>
      </c>
      <c r="E458" s="370"/>
      <c r="F458" s="65">
        <v>5350</v>
      </c>
      <c r="G458" s="10" t="s">
        <v>1121</v>
      </c>
      <c r="H458" s="373">
        <v>0</v>
      </c>
      <c r="I458" s="369">
        <f t="shared" si="20"/>
        <v>5350</v>
      </c>
    </row>
    <row r="459" spans="2:9" x14ac:dyDescent="0.3">
      <c r="B459" s="43">
        <v>45869</v>
      </c>
      <c r="C459" s="242" t="str">
        <f t="shared" si="21"/>
        <v>Jul-25</v>
      </c>
      <c r="D459" t="s">
        <v>2527</v>
      </c>
      <c r="E459" s="370" t="s">
        <v>933</v>
      </c>
      <c r="F459" s="65">
        <v>549</v>
      </c>
      <c r="G459" s="10" t="s">
        <v>933</v>
      </c>
      <c r="H459" s="373">
        <v>0</v>
      </c>
      <c r="I459" s="369">
        <f t="shared" si="20"/>
        <v>549</v>
      </c>
    </row>
    <row r="460" spans="2:9" x14ac:dyDescent="0.3">
      <c r="B460" s="43">
        <v>45869</v>
      </c>
      <c r="C460" s="242" t="str">
        <f t="shared" si="21"/>
        <v>Jul-25</v>
      </c>
      <c r="D460" t="s">
        <v>2527</v>
      </c>
      <c r="E460" s="370" t="s">
        <v>929</v>
      </c>
      <c r="F460" s="65">
        <v>2767</v>
      </c>
      <c r="G460" s="10" t="s">
        <v>929</v>
      </c>
      <c r="H460" s="373">
        <v>0</v>
      </c>
      <c r="I460" s="369">
        <f t="shared" si="20"/>
        <v>2767</v>
      </c>
    </row>
    <row r="461" spans="2:9" x14ac:dyDescent="0.3">
      <c r="B461" s="43">
        <v>45869</v>
      </c>
      <c r="C461" s="242" t="str">
        <f t="shared" si="21"/>
        <v>Jul-25</v>
      </c>
      <c r="D461" t="s">
        <v>2527</v>
      </c>
      <c r="E461" s="370" t="s">
        <v>932</v>
      </c>
      <c r="F461" s="65">
        <v>8314</v>
      </c>
      <c r="G461" s="10" t="s">
        <v>932</v>
      </c>
      <c r="H461" s="373">
        <v>0</v>
      </c>
      <c r="I461" s="369">
        <f t="shared" si="20"/>
        <v>8314</v>
      </c>
    </row>
    <row r="462" spans="2:9" x14ac:dyDescent="0.3">
      <c r="B462" s="43">
        <v>45869</v>
      </c>
      <c r="C462" s="242" t="str">
        <f t="shared" si="21"/>
        <v>Jul-25</v>
      </c>
      <c r="D462" t="s">
        <v>1530</v>
      </c>
      <c r="E462" s="370"/>
      <c r="F462" s="65">
        <v>7827.36</v>
      </c>
      <c r="G462" s="10" t="s">
        <v>932</v>
      </c>
      <c r="H462" s="373">
        <v>0</v>
      </c>
      <c r="I462" s="369">
        <f t="shared" si="20"/>
        <v>7827.36</v>
      </c>
    </row>
    <row r="463" spans="2:9" x14ac:dyDescent="0.3">
      <c r="B463" s="43">
        <v>45869</v>
      </c>
      <c r="C463" s="242" t="str">
        <f t="shared" si="21"/>
        <v>Jul-25</v>
      </c>
      <c r="D463" s="365" t="s">
        <v>1002</v>
      </c>
      <c r="E463" s="366">
        <v>56</v>
      </c>
      <c r="F463" s="65">
        <v>31500</v>
      </c>
      <c r="G463" s="11" t="s">
        <v>943</v>
      </c>
      <c r="H463" s="368">
        <f>F463</f>
        <v>31500</v>
      </c>
      <c r="I463" s="369">
        <v>0</v>
      </c>
    </row>
    <row r="464" spans="2:9" x14ac:dyDescent="0.3">
      <c r="B464" s="43">
        <v>45869</v>
      </c>
      <c r="C464" s="242" t="str">
        <f t="shared" si="21"/>
        <v>Jul-25</v>
      </c>
      <c r="D464" s="365" t="s">
        <v>1002</v>
      </c>
      <c r="E464" s="366">
        <v>56</v>
      </c>
      <c r="F464" s="65">
        <v>1000</v>
      </c>
      <c r="G464" s="11" t="s">
        <v>943</v>
      </c>
      <c r="H464" s="368">
        <f>F464</f>
        <v>1000</v>
      </c>
      <c r="I464" s="369">
        <v>0</v>
      </c>
    </row>
    <row r="465" spans="2:9" x14ac:dyDescent="0.3">
      <c r="B465" s="43">
        <v>45869</v>
      </c>
      <c r="C465" s="242" t="str">
        <f t="shared" si="21"/>
        <v>Jul-25</v>
      </c>
      <c r="D465" s="365" t="s">
        <v>1002</v>
      </c>
      <c r="E465" s="366">
        <v>56</v>
      </c>
      <c r="F465" s="65">
        <v>6000</v>
      </c>
      <c r="G465" s="11" t="s">
        <v>943</v>
      </c>
      <c r="H465" s="368">
        <f>F465</f>
        <v>6000</v>
      </c>
      <c r="I465" s="369">
        <v>0</v>
      </c>
    </row>
    <row r="466" spans="2:9" x14ac:dyDescent="0.3">
      <c r="B466" s="43">
        <v>45870</v>
      </c>
      <c r="C466" s="242" t="str">
        <f t="shared" si="21"/>
        <v>Aug-25</v>
      </c>
      <c r="D466" t="s">
        <v>2177</v>
      </c>
      <c r="E466" s="370" t="s">
        <v>1762</v>
      </c>
      <c r="F466" s="65">
        <v>80000</v>
      </c>
      <c r="G466" s="10" t="s">
        <v>1123</v>
      </c>
      <c r="H466" s="373">
        <v>0</v>
      </c>
      <c r="I466" s="369">
        <f t="shared" ref="I466:I482" si="22">F466</f>
        <v>80000</v>
      </c>
    </row>
    <row r="467" spans="2:9" x14ac:dyDescent="0.3">
      <c r="B467" s="43">
        <v>45870</v>
      </c>
      <c r="C467" s="242" t="str">
        <f t="shared" si="21"/>
        <v>Aug-25</v>
      </c>
      <c r="D467" t="s">
        <v>1014</v>
      </c>
      <c r="E467" s="370" t="s">
        <v>1762</v>
      </c>
      <c r="F467" s="65">
        <v>35000</v>
      </c>
      <c r="G467" s="10" t="s">
        <v>1123</v>
      </c>
      <c r="H467" s="373">
        <v>0</v>
      </c>
      <c r="I467" s="369">
        <f t="shared" si="22"/>
        <v>35000</v>
      </c>
    </row>
    <row r="468" spans="2:9" x14ac:dyDescent="0.3">
      <c r="B468" s="43">
        <v>45870</v>
      </c>
      <c r="C468" s="242" t="str">
        <f t="shared" si="21"/>
        <v>Aug-25</v>
      </c>
      <c r="D468" t="s">
        <v>1013</v>
      </c>
      <c r="E468" s="371">
        <v>45839</v>
      </c>
      <c r="F468" s="65">
        <v>155000</v>
      </c>
      <c r="G468" s="10" t="s">
        <v>1123</v>
      </c>
      <c r="H468" s="373">
        <v>0</v>
      </c>
      <c r="I468" s="369">
        <f t="shared" si="22"/>
        <v>155000</v>
      </c>
    </row>
    <row r="469" spans="2:9" x14ac:dyDescent="0.3">
      <c r="B469" s="43">
        <v>45873</v>
      </c>
      <c r="C469" s="242" t="str">
        <f t="shared" si="21"/>
        <v>Aug-25</v>
      </c>
      <c r="D469" t="s">
        <v>1737</v>
      </c>
      <c r="E469" s="370">
        <v>8710</v>
      </c>
      <c r="F469" s="65">
        <v>1736</v>
      </c>
      <c r="G469" s="10" t="s">
        <v>1121</v>
      </c>
      <c r="H469" s="373">
        <v>0</v>
      </c>
      <c r="I469" s="369">
        <f t="shared" si="22"/>
        <v>1736</v>
      </c>
    </row>
    <row r="470" spans="2:9" x14ac:dyDescent="0.3">
      <c r="B470" s="43">
        <v>45873</v>
      </c>
      <c r="C470" s="242" t="str">
        <f t="shared" si="21"/>
        <v>Aug-25</v>
      </c>
      <c r="D470" t="s">
        <v>998</v>
      </c>
      <c r="E470" s="370">
        <v>8645</v>
      </c>
      <c r="F470" s="65">
        <v>856</v>
      </c>
      <c r="G470" s="10" t="s">
        <v>1121</v>
      </c>
      <c r="H470" s="373">
        <v>0</v>
      </c>
      <c r="I470" s="369">
        <f t="shared" si="22"/>
        <v>856</v>
      </c>
    </row>
    <row r="471" spans="2:9" x14ac:dyDescent="0.3">
      <c r="B471" s="43">
        <v>45874</v>
      </c>
      <c r="C471" s="242" t="str">
        <f t="shared" si="21"/>
        <v>Aug-25</v>
      </c>
      <c r="D471" t="s">
        <v>1004</v>
      </c>
      <c r="E471" s="370">
        <v>5</v>
      </c>
      <c r="F471" s="65">
        <v>50000</v>
      </c>
      <c r="G471" s="10" t="s">
        <v>1122</v>
      </c>
      <c r="H471" s="373">
        <v>0</v>
      </c>
      <c r="I471" s="369">
        <f t="shared" si="22"/>
        <v>50000</v>
      </c>
    </row>
    <row r="472" spans="2:9" x14ac:dyDescent="0.3">
      <c r="B472" s="43">
        <v>45875</v>
      </c>
      <c r="C472" s="242" t="str">
        <f t="shared" si="21"/>
        <v>Aug-25</v>
      </c>
      <c r="D472" t="s">
        <v>999</v>
      </c>
      <c r="E472" s="370" t="s">
        <v>1745</v>
      </c>
      <c r="F472" s="65">
        <v>7620</v>
      </c>
      <c r="G472" s="10" t="s">
        <v>936</v>
      </c>
      <c r="H472" s="373">
        <v>0</v>
      </c>
      <c r="I472" s="369">
        <f t="shared" si="22"/>
        <v>7620</v>
      </c>
    </row>
    <row r="473" spans="2:9" x14ac:dyDescent="0.3">
      <c r="B473" s="43">
        <v>45877</v>
      </c>
      <c r="C473" s="242" t="str">
        <f t="shared" si="21"/>
        <v>Aug-25</v>
      </c>
      <c r="D473" t="s">
        <v>998</v>
      </c>
      <c r="E473" s="370">
        <v>8845</v>
      </c>
      <c r="F473" s="65">
        <v>724</v>
      </c>
      <c r="G473" s="10" t="s">
        <v>1121</v>
      </c>
      <c r="H473" s="373">
        <v>0</v>
      </c>
      <c r="I473" s="369">
        <f t="shared" si="22"/>
        <v>724</v>
      </c>
    </row>
    <row r="474" spans="2:9" x14ac:dyDescent="0.3">
      <c r="B474" s="43">
        <v>45877</v>
      </c>
      <c r="C474" s="242" t="str">
        <f t="shared" si="21"/>
        <v>Aug-25</v>
      </c>
      <c r="D474" t="s">
        <v>999</v>
      </c>
      <c r="E474" s="370">
        <v>8715</v>
      </c>
      <c r="F474" s="65">
        <v>912</v>
      </c>
      <c r="G474" s="10" t="s">
        <v>1121</v>
      </c>
      <c r="H474" s="373">
        <v>0</v>
      </c>
      <c r="I474" s="369">
        <f t="shared" si="22"/>
        <v>912</v>
      </c>
    </row>
    <row r="475" spans="2:9" x14ac:dyDescent="0.3">
      <c r="B475" s="43">
        <v>45878</v>
      </c>
      <c r="C475" s="242" t="str">
        <f t="shared" si="21"/>
        <v>Aug-25</v>
      </c>
      <c r="D475" t="s">
        <v>1739</v>
      </c>
      <c r="E475" s="370">
        <v>8836</v>
      </c>
      <c r="F475" s="65">
        <v>2570</v>
      </c>
      <c r="G475" s="10" t="s">
        <v>929</v>
      </c>
      <c r="H475" s="373">
        <v>0</v>
      </c>
      <c r="I475" s="369">
        <f t="shared" si="22"/>
        <v>2570</v>
      </c>
    </row>
    <row r="476" spans="2:9" x14ac:dyDescent="0.3">
      <c r="B476" s="43">
        <v>45878</v>
      </c>
      <c r="C476" s="242" t="str">
        <f t="shared" si="21"/>
        <v>Aug-25</v>
      </c>
      <c r="D476" t="s">
        <v>1739</v>
      </c>
      <c r="E476" s="370">
        <v>8837</v>
      </c>
      <c r="F476" s="65">
        <v>2149</v>
      </c>
      <c r="G476" s="10" t="s">
        <v>933</v>
      </c>
      <c r="H476" s="373">
        <v>0</v>
      </c>
      <c r="I476" s="369">
        <f t="shared" si="22"/>
        <v>2149</v>
      </c>
    </row>
    <row r="477" spans="2:9" x14ac:dyDescent="0.3">
      <c r="B477" s="43">
        <v>45878</v>
      </c>
      <c r="C477" s="242" t="str">
        <f t="shared" si="21"/>
        <v>Aug-25</v>
      </c>
      <c r="D477" t="s">
        <v>1739</v>
      </c>
      <c r="E477" s="370"/>
      <c r="F477" s="65">
        <v>4135.9799999999996</v>
      </c>
      <c r="G477" s="10" t="s">
        <v>931</v>
      </c>
      <c r="H477" s="373">
        <v>0</v>
      </c>
      <c r="I477" s="369">
        <f t="shared" si="22"/>
        <v>4135.9799999999996</v>
      </c>
    </row>
    <row r="478" spans="2:9" x14ac:dyDescent="0.3">
      <c r="B478" s="43">
        <v>45880</v>
      </c>
      <c r="C478" s="242" t="str">
        <f t="shared" si="21"/>
        <v>Aug-25</v>
      </c>
      <c r="D478" t="s">
        <v>1738</v>
      </c>
      <c r="E478" s="370">
        <v>8815</v>
      </c>
      <c r="F478" s="65">
        <v>5643</v>
      </c>
      <c r="G478" s="10" t="s">
        <v>929</v>
      </c>
      <c r="H478" s="373">
        <v>0</v>
      </c>
      <c r="I478" s="369">
        <f t="shared" si="22"/>
        <v>5643</v>
      </c>
    </row>
    <row r="479" spans="2:9" x14ac:dyDescent="0.3">
      <c r="B479" s="43">
        <v>45880</v>
      </c>
      <c r="C479" s="242" t="str">
        <f t="shared" si="21"/>
        <v>Aug-25</v>
      </c>
      <c r="D479" t="s">
        <v>1738</v>
      </c>
      <c r="E479" s="370">
        <v>8815</v>
      </c>
      <c r="F479" s="65">
        <v>1046</v>
      </c>
      <c r="G479" s="10" t="s">
        <v>932</v>
      </c>
      <c r="H479" s="373">
        <v>0</v>
      </c>
      <c r="I479" s="369">
        <f t="shared" si="22"/>
        <v>1046</v>
      </c>
    </row>
    <row r="480" spans="2:9" x14ac:dyDescent="0.3">
      <c r="B480" s="43">
        <v>45880</v>
      </c>
      <c r="C480" s="242" t="str">
        <f t="shared" si="21"/>
        <v>Aug-25</v>
      </c>
      <c r="D480" t="s">
        <v>1737</v>
      </c>
      <c r="E480" s="370">
        <v>8926</v>
      </c>
      <c r="F480" s="65">
        <v>2664</v>
      </c>
      <c r="G480" s="10" t="s">
        <v>1121</v>
      </c>
      <c r="H480" s="373">
        <v>0</v>
      </c>
      <c r="I480" s="369">
        <f t="shared" si="22"/>
        <v>2664</v>
      </c>
    </row>
    <row r="481" spans="2:9" x14ac:dyDescent="0.3">
      <c r="B481" s="43">
        <v>45882</v>
      </c>
      <c r="C481" s="242" t="str">
        <f t="shared" si="21"/>
        <v>Aug-25</v>
      </c>
      <c r="D481" t="s">
        <v>999</v>
      </c>
      <c r="E481" s="370" t="s">
        <v>1751</v>
      </c>
      <c r="F481" s="65">
        <v>26870</v>
      </c>
      <c r="G481" s="10" t="s">
        <v>936</v>
      </c>
      <c r="H481" s="373">
        <v>0</v>
      </c>
      <c r="I481" s="369">
        <f t="shared" si="22"/>
        <v>26870</v>
      </c>
    </row>
    <row r="482" spans="2:9" x14ac:dyDescent="0.3">
      <c r="B482" s="43">
        <v>45895</v>
      </c>
      <c r="C482" s="242" t="str">
        <f t="shared" si="21"/>
        <v>Aug-25</v>
      </c>
      <c r="D482" t="s">
        <v>999</v>
      </c>
      <c r="E482" s="370" t="s">
        <v>1759</v>
      </c>
      <c r="F482" s="65">
        <v>15250</v>
      </c>
      <c r="G482" s="10" t="s">
        <v>936</v>
      </c>
      <c r="H482" s="373">
        <v>0</v>
      </c>
      <c r="I482" s="369">
        <f t="shared" si="22"/>
        <v>15250</v>
      </c>
    </row>
    <row r="483" spans="2:9" x14ac:dyDescent="0.3">
      <c r="B483" s="43">
        <v>45897</v>
      </c>
      <c r="C483" s="242" t="str">
        <f t="shared" si="21"/>
        <v>Aug-25</v>
      </c>
      <c r="D483" s="365" t="s">
        <v>1742</v>
      </c>
      <c r="E483" s="366" t="s">
        <v>1760</v>
      </c>
      <c r="F483" s="65">
        <v>1800000</v>
      </c>
      <c r="G483" s="11" t="s">
        <v>943</v>
      </c>
      <c r="H483" s="368">
        <f>F483</f>
        <v>1800000</v>
      </c>
      <c r="I483" s="369">
        <v>0</v>
      </c>
    </row>
    <row r="484" spans="2:9" x14ac:dyDescent="0.3">
      <c r="B484" s="43">
        <v>45899</v>
      </c>
      <c r="C484" s="242" t="str">
        <f t="shared" si="21"/>
        <v>Aug-25</v>
      </c>
      <c r="D484" t="s">
        <v>1737</v>
      </c>
      <c r="E484" s="370">
        <v>9103</v>
      </c>
      <c r="F484" s="65">
        <v>1992</v>
      </c>
      <c r="G484" s="10" t="s">
        <v>1121</v>
      </c>
      <c r="H484" s="373">
        <v>0</v>
      </c>
      <c r="I484" s="369">
        <f t="shared" ref="I484:I501" si="23">F484</f>
        <v>1992</v>
      </c>
    </row>
    <row r="485" spans="2:9" x14ac:dyDescent="0.3">
      <c r="B485" s="43">
        <v>45899</v>
      </c>
      <c r="C485" s="242" t="str">
        <f t="shared" si="21"/>
        <v>Aug-25</v>
      </c>
      <c r="D485" t="s">
        <v>1737</v>
      </c>
      <c r="E485" s="370">
        <v>9103</v>
      </c>
      <c r="F485" s="65">
        <v>1872</v>
      </c>
      <c r="G485" s="10" t="s">
        <v>1121</v>
      </c>
      <c r="H485" s="373">
        <v>0</v>
      </c>
      <c r="I485" s="369">
        <f t="shared" si="23"/>
        <v>1872</v>
      </c>
    </row>
    <row r="486" spans="2:9" x14ac:dyDescent="0.3">
      <c r="B486" s="43">
        <v>45899</v>
      </c>
      <c r="C486" s="242" t="str">
        <f t="shared" si="21"/>
        <v>Aug-25</v>
      </c>
      <c r="D486" t="s">
        <v>1739</v>
      </c>
      <c r="E486" s="370">
        <v>9104</v>
      </c>
      <c r="F486" s="65">
        <v>2481</v>
      </c>
      <c r="G486" s="10" t="s">
        <v>929</v>
      </c>
      <c r="H486" s="373">
        <v>0</v>
      </c>
      <c r="I486" s="369">
        <f t="shared" si="23"/>
        <v>2481</v>
      </c>
    </row>
    <row r="487" spans="2:9" x14ac:dyDescent="0.3">
      <c r="B487" s="43">
        <v>45900</v>
      </c>
      <c r="C487" s="242" t="str">
        <f t="shared" si="21"/>
        <v>Aug-25</v>
      </c>
      <c r="D487" s="365" t="s">
        <v>1364</v>
      </c>
      <c r="E487" s="374">
        <v>45870</v>
      </c>
      <c r="F487" s="65">
        <v>37375.381727123291</v>
      </c>
      <c r="G487" s="11" t="s">
        <v>2179</v>
      </c>
      <c r="H487" s="368">
        <v>0</v>
      </c>
      <c r="I487" s="369">
        <f t="shared" si="23"/>
        <v>37375.381727123291</v>
      </c>
    </row>
    <row r="488" spans="2:9" x14ac:dyDescent="0.3">
      <c r="B488" s="43">
        <v>45900</v>
      </c>
      <c r="C488" s="242" t="str">
        <f t="shared" si="21"/>
        <v>Aug-25</v>
      </c>
      <c r="D488" t="s">
        <v>1006</v>
      </c>
      <c r="E488" s="371">
        <v>45870</v>
      </c>
      <c r="F488" s="65">
        <v>5223.3139999999994</v>
      </c>
      <c r="G488" s="10" t="s">
        <v>1361</v>
      </c>
      <c r="H488" s="373">
        <v>0</v>
      </c>
      <c r="I488" s="369">
        <f t="shared" si="23"/>
        <v>5223.3139999999994</v>
      </c>
    </row>
    <row r="489" spans="2:9" x14ac:dyDescent="0.3">
      <c r="B489" s="43">
        <v>45900</v>
      </c>
      <c r="C489" s="242" t="str">
        <f t="shared" si="21"/>
        <v>Aug-25</v>
      </c>
      <c r="D489" t="s">
        <v>1739</v>
      </c>
      <c r="E489" s="370"/>
      <c r="F489" s="65">
        <v>24323</v>
      </c>
      <c r="G489" s="10" t="s">
        <v>932</v>
      </c>
      <c r="H489" s="373">
        <v>0</v>
      </c>
      <c r="I489" s="369">
        <f t="shared" si="23"/>
        <v>24323</v>
      </c>
    </row>
    <row r="490" spans="2:9" x14ac:dyDescent="0.3">
      <c r="B490" s="43">
        <v>45900</v>
      </c>
      <c r="C490" s="242" t="str">
        <f t="shared" si="21"/>
        <v>Aug-25</v>
      </c>
      <c r="D490" t="s">
        <v>1736</v>
      </c>
      <c r="E490" s="370"/>
      <c r="F490" s="65">
        <v>2150</v>
      </c>
      <c r="G490" s="10" t="s">
        <v>2528</v>
      </c>
      <c r="H490" s="373">
        <v>0</v>
      </c>
      <c r="I490" s="369">
        <f t="shared" si="23"/>
        <v>2150</v>
      </c>
    </row>
    <row r="491" spans="2:9" x14ac:dyDescent="0.3">
      <c r="B491" s="43">
        <v>45901</v>
      </c>
      <c r="C491" s="242" t="str">
        <f t="shared" si="21"/>
        <v>Sep-25</v>
      </c>
      <c r="D491" t="s">
        <v>2177</v>
      </c>
      <c r="E491" s="370" t="s">
        <v>2529</v>
      </c>
      <c r="F491" s="65">
        <v>80000</v>
      </c>
      <c r="G491" s="10" t="s">
        <v>1123</v>
      </c>
      <c r="H491" s="373">
        <v>0</v>
      </c>
      <c r="I491" s="369">
        <f t="shared" si="23"/>
        <v>80000</v>
      </c>
    </row>
    <row r="492" spans="2:9" x14ac:dyDescent="0.3">
      <c r="B492" s="43">
        <v>45901</v>
      </c>
      <c r="C492" s="242" t="str">
        <f t="shared" si="21"/>
        <v>Sep-25</v>
      </c>
      <c r="D492" t="s">
        <v>1014</v>
      </c>
      <c r="E492" s="370" t="s">
        <v>2529</v>
      </c>
      <c r="F492" s="65">
        <v>35000</v>
      </c>
      <c r="G492" s="10" t="s">
        <v>1123</v>
      </c>
      <c r="H492" s="373">
        <v>0</v>
      </c>
      <c r="I492" s="369">
        <f t="shared" si="23"/>
        <v>35000</v>
      </c>
    </row>
    <row r="493" spans="2:9" x14ac:dyDescent="0.3">
      <c r="B493" s="43">
        <v>45901</v>
      </c>
      <c r="C493" s="242" t="str">
        <f t="shared" si="21"/>
        <v>Sep-25</v>
      </c>
      <c r="D493" t="s">
        <v>999</v>
      </c>
      <c r="E493" s="370" t="s">
        <v>2530</v>
      </c>
      <c r="F493" s="65">
        <v>13577</v>
      </c>
      <c r="G493" s="10" t="s">
        <v>936</v>
      </c>
      <c r="H493" s="373">
        <v>0</v>
      </c>
      <c r="I493" s="369">
        <f t="shared" si="23"/>
        <v>13577</v>
      </c>
    </row>
    <row r="494" spans="2:9" x14ac:dyDescent="0.3">
      <c r="B494" s="43">
        <v>45901</v>
      </c>
      <c r="C494" s="242" t="str">
        <f t="shared" si="21"/>
        <v>Sep-25</v>
      </c>
      <c r="D494" t="s">
        <v>1013</v>
      </c>
      <c r="E494" s="371">
        <v>45870</v>
      </c>
      <c r="F494" s="65">
        <v>220000</v>
      </c>
      <c r="G494" s="10" t="s">
        <v>1123</v>
      </c>
      <c r="H494" s="373">
        <v>0</v>
      </c>
      <c r="I494" s="369">
        <f t="shared" si="23"/>
        <v>220000</v>
      </c>
    </row>
    <row r="495" spans="2:9" x14ac:dyDescent="0.3">
      <c r="B495" s="43">
        <v>45902</v>
      </c>
      <c r="C495" s="242" t="str">
        <f t="shared" si="21"/>
        <v>Sep-25</v>
      </c>
      <c r="D495" t="s">
        <v>999</v>
      </c>
      <c r="E495" s="370" t="s">
        <v>2531</v>
      </c>
      <c r="F495" s="65">
        <v>25300</v>
      </c>
      <c r="G495" s="10" t="s">
        <v>936</v>
      </c>
      <c r="H495" s="373">
        <v>0</v>
      </c>
      <c r="I495" s="369">
        <f t="shared" si="23"/>
        <v>25300</v>
      </c>
    </row>
    <row r="496" spans="2:9" x14ac:dyDescent="0.3">
      <c r="B496" s="43">
        <v>45904</v>
      </c>
      <c r="C496" s="242" t="str">
        <f t="shared" si="21"/>
        <v>Sep-25</v>
      </c>
      <c r="D496" t="s">
        <v>1738</v>
      </c>
      <c r="E496" s="370">
        <v>9191</v>
      </c>
      <c r="F496" s="65">
        <v>5163</v>
      </c>
      <c r="G496" s="10" t="s">
        <v>929</v>
      </c>
      <c r="H496" s="373">
        <v>0</v>
      </c>
      <c r="I496" s="369">
        <f t="shared" si="23"/>
        <v>5163</v>
      </c>
    </row>
    <row r="497" spans="2:9" x14ac:dyDescent="0.3">
      <c r="B497" s="43">
        <v>45904</v>
      </c>
      <c r="C497" s="242" t="str">
        <f t="shared" si="21"/>
        <v>Sep-25</v>
      </c>
      <c r="D497" t="s">
        <v>998</v>
      </c>
      <c r="E497" s="370">
        <v>9258</v>
      </c>
      <c r="F497" s="65">
        <v>380</v>
      </c>
      <c r="G497" s="10" t="s">
        <v>1121</v>
      </c>
      <c r="H497" s="373">
        <v>0</v>
      </c>
      <c r="I497" s="369">
        <f t="shared" si="23"/>
        <v>380</v>
      </c>
    </row>
    <row r="498" spans="2:9" x14ac:dyDescent="0.3">
      <c r="B498" s="43">
        <v>45905</v>
      </c>
      <c r="C498" s="242" t="str">
        <f t="shared" si="21"/>
        <v>Sep-25</v>
      </c>
      <c r="D498" t="s">
        <v>1004</v>
      </c>
      <c r="E498" s="376">
        <v>6</v>
      </c>
      <c r="F498" s="65">
        <v>50000</v>
      </c>
      <c r="G498" s="10" t="s">
        <v>1122</v>
      </c>
      <c r="H498" s="373">
        <v>0</v>
      </c>
      <c r="I498" s="369">
        <f t="shared" si="23"/>
        <v>50000</v>
      </c>
    </row>
    <row r="499" spans="2:9" x14ac:dyDescent="0.3">
      <c r="B499" s="43">
        <v>45906</v>
      </c>
      <c r="C499" s="242" t="str">
        <f t="shared" si="21"/>
        <v>Sep-25</v>
      </c>
      <c r="D499" t="s">
        <v>999</v>
      </c>
      <c r="E499" s="370">
        <v>9156</v>
      </c>
      <c r="F499" s="65">
        <v>820</v>
      </c>
      <c r="G499" s="10" t="s">
        <v>1121</v>
      </c>
      <c r="H499" s="373">
        <v>0</v>
      </c>
      <c r="I499" s="369">
        <f t="shared" si="23"/>
        <v>820</v>
      </c>
    </row>
    <row r="500" spans="2:9" x14ac:dyDescent="0.3">
      <c r="B500" s="43">
        <v>45908</v>
      </c>
      <c r="C500" s="242" t="str">
        <f t="shared" si="21"/>
        <v>Sep-25</v>
      </c>
      <c r="D500" t="s">
        <v>999</v>
      </c>
      <c r="E500" s="370" t="s">
        <v>2532</v>
      </c>
      <c r="F500" s="65">
        <v>15375</v>
      </c>
      <c r="G500" s="10" t="s">
        <v>936</v>
      </c>
      <c r="H500" s="373">
        <v>0</v>
      </c>
      <c r="I500" s="369">
        <f t="shared" si="23"/>
        <v>15375</v>
      </c>
    </row>
    <row r="501" spans="2:9" x14ac:dyDescent="0.3">
      <c r="B501" s="43">
        <v>45908</v>
      </c>
      <c r="C501" s="242" t="str">
        <f t="shared" si="21"/>
        <v>Sep-25</v>
      </c>
      <c r="D501" t="s">
        <v>999</v>
      </c>
      <c r="E501" s="370">
        <v>9156</v>
      </c>
      <c r="F501" s="65">
        <v>820</v>
      </c>
      <c r="G501" s="10" t="s">
        <v>1121</v>
      </c>
      <c r="H501" s="373">
        <v>0</v>
      </c>
      <c r="I501" s="369">
        <f t="shared" si="23"/>
        <v>820</v>
      </c>
    </row>
    <row r="502" spans="2:9" x14ac:dyDescent="0.3">
      <c r="B502" s="43">
        <v>45908</v>
      </c>
      <c r="C502" s="242" t="str">
        <f t="shared" si="21"/>
        <v>Sep-25</v>
      </c>
      <c r="D502" s="365" t="s">
        <v>1002</v>
      </c>
      <c r="E502" s="366">
        <v>73</v>
      </c>
      <c r="F502" s="65">
        <v>126000</v>
      </c>
      <c r="G502" s="11" t="s">
        <v>943</v>
      </c>
      <c r="H502" s="368">
        <f>F502</f>
        <v>126000</v>
      </c>
      <c r="I502" s="369">
        <v>0</v>
      </c>
    </row>
    <row r="503" spans="2:9" x14ac:dyDescent="0.3">
      <c r="B503" s="43">
        <v>45909</v>
      </c>
      <c r="C503" s="242" t="str">
        <f t="shared" si="21"/>
        <v>Sep-25</v>
      </c>
      <c r="D503" t="s">
        <v>1003</v>
      </c>
      <c r="E503" s="370">
        <v>616</v>
      </c>
      <c r="F503" s="65">
        <v>1140</v>
      </c>
      <c r="G503" s="10" t="s">
        <v>937</v>
      </c>
      <c r="H503" s="373">
        <v>0</v>
      </c>
      <c r="I503" s="369">
        <f t="shared" ref="I503:I510" si="24">F503</f>
        <v>1140</v>
      </c>
    </row>
    <row r="504" spans="2:9" x14ac:dyDescent="0.3">
      <c r="B504" s="43">
        <v>45909</v>
      </c>
      <c r="C504" s="242" t="str">
        <f t="shared" si="21"/>
        <v>Sep-25</v>
      </c>
      <c r="D504" t="s">
        <v>1003</v>
      </c>
      <c r="E504" s="370">
        <v>616</v>
      </c>
      <c r="F504" s="65">
        <v>1140</v>
      </c>
      <c r="G504" s="10" t="s">
        <v>937</v>
      </c>
      <c r="H504" s="373">
        <v>0</v>
      </c>
      <c r="I504" s="369">
        <f t="shared" si="24"/>
        <v>1140</v>
      </c>
    </row>
    <row r="505" spans="2:9" x14ac:dyDescent="0.3">
      <c r="B505" s="43">
        <v>45910</v>
      </c>
      <c r="C505" s="242" t="str">
        <f t="shared" si="21"/>
        <v>Sep-25</v>
      </c>
      <c r="D505" t="s">
        <v>2178</v>
      </c>
      <c r="E505" s="370"/>
      <c r="F505" s="65">
        <v>5695.09</v>
      </c>
      <c r="G505" s="10" t="s">
        <v>931</v>
      </c>
      <c r="H505" s="373">
        <v>0</v>
      </c>
      <c r="I505" s="369">
        <f t="shared" si="24"/>
        <v>5695.09</v>
      </c>
    </row>
    <row r="506" spans="2:9" x14ac:dyDescent="0.3">
      <c r="B506" s="43">
        <v>45911</v>
      </c>
      <c r="C506" s="242" t="str">
        <f t="shared" si="21"/>
        <v>Sep-25</v>
      </c>
      <c r="D506" t="s">
        <v>999</v>
      </c>
      <c r="E506" s="370">
        <v>8715</v>
      </c>
      <c r="F506" s="65">
        <v>912</v>
      </c>
      <c r="G506" s="10" t="s">
        <v>1121</v>
      </c>
      <c r="H506" s="373">
        <v>0</v>
      </c>
      <c r="I506" s="369">
        <f t="shared" si="24"/>
        <v>912</v>
      </c>
    </row>
    <row r="507" spans="2:9" x14ac:dyDescent="0.3">
      <c r="B507" s="43">
        <v>45912</v>
      </c>
      <c r="C507" s="242" t="str">
        <f t="shared" si="21"/>
        <v>Sep-25</v>
      </c>
      <c r="D507" t="s">
        <v>2178</v>
      </c>
      <c r="E507" s="370"/>
      <c r="F507" s="65">
        <v>273</v>
      </c>
      <c r="G507" s="10" t="s">
        <v>933</v>
      </c>
      <c r="H507" s="373">
        <v>0</v>
      </c>
      <c r="I507" s="369">
        <f t="shared" si="24"/>
        <v>273</v>
      </c>
    </row>
    <row r="508" spans="2:9" x14ac:dyDescent="0.3">
      <c r="B508" s="43">
        <v>45912</v>
      </c>
      <c r="C508" s="242" t="str">
        <f t="shared" si="21"/>
        <v>Sep-25</v>
      </c>
      <c r="D508" t="s">
        <v>1739</v>
      </c>
      <c r="E508" s="370">
        <v>9301</v>
      </c>
      <c r="F508" s="65">
        <v>2532</v>
      </c>
      <c r="G508" s="10" t="s">
        <v>929</v>
      </c>
      <c r="H508" s="373">
        <v>0</v>
      </c>
      <c r="I508" s="369">
        <f t="shared" si="24"/>
        <v>2532</v>
      </c>
    </row>
    <row r="509" spans="2:9" x14ac:dyDescent="0.3">
      <c r="B509" s="43">
        <v>45916</v>
      </c>
      <c r="C509" s="242" t="str">
        <f t="shared" si="21"/>
        <v>Sep-25</v>
      </c>
      <c r="D509" t="s">
        <v>998</v>
      </c>
      <c r="E509" s="370">
        <v>9258</v>
      </c>
      <c r="F509" s="65">
        <v>380</v>
      </c>
      <c r="G509" s="10" t="s">
        <v>1121</v>
      </c>
      <c r="H509" s="373">
        <v>0</v>
      </c>
      <c r="I509" s="369">
        <f t="shared" si="24"/>
        <v>380</v>
      </c>
    </row>
    <row r="510" spans="2:9" x14ac:dyDescent="0.3">
      <c r="B510" s="43">
        <v>45917</v>
      </c>
      <c r="C510" s="242" t="str">
        <f t="shared" si="21"/>
        <v>Sep-25</v>
      </c>
      <c r="D510" t="s">
        <v>999</v>
      </c>
      <c r="E510" s="370" t="s">
        <v>2533</v>
      </c>
      <c r="F510" s="65">
        <v>70808</v>
      </c>
      <c r="G510" s="10" t="s">
        <v>936</v>
      </c>
      <c r="H510" s="373">
        <v>0</v>
      </c>
      <c r="I510" s="369">
        <f t="shared" si="24"/>
        <v>70808</v>
      </c>
    </row>
    <row r="511" spans="2:9" x14ac:dyDescent="0.3">
      <c r="B511" s="43">
        <v>45919</v>
      </c>
      <c r="C511" s="242" t="str">
        <f t="shared" si="21"/>
        <v>Sep-25</v>
      </c>
      <c r="D511" s="365" t="s">
        <v>1742</v>
      </c>
      <c r="E511" s="366" t="s">
        <v>2534</v>
      </c>
      <c r="F511" s="65">
        <v>129363</v>
      </c>
      <c r="G511" s="11" t="s">
        <v>943</v>
      </c>
      <c r="H511" s="368">
        <f>F511</f>
        <v>129363</v>
      </c>
      <c r="I511" s="369">
        <v>0</v>
      </c>
    </row>
    <row r="512" spans="2:9" x14ac:dyDescent="0.3">
      <c r="B512" s="43">
        <v>45919</v>
      </c>
      <c r="C512" s="242" t="str">
        <f t="shared" si="21"/>
        <v>Sep-25</v>
      </c>
      <c r="D512" t="s">
        <v>1737</v>
      </c>
      <c r="E512" s="370">
        <v>9571</v>
      </c>
      <c r="F512" s="65">
        <v>4392</v>
      </c>
      <c r="G512" s="10" t="s">
        <v>1121</v>
      </c>
      <c r="H512" s="373">
        <v>0</v>
      </c>
      <c r="I512" s="369">
        <f t="shared" ref="I512:I575" si="25">F512</f>
        <v>4392</v>
      </c>
    </row>
    <row r="513" spans="2:9" x14ac:dyDescent="0.3">
      <c r="B513" s="43">
        <v>45919</v>
      </c>
      <c r="C513" s="242" t="str">
        <f t="shared" si="21"/>
        <v>Sep-25</v>
      </c>
      <c r="D513" t="s">
        <v>1739</v>
      </c>
      <c r="E513" s="370">
        <v>9443</v>
      </c>
      <c r="F513" s="65">
        <v>1793</v>
      </c>
      <c r="G513" s="10" t="s">
        <v>929</v>
      </c>
      <c r="H513" s="373">
        <v>0</v>
      </c>
      <c r="I513" s="369">
        <f t="shared" si="25"/>
        <v>1793</v>
      </c>
    </row>
    <row r="514" spans="2:9" x14ac:dyDescent="0.3">
      <c r="B514" s="43">
        <v>45922</v>
      </c>
      <c r="C514" s="242" t="str">
        <f t="shared" si="21"/>
        <v>Sep-25</v>
      </c>
      <c r="D514" t="s">
        <v>1000</v>
      </c>
      <c r="E514" s="371" t="s">
        <v>2535</v>
      </c>
      <c r="F514" s="65">
        <v>26390</v>
      </c>
      <c r="G514" s="10" t="s">
        <v>941</v>
      </c>
      <c r="H514" s="373">
        <v>0</v>
      </c>
      <c r="I514" s="369">
        <f t="shared" si="25"/>
        <v>26390</v>
      </c>
    </row>
    <row r="515" spans="2:9" x14ac:dyDescent="0.3">
      <c r="B515" s="43">
        <v>45926</v>
      </c>
      <c r="C515" s="242" t="str">
        <f t="shared" si="21"/>
        <v>Sep-25</v>
      </c>
      <c r="D515" t="s">
        <v>1739</v>
      </c>
      <c r="E515" s="370">
        <v>9641</v>
      </c>
      <c r="F515" s="65">
        <v>2504</v>
      </c>
      <c r="G515" s="10" t="s">
        <v>929</v>
      </c>
      <c r="H515" s="373">
        <v>0</v>
      </c>
      <c r="I515" s="369">
        <f t="shared" si="25"/>
        <v>2504</v>
      </c>
    </row>
    <row r="516" spans="2:9" x14ac:dyDescent="0.3">
      <c r="B516" s="43">
        <v>45927</v>
      </c>
      <c r="C516" s="242" t="str">
        <f t="shared" si="21"/>
        <v>Sep-25</v>
      </c>
      <c r="D516" t="s">
        <v>999</v>
      </c>
      <c r="E516" s="370">
        <v>9603</v>
      </c>
      <c r="F516" s="65">
        <v>1044</v>
      </c>
      <c r="G516" s="10" t="s">
        <v>1121</v>
      </c>
      <c r="H516" s="373">
        <v>0</v>
      </c>
      <c r="I516" s="369">
        <f t="shared" si="25"/>
        <v>1044</v>
      </c>
    </row>
    <row r="517" spans="2:9" x14ac:dyDescent="0.3">
      <c r="B517" s="43">
        <v>45929</v>
      </c>
      <c r="C517" s="242" t="str">
        <f t="shared" ref="C517:C580" si="26">TEXT(B517,"mmm-yy")</f>
        <v>Sep-25</v>
      </c>
      <c r="D517" t="s">
        <v>999</v>
      </c>
      <c r="E517" s="370" t="s">
        <v>2536</v>
      </c>
      <c r="F517" s="65">
        <v>49602</v>
      </c>
      <c r="G517" s="10" t="s">
        <v>936</v>
      </c>
      <c r="H517" s="373">
        <v>0</v>
      </c>
      <c r="I517" s="369">
        <f t="shared" si="25"/>
        <v>49602</v>
      </c>
    </row>
    <row r="518" spans="2:9" x14ac:dyDescent="0.3">
      <c r="B518" s="43">
        <v>45929</v>
      </c>
      <c r="C518" s="242" t="str">
        <f t="shared" si="26"/>
        <v>Sep-25</v>
      </c>
      <c r="D518" t="s">
        <v>999</v>
      </c>
      <c r="E518" s="370">
        <v>9603</v>
      </c>
      <c r="F518" s="65">
        <v>1044</v>
      </c>
      <c r="G518" s="10" t="s">
        <v>1121</v>
      </c>
      <c r="H518" s="373">
        <v>0</v>
      </c>
      <c r="I518" s="369">
        <f t="shared" si="25"/>
        <v>1044</v>
      </c>
    </row>
    <row r="519" spans="2:9" x14ac:dyDescent="0.3">
      <c r="B519" s="43">
        <v>45930</v>
      </c>
      <c r="C519" s="242" t="str">
        <f t="shared" si="26"/>
        <v>Sep-25</v>
      </c>
      <c r="D519" s="365" t="s">
        <v>1364</v>
      </c>
      <c r="E519" s="374">
        <v>45901</v>
      </c>
      <c r="F519" s="65">
        <v>42695.093025205475</v>
      </c>
      <c r="G519" s="11" t="s">
        <v>2179</v>
      </c>
      <c r="H519" s="368">
        <v>0</v>
      </c>
      <c r="I519" s="369">
        <f t="shared" si="25"/>
        <v>42695.093025205475</v>
      </c>
    </row>
    <row r="520" spans="2:9" x14ac:dyDescent="0.3">
      <c r="B520" s="43">
        <v>45930</v>
      </c>
      <c r="C520" s="242" t="str">
        <f t="shared" si="26"/>
        <v>Sep-25</v>
      </c>
      <c r="D520" t="s">
        <v>1006</v>
      </c>
      <c r="E520" s="371">
        <v>45901</v>
      </c>
      <c r="F520" s="65">
        <v>5054.82</v>
      </c>
      <c r="G520" s="10" t="s">
        <v>1361</v>
      </c>
      <c r="H520" s="373">
        <v>0</v>
      </c>
      <c r="I520" s="369">
        <f t="shared" si="25"/>
        <v>5054.82</v>
      </c>
    </row>
    <row r="521" spans="2:9" x14ac:dyDescent="0.3">
      <c r="B521" s="43">
        <v>45930</v>
      </c>
      <c r="C521" s="242" t="str">
        <f t="shared" si="26"/>
        <v>Sep-25</v>
      </c>
      <c r="D521" t="s">
        <v>1737</v>
      </c>
      <c r="E521" s="370" t="s">
        <v>2526</v>
      </c>
      <c r="F521" s="65">
        <v>11604</v>
      </c>
      <c r="G521" s="10" t="s">
        <v>932</v>
      </c>
      <c r="H521" s="373">
        <v>0</v>
      </c>
      <c r="I521" s="369">
        <f t="shared" si="25"/>
        <v>11604</v>
      </c>
    </row>
    <row r="522" spans="2:9" x14ac:dyDescent="0.3">
      <c r="B522" s="43">
        <v>45930</v>
      </c>
      <c r="C522" s="242" t="str">
        <f t="shared" si="26"/>
        <v>Sep-25</v>
      </c>
      <c r="D522" t="s">
        <v>1739</v>
      </c>
      <c r="E522" s="370"/>
      <c r="F522" s="65">
        <v>18948.480000000003</v>
      </c>
      <c r="G522" s="10" t="s">
        <v>932</v>
      </c>
      <c r="H522" s="373">
        <v>0</v>
      </c>
      <c r="I522" s="369">
        <f t="shared" si="25"/>
        <v>18948.480000000003</v>
      </c>
    </row>
    <row r="523" spans="2:9" x14ac:dyDescent="0.3">
      <c r="B523" s="43">
        <v>45930</v>
      </c>
      <c r="C523" s="242" t="str">
        <f t="shared" si="26"/>
        <v>Sep-25</v>
      </c>
      <c r="D523" t="s">
        <v>1530</v>
      </c>
      <c r="E523" s="370"/>
      <c r="F523" s="65">
        <v>23556.639999999999</v>
      </c>
      <c r="G523" s="10" t="s">
        <v>932</v>
      </c>
      <c r="H523" s="373">
        <v>0</v>
      </c>
      <c r="I523" s="369">
        <f t="shared" si="25"/>
        <v>23556.639999999999</v>
      </c>
    </row>
    <row r="524" spans="2:9" x14ac:dyDescent="0.3">
      <c r="B524" s="43">
        <v>45930</v>
      </c>
      <c r="C524" s="242" t="str">
        <f t="shared" si="26"/>
        <v>Sep-25</v>
      </c>
      <c r="D524" t="s">
        <v>1530</v>
      </c>
      <c r="E524" s="370"/>
      <c r="F524" s="65">
        <v>19878.690000000002</v>
      </c>
      <c r="G524" s="10" t="s">
        <v>932</v>
      </c>
      <c r="H524" s="373">
        <v>0</v>
      </c>
      <c r="I524" s="369">
        <f t="shared" si="25"/>
        <v>19878.690000000002</v>
      </c>
    </row>
    <row r="525" spans="2:9" x14ac:dyDescent="0.3">
      <c r="B525" s="43">
        <v>45930</v>
      </c>
      <c r="C525" s="242" t="str">
        <f t="shared" si="26"/>
        <v>Sep-25</v>
      </c>
      <c r="D525" t="s">
        <v>1530</v>
      </c>
      <c r="E525" s="370"/>
      <c r="F525" s="65">
        <v>6790.83</v>
      </c>
      <c r="G525" s="10" t="s">
        <v>931</v>
      </c>
      <c r="H525" s="373">
        <v>0</v>
      </c>
      <c r="I525" s="369">
        <f t="shared" si="25"/>
        <v>6790.83</v>
      </c>
    </row>
    <row r="526" spans="2:9" x14ac:dyDescent="0.3">
      <c r="B526" s="43">
        <v>45934</v>
      </c>
      <c r="C526" s="242" t="str">
        <f t="shared" si="26"/>
        <v>Oct-25</v>
      </c>
      <c r="D526" t="s">
        <v>999</v>
      </c>
      <c r="E526" s="370" t="s">
        <v>2537</v>
      </c>
      <c r="F526" s="65">
        <v>73710</v>
      </c>
      <c r="G526" s="10" t="s">
        <v>936</v>
      </c>
      <c r="H526" s="373">
        <v>0</v>
      </c>
      <c r="I526" s="369">
        <f t="shared" si="25"/>
        <v>73710</v>
      </c>
    </row>
    <row r="527" spans="2:9" x14ac:dyDescent="0.3">
      <c r="B527" s="43">
        <v>45936</v>
      </c>
      <c r="C527" s="242" t="str">
        <f t="shared" si="26"/>
        <v>Oct-25</v>
      </c>
      <c r="D527" t="s">
        <v>1013</v>
      </c>
      <c r="E527" s="371">
        <v>45901</v>
      </c>
      <c r="F527" s="65">
        <v>220000</v>
      </c>
      <c r="G527" s="10" t="s">
        <v>1123</v>
      </c>
      <c r="H527" s="373">
        <v>0</v>
      </c>
      <c r="I527" s="369">
        <f t="shared" si="25"/>
        <v>220000</v>
      </c>
    </row>
    <row r="528" spans="2:9" x14ac:dyDescent="0.3">
      <c r="B528" s="43">
        <v>45938</v>
      </c>
      <c r="C528" s="242" t="str">
        <f t="shared" si="26"/>
        <v>Oct-25</v>
      </c>
      <c r="D528" t="s">
        <v>1003</v>
      </c>
      <c r="E528" s="370">
        <v>660</v>
      </c>
      <c r="F528" s="65">
        <v>1920</v>
      </c>
      <c r="G528" s="10" t="s">
        <v>937</v>
      </c>
      <c r="H528" s="373">
        <v>0</v>
      </c>
      <c r="I528" s="369">
        <f t="shared" si="25"/>
        <v>1920</v>
      </c>
    </row>
    <row r="529" spans="2:9" x14ac:dyDescent="0.3">
      <c r="B529" s="43">
        <v>45938</v>
      </c>
      <c r="C529" s="242" t="str">
        <f t="shared" si="26"/>
        <v>Oct-25</v>
      </c>
      <c r="D529" t="s">
        <v>1003</v>
      </c>
      <c r="E529" s="370">
        <v>693</v>
      </c>
      <c r="F529" s="65">
        <v>2160</v>
      </c>
      <c r="G529" s="10" t="s">
        <v>937</v>
      </c>
      <c r="H529" s="373">
        <v>0</v>
      </c>
      <c r="I529" s="369">
        <f t="shared" si="25"/>
        <v>2160</v>
      </c>
    </row>
    <row r="530" spans="2:9" x14ac:dyDescent="0.3">
      <c r="B530" s="43">
        <v>45938</v>
      </c>
      <c r="C530" s="242" t="str">
        <f t="shared" si="26"/>
        <v>Oct-25</v>
      </c>
      <c r="D530" t="s">
        <v>1739</v>
      </c>
      <c r="E530" s="370">
        <v>9731</v>
      </c>
      <c r="F530" s="65">
        <v>410</v>
      </c>
      <c r="G530" s="10" t="s">
        <v>933</v>
      </c>
      <c r="H530" s="373">
        <v>0</v>
      </c>
      <c r="I530" s="369">
        <f t="shared" si="25"/>
        <v>410</v>
      </c>
    </row>
    <row r="531" spans="2:9" x14ac:dyDescent="0.3">
      <c r="B531" s="43">
        <v>45938</v>
      </c>
      <c r="C531" s="242" t="str">
        <f t="shared" si="26"/>
        <v>Oct-25</v>
      </c>
      <c r="D531" t="s">
        <v>1739</v>
      </c>
      <c r="E531" s="370">
        <v>9730</v>
      </c>
      <c r="F531" s="65">
        <v>1992</v>
      </c>
      <c r="G531" s="10" t="s">
        <v>1121</v>
      </c>
      <c r="H531" s="373">
        <v>0</v>
      </c>
      <c r="I531" s="369">
        <f t="shared" si="25"/>
        <v>1992</v>
      </c>
    </row>
    <row r="532" spans="2:9" x14ac:dyDescent="0.3">
      <c r="B532" s="43">
        <v>45938</v>
      </c>
      <c r="C532" s="242" t="str">
        <f t="shared" si="26"/>
        <v>Oct-25</v>
      </c>
      <c r="D532" t="s">
        <v>998</v>
      </c>
      <c r="E532" s="370">
        <v>9740</v>
      </c>
      <c r="F532" s="65">
        <v>1156</v>
      </c>
      <c r="G532" s="10" t="s">
        <v>1121</v>
      </c>
      <c r="H532" s="373">
        <v>0</v>
      </c>
      <c r="I532" s="369">
        <f t="shared" si="25"/>
        <v>1156</v>
      </c>
    </row>
    <row r="533" spans="2:9" x14ac:dyDescent="0.3">
      <c r="B533" s="43">
        <v>45946</v>
      </c>
      <c r="C533" s="242" t="str">
        <f t="shared" si="26"/>
        <v>Oct-25</v>
      </c>
      <c r="D533" t="s">
        <v>999</v>
      </c>
      <c r="E533" s="370" t="s">
        <v>2538</v>
      </c>
      <c r="F533" s="65">
        <v>26940</v>
      </c>
      <c r="G533" s="10" t="s">
        <v>936</v>
      </c>
      <c r="H533" s="373">
        <v>0</v>
      </c>
      <c r="I533" s="369">
        <f t="shared" si="25"/>
        <v>26940</v>
      </c>
    </row>
    <row r="534" spans="2:9" x14ac:dyDescent="0.3">
      <c r="B534" s="43">
        <v>45946</v>
      </c>
      <c r="C534" s="242" t="str">
        <f t="shared" si="26"/>
        <v>Oct-25</v>
      </c>
      <c r="D534" t="s">
        <v>999</v>
      </c>
      <c r="E534" s="370" t="s">
        <v>2538</v>
      </c>
      <c r="F534" s="65">
        <v>6100</v>
      </c>
      <c r="G534" s="10" t="s">
        <v>936</v>
      </c>
      <c r="H534" s="373">
        <v>0</v>
      </c>
      <c r="I534" s="369">
        <f t="shared" si="25"/>
        <v>6100</v>
      </c>
    </row>
    <row r="535" spans="2:9" x14ac:dyDescent="0.3">
      <c r="B535" s="43">
        <v>45946</v>
      </c>
      <c r="C535" s="242" t="str">
        <f t="shared" si="26"/>
        <v>Oct-25</v>
      </c>
      <c r="D535" t="s">
        <v>999</v>
      </c>
      <c r="E535" s="370" t="s">
        <v>2538</v>
      </c>
      <c r="F535" s="65">
        <v>1700</v>
      </c>
      <c r="G535" s="10" t="s">
        <v>936</v>
      </c>
      <c r="H535" s="373">
        <v>0</v>
      </c>
      <c r="I535" s="369">
        <f t="shared" si="25"/>
        <v>1700</v>
      </c>
    </row>
    <row r="536" spans="2:9" x14ac:dyDescent="0.3">
      <c r="B536" s="43">
        <v>45946</v>
      </c>
      <c r="C536" s="242" t="str">
        <f t="shared" si="26"/>
        <v>Oct-25</v>
      </c>
      <c r="D536" t="s">
        <v>999</v>
      </c>
      <c r="E536" s="370" t="s">
        <v>2538</v>
      </c>
      <c r="F536" s="65">
        <v>1020</v>
      </c>
      <c r="G536" s="10" t="s">
        <v>936</v>
      </c>
      <c r="H536" s="373">
        <v>0</v>
      </c>
      <c r="I536" s="369">
        <f t="shared" si="25"/>
        <v>1020</v>
      </c>
    </row>
    <row r="537" spans="2:9" x14ac:dyDescent="0.3">
      <c r="B537" s="43">
        <v>45946</v>
      </c>
      <c r="C537" s="242" t="str">
        <f t="shared" si="26"/>
        <v>Oct-25</v>
      </c>
      <c r="D537" t="s">
        <v>999</v>
      </c>
      <c r="E537" s="370" t="s">
        <v>2538</v>
      </c>
      <c r="F537" s="65">
        <v>1840</v>
      </c>
      <c r="G537" s="10" t="s">
        <v>936</v>
      </c>
      <c r="H537" s="373">
        <v>0</v>
      </c>
      <c r="I537" s="369">
        <f t="shared" si="25"/>
        <v>1840</v>
      </c>
    </row>
    <row r="538" spans="2:9" x14ac:dyDescent="0.3">
      <c r="B538" s="43">
        <v>45946</v>
      </c>
      <c r="C538" s="242" t="str">
        <f t="shared" si="26"/>
        <v>Oct-25</v>
      </c>
      <c r="D538" t="s">
        <v>999</v>
      </c>
      <c r="E538" s="370" t="s">
        <v>2538</v>
      </c>
      <c r="F538" s="65">
        <v>35200</v>
      </c>
      <c r="G538" s="10" t="s">
        <v>936</v>
      </c>
      <c r="H538" s="373">
        <v>0</v>
      </c>
      <c r="I538" s="369">
        <f t="shared" si="25"/>
        <v>35200</v>
      </c>
    </row>
    <row r="539" spans="2:9" x14ac:dyDescent="0.3">
      <c r="B539" s="43">
        <v>45946</v>
      </c>
      <c r="C539" s="242" t="str">
        <f t="shared" si="26"/>
        <v>Oct-25</v>
      </c>
      <c r="D539" t="s">
        <v>999</v>
      </c>
      <c r="E539" s="370" t="s">
        <v>2538</v>
      </c>
      <c r="F539" s="65">
        <v>44400</v>
      </c>
      <c r="G539" s="10" t="s">
        <v>936</v>
      </c>
      <c r="H539" s="373">
        <v>0</v>
      </c>
      <c r="I539" s="369">
        <f t="shared" si="25"/>
        <v>44400</v>
      </c>
    </row>
    <row r="540" spans="2:9" x14ac:dyDescent="0.3">
      <c r="B540" s="43">
        <v>45946</v>
      </c>
      <c r="C540" s="242" t="str">
        <f t="shared" si="26"/>
        <v>Oct-25</v>
      </c>
      <c r="D540" t="s">
        <v>999</v>
      </c>
      <c r="E540" s="370"/>
      <c r="F540" s="65">
        <v>1068</v>
      </c>
      <c r="G540" s="10" t="s">
        <v>929</v>
      </c>
      <c r="H540" s="373">
        <v>0</v>
      </c>
      <c r="I540" s="369">
        <f t="shared" si="25"/>
        <v>1068</v>
      </c>
    </row>
    <row r="541" spans="2:9" x14ac:dyDescent="0.3">
      <c r="B541" s="43">
        <v>45946</v>
      </c>
      <c r="C541" s="242" t="str">
        <f t="shared" si="26"/>
        <v>Oct-25</v>
      </c>
      <c r="D541" t="s">
        <v>999</v>
      </c>
      <c r="E541" s="370">
        <v>9793</v>
      </c>
      <c r="F541" s="65">
        <v>1356</v>
      </c>
      <c r="G541" s="10" t="s">
        <v>1121</v>
      </c>
      <c r="H541" s="373">
        <v>0</v>
      </c>
      <c r="I541" s="369">
        <f t="shared" si="25"/>
        <v>1356</v>
      </c>
    </row>
    <row r="542" spans="2:9" x14ac:dyDescent="0.3">
      <c r="B542" s="43">
        <v>45946</v>
      </c>
      <c r="C542" s="242" t="str">
        <f t="shared" si="26"/>
        <v>Oct-25</v>
      </c>
      <c r="D542" t="s">
        <v>1740</v>
      </c>
      <c r="E542" s="370" t="s">
        <v>2539</v>
      </c>
      <c r="F542" s="65">
        <v>2232</v>
      </c>
      <c r="G542" s="10" t="s">
        <v>1121</v>
      </c>
      <c r="H542" s="373">
        <v>0</v>
      </c>
      <c r="I542" s="369">
        <f t="shared" si="25"/>
        <v>2232</v>
      </c>
    </row>
    <row r="543" spans="2:9" x14ac:dyDescent="0.3">
      <c r="B543" s="43">
        <v>45946</v>
      </c>
      <c r="C543" s="242" t="str">
        <f t="shared" si="26"/>
        <v>Oct-25</v>
      </c>
      <c r="D543" t="s">
        <v>1737</v>
      </c>
      <c r="E543" s="370">
        <v>9809</v>
      </c>
      <c r="F543" s="65">
        <v>3568</v>
      </c>
      <c r="G543" s="10" t="s">
        <v>1121</v>
      </c>
      <c r="H543" s="373">
        <v>0</v>
      </c>
      <c r="I543" s="369">
        <f t="shared" si="25"/>
        <v>3568</v>
      </c>
    </row>
    <row r="544" spans="2:9" x14ac:dyDescent="0.3">
      <c r="B544" s="43">
        <v>45947</v>
      </c>
      <c r="C544" s="242" t="str">
        <f t="shared" si="26"/>
        <v>Oct-25</v>
      </c>
      <c r="D544" t="s">
        <v>1000</v>
      </c>
      <c r="E544" s="370">
        <v>3055394825</v>
      </c>
      <c r="F544" s="65">
        <v>58110</v>
      </c>
      <c r="G544" s="10" t="s">
        <v>941</v>
      </c>
      <c r="H544" s="373">
        <v>0</v>
      </c>
      <c r="I544" s="369">
        <f t="shared" si="25"/>
        <v>58110</v>
      </c>
    </row>
    <row r="545" spans="2:9" x14ac:dyDescent="0.3">
      <c r="B545" s="43">
        <v>45952</v>
      </c>
      <c r="C545" s="242" t="str">
        <f t="shared" si="26"/>
        <v>Oct-25</v>
      </c>
      <c r="D545" t="s">
        <v>1739</v>
      </c>
      <c r="E545" s="370">
        <v>9828</v>
      </c>
      <c r="F545" s="65">
        <v>764</v>
      </c>
      <c r="G545" s="10" t="s">
        <v>933</v>
      </c>
      <c r="H545" s="373">
        <v>0</v>
      </c>
      <c r="I545" s="369">
        <f t="shared" si="25"/>
        <v>764</v>
      </c>
    </row>
    <row r="546" spans="2:9" x14ac:dyDescent="0.3">
      <c r="B546" s="43">
        <v>45952</v>
      </c>
      <c r="C546" s="242" t="str">
        <f t="shared" si="26"/>
        <v>Oct-25</v>
      </c>
      <c r="D546" t="s">
        <v>1739</v>
      </c>
      <c r="E546" s="376">
        <v>9827</v>
      </c>
      <c r="F546" s="65">
        <v>2298</v>
      </c>
      <c r="G546" s="10" t="s">
        <v>929</v>
      </c>
      <c r="H546" s="373">
        <v>0</v>
      </c>
      <c r="I546" s="369">
        <f t="shared" si="25"/>
        <v>2298</v>
      </c>
    </row>
    <row r="547" spans="2:9" x14ac:dyDescent="0.3">
      <c r="B547" s="43">
        <v>45952</v>
      </c>
      <c r="C547" s="242" t="str">
        <f t="shared" si="26"/>
        <v>Oct-25</v>
      </c>
      <c r="D547" t="s">
        <v>1739</v>
      </c>
      <c r="E547" s="370">
        <v>9826</v>
      </c>
      <c r="F547" s="65">
        <v>1210</v>
      </c>
      <c r="G547" s="10" t="s">
        <v>1766</v>
      </c>
      <c r="H547" s="373">
        <v>0</v>
      </c>
      <c r="I547" s="369">
        <f t="shared" si="25"/>
        <v>1210</v>
      </c>
    </row>
    <row r="548" spans="2:9" x14ac:dyDescent="0.3">
      <c r="B548" s="43">
        <v>45952</v>
      </c>
      <c r="C548" s="242" t="str">
        <f t="shared" si="26"/>
        <v>Oct-25</v>
      </c>
      <c r="D548" t="s">
        <v>998</v>
      </c>
      <c r="E548" s="370">
        <v>9797</v>
      </c>
      <c r="F548" s="65">
        <v>2088</v>
      </c>
      <c r="G548" s="10" t="s">
        <v>1121</v>
      </c>
      <c r="H548" s="373">
        <v>0</v>
      </c>
      <c r="I548" s="369">
        <f t="shared" si="25"/>
        <v>2088</v>
      </c>
    </row>
    <row r="549" spans="2:9" x14ac:dyDescent="0.3">
      <c r="B549" s="43">
        <v>45952</v>
      </c>
      <c r="C549" s="242" t="str">
        <f t="shared" si="26"/>
        <v>Oct-25</v>
      </c>
      <c r="D549" t="s">
        <v>999</v>
      </c>
      <c r="E549" s="370" t="s">
        <v>2540</v>
      </c>
      <c r="F549" s="65">
        <v>2800</v>
      </c>
      <c r="G549" s="10" t="s">
        <v>936</v>
      </c>
      <c r="H549" s="373">
        <v>0</v>
      </c>
      <c r="I549" s="369">
        <f t="shared" si="25"/>
        <v>2800</v>
      </c>
    </row>
    <row r="550" spans="2:9" x14ac:dyDescent="0.3">
      <c r="B550" s="43">
        <v>45952</v>
      </c>
      <c r="C550" s="242" t="str">
        <f t="shared" si="26"/>
        <v>Oct-25</v>
      </c>
      <c r="D550" t="s">
        <v>999</v>
      </c>
      <c r="E550" s="370" t="s">
        <v>2540</v>
      </c>
      <c r="F550" s="65">
        <v>2500</v>
      </c>
      <c r="G550" s="10" t="s">
        <v>936</v>
      </c>
      <c r="H550" s="373">
        <v>0</v>
      </c>
      <c r="I550" s="369">
        <f t="shared" si="25"/>
        <v>2500</v>
      </c>
    </row>
    <row r="551" spans="2:9" x14ac:dyDescent="0.3">
      <c r="B551" s="43">
        <v>45952</v>
      </c>
      <c r="C551" s="242" t="str">
        <f t="shared" si="26"/>
        <v>Oct-25</v>
      </c>
      <c r="D551" t="s">
        <v>999</v>
      </c>
      <c r="E551" s="370" t="s">
        <v>2540</v>
      </c>
      <c r="F551" s="65">
        <v>1800</v>
      </c>
      <c r="G551" s="10" t="s">
        <v>936</v>
      </c>
      <c r="H551" s="373">
        <v>0</v>
      </c>
      <c r="I551" s="369">
        <f t="shared" si="25"/>
        <v>1800</v>
      </c>
    </row>
    <row r="552" spans="2:9" x14ac:dyDescent="0.3">
      <c r="B552" s="43">
        <v>45952</v>
      </c>
      <c r="C552" s="242" t="str">
        <f t="shared" si="26"/>
        <v>Oct-25</v>
      </c>
      <c r="D552" t="s">
        <v>1740</v>
      </c>
      <c r="E552" s="370">
        <v>9860</v>
      </c>
      <c r="F552" s="65">
        <v>1120</v>
      </c>
      <c r="G552" s="10" t="s">
        <v>1121</v>
      </c>
      <c r="H552" s="373">
        <v>0</v>
      </c>
      <c r="I552" s="369">
        <f t="shared" si="25"/>
        <v>1120</v>
      </c>
    </row>
    <row r="553" spans="2:9" x14ac:dyDescent="0.3">
      <c r="B553" s="43">
        <v>45952</v>
      </c>
      <c r="C553" s="242" t="str">
        <f t="shared" si="26"/>
        <v>Oct-25</v>
      </c>
      <c r="D553" t="s">
        <v>1740</v>
      </c>
      <c r="E553" s="370">
        <v>9863</v>
      </c>
      <c r="F553" s="65">
        <v>960</v>
      </c>
      <c r="G553" s="10" t="s">
        <v>1121</v>
      </c>
      <c r="H553" s="373">
        <v>0</v>
      </c>
      <c r="I553" s="369">
        <f t="shared" si="25"/>
        <v>960</v>
      </c>
    </row>
    <row r="554" spans="2:9" x14ac:dyDescent="0.3">
      <c r="B554" s="43">
        <v>45952</v>
      </c>
      <c r="C554" s="242" t="str">
        <f t="shared" si="26"/>
        <v>Oct-25</v>
      </c>
      <c r="D554" t="s">
        <v>1740</v>
      </c>
      <c r="E554" s="370">
        <v>9862</v>
      </c>
      <c r="F554" s="65">
        <v>624</v>
      </c>
      <c r="G554" s="10" t="s">
        <v>1121</v>
      </c>
      <c r="H554" s="373">
        <v>0</v>
      </c>
      <c r="I554" s="369">
        <f t="shared" si="25"/>
        <v>624</v>
      </c>
    </row>
    <row r="555" spans="2:9" x14ac:dyDescent="0.3">
      <c r="B555" s="43">
        <v>45952</v>
      </c>
      <c r="C555" s="242" t="str">
        <f t="shared" si="26"/>
        <v>Oct-25</v>
      </c>
      <c r="D555" t="s">
        <v>1530</v>
      </c>
      <c r="E555" s="370">
        <v>9824</v>
      </c>
      <c r="F555" s="65">
        <v>1103.95</v>
      </c>
      <c r="G555" s="10" t="s">
        <v>933</v>
      </c>
      <c r="H555" s="373">
        <v>0</v>
      </c>
      <c r="I555" s="369">
        <f t="shared" si="25"/>
        <v>1103.95</v>
      </c>
    </row>
    <row r="556" spans="2:9" x14ac:dyDescent="0.3">
      <c r="B556" s="43">
        <v>45961</v>
      </c>
      <c r="C556" s="242" t="str">
        <f t="shared" si="26"/>
        <v>Oct-25</v>
      </c>
      <c r="D556" s="365" t="s">
        <v>1364</v>
      </c>
      <c r="E556" s="374">
        <v>45931</v>
      </c>
      <c r="F556" s="65">
        <v>48425.351083013702</v>
      </c>
      <c r="G556" s="11" t="s">
        <v>2179</v>
      </c>
      <c r="H556" s="368">
        <v>0</v>
      </c>
      <c r="I556" s="369">
        <f t="shared" si="25"/>
        <v>48425.351083013702</v>
      </c>
    </row>
    <row r="557" spans="2:9" x14ac:dyDescent="0.3">
      <c r="B557" s="43">
        <v>45961</v>
      </c>
      <c r="C557" s="242" t="str">
        <f t="shared" si="26"/>
        <v>Oct-25</v>
      </c>
      <c r="D557" t="s">
        <v>1737</v>
      </c>
      <c r="E557" s="370"/>
      <c r="F557" s="65">
        <v>2127</v>
      </c>
      <c r="G557" s="10" t="s">
        <v>929</v>
      </c>
      <c r="H557" s="373">
        <v>0</v>
      </c>
      <c r="I557" s="369">
        <f t="shared" si="25"/>
        <v>2127</v>
      </c>
    </row>
    <row r="558" spans="2:9" x14ac:dyDescent="0.3">
      <c r="B558" s="43">
        <v>45961</v>
      </c>
      <c r="C558" s="242" t="str">
        <f t="shared" si="26"/>
        <v>Oct-25</v>
      </c>
      <c r="D558" t="s">
        <v>1006</v>
      </c>
      <c r="E558" s="371">
        <v>45931</v>
      </c>
      <c r="F558" s="65">
        <v>5223.3139999999994</v>
      </c>
      <c r="G558" s="10" t="s">
        <v>1361</v>
      </c>
      <c r="H558" s="373">
        <v>0</v>
      </c>
      <c r="I558" s="369">
        <f t="shared" si="25"/>
        <v>5223.3139999999994</v>
      </c>
    </row>
    <row r="559" spans="2:9" x14ac:dyDescent="0.3">
      <c r="B559" s="43">
        <v>45961</v>
      </c>
      <c r="C559" s="242" t="str">
        <f t="shared" si="26"/>
        <v>Oct-25</v>
      </c>
      <c r="D559" t="s">
        <v>1014</v>
      </c>
      <c r="E559" s="370" t="s">
        <v>2541</v>
      </c>
      <c r="F559" s="65">
        <v>35000</v>
      </c>
      <c r="G559" s="10" t="s">
        <v>1123</v>
      </c>
      <c r="H559" s="373">
        <v>0</v>
      </c>
      <c r="I559" s="369">
        <f t="shared" si="25"/>
        <v>35000</v>
      </c>
    </row>
    <row r="560" spans="2:9" x14ac:dyDescent="0.3">
      <c r="B560" s="43">
        <v>45961</v>
      </c>
      <c r="C560" s="242" t="str">
        <f t="shared" si="26"/>
        <v>Oct-25</v>
      </c>
      <c r="D560" t="s">
        <v>1737</v>
      </c>
      <c r="E560" s="370" t="s">
        <v>2526</v>
      </c>
      <c r="F560" s="65">
        <v>7703</v>
      </c>
      <c r="G560" s="10" t="s">
        <v>932</v>
      </c>
      <c r="H560" s="373">
        <v>0</v>
      </c>
      <c r="I560" s="369">
        <f t="shared" si="25"/>
        <v>7703</v>
      </c>
    </row>
    <row r="561" spans="2:9" x14ac:dyDescent="0.3">
      <c r="B561" s="43">
        <v>45961</v>
      </c>
      <c r="C561" s="242" t="str">
        <f t="shared" si="26"/>
        <v>Oct-25</v>
      </c>
      <c r="D561" t="s">
        <v>2177</v>
      </c>
      <c r="E561" s="370" t="s">
        <v>2541</v>
      </c>
      <c r="F561" s="65">
        <v>80000</v>
      </c>
      <c r="G561" s="10" t="s">
        <v>1123</v>
      </c>
      <c r="H561" s="373">
        <v>0</v>
      </c>
      <c r="I561" s="369">
        <f t="shared" si="25"/>
        <v>80000</v>
      </c>
    </row>
    <row r="562" spans="2:9" x14ac:dyDescent="0.3">
      <c r="B562" s="43">
        <v>45961</v>
      </c>
      <c r="C562" s="242" t="str">
        <f t="shared" si="26"/>
        <v>Oct-25</v>
      </c>
      <c r="D562" t="s">
        <v>1530</v>
      </c>
      <c r="E562" s="370"/>
      <c r="F562" s="65">
        <v>14735.39</v>
      </c>
      <c r="G562" s="10" t="s">
        <v>929</v>
      </c>
      <c r="H562" s="373">
        <v>0</v>
      </c>
      <c r="I562" s="369">
        <f t="shared" si="25"/>
        <v>14735.39</v>
      </c>
    </row>
    <row r="563" spans="2:9" x14ac:dyDescent="0.3">
      <c r="B563" s="43">
        <v>45961</v>
      </c>
      <c r="C563" s="242" t="str">
        <f t="shared" si="26"/>
        <v>Oct-25</v>
      </c>
      <c r="D563" t="s">
        <v>1530</v>
      </c>
      <c r="E563" s="370"/>
      <c r="F563" s="65">
        <v>24525</v>
      </c>
      <c r="G563" s="10" t="s">
        <v>932</v>
      </c>
      <c r="H563" s="373">
        <v>0</v>
      </c>
      <c r="I563" s="369">
        <f t="shared" si="25"/>
        <v>24525</v>
      </c>
    </row>
    <row r="564" spans="2:9" x14ac:dyDescent="0.3">
      <c r="B564" s="43">
        <v>45961</v>
      </c>
      <c r="C564" s="242" t="str">
        <f t="shared" si="26"/>
        <v>Oct-25</v>
      </c>
      <c r="D564" t="s">
        <v>1530</v>
      </c>
      <c r="E564" s="370"/>
      <c r="F564" s="65">
        <v>5607.63</v>
      </c>
      <c r="G564" s="10" t="s">
        <v>931</v>
      </c>
      <c r="H564" s="373">
        <v>0</v>
      </c>
      <c r="I564" s="369">
        <f t="shared" si="25"/>
        <v>5607.63</v>
      </c>
    </row>
    <row r="565" spans="2:9" x14ac:dyDescent="0.3">
      <c r="B565" s="43">
        <v>45961</v>
      </c>
      <c r="C565" s="242" t="str">
        <f t="shared" si="26"/>
        <v>Oct-25</v>
      </c>
      <c r="D565" t="s">
        <v>1739</v>
      </c>
      <c r="E565" s="370"/>
      <c r="F565" s="65">
        <v>7060</v>
      </c>
      <c r="G565" s="10" t="s">
        <v>931</v>
      </c>
      <c r="H565" s="373">
        <v>0</v>
      </c>
      <c r="I565" s="369">
        <f t="shared" si="25"/>
        <v>7060</v>
      </c>
    </row>
    <row r="566" spans="2:9" x14ac:dyDescent="0.3">
      <c r="B566" s="43">
        <v>45961</v>
      </c>
      <c r="C566" s="242" t="str">
        <f t="shared" si="26"/>
        <v>Oct-25</v>
      </c>
      <c r="D566" t="s">
        <v>1739</v>
      </c>
      <c r="E566" s="370"/>
      <c r="F566" s="65">
        <v>36256</v>
      </c>
      <c r="G566" s="10" t="s">
        <v>932</v>
      </c>
      <c r="H566" s="373">
        <v>0</v>
      </c>
      <c r="I566" s="369">
        <f t="shared" si="25"/>
        <v>36256</v>
      </c>
    </row>
    <row r="567" spans="2:9" x14ac:dyDescent="0.3">
      <c r="B567" s="43">
        <v>45964</v>
      </c>
      <c r="C567" s="242" t="str">
        <f t="shared" si="26"/>
        <v>Nov-25</v>
      </c>
      <c r="D567" t="s">
        <v>999</v>
      </c>
      <c r="E567" s="370" t="s">
        <v>2542</v>
      </c>
      <c r="F567" s="65">
        <v>38600</v>
      </c>
      <c r="G567" s="10" t="s">
        <v>936</v>
      </c>
      <c r="H567" s="373">
        <v>0</v>
      </c>
      <c r="I567" s="369">
        <f t="shared" si="25"/>
        <v>38600</v>
      </c>
    </row>
    <row r="568" spans="2:9" x14ac:dyDescent="0.3">
      <c r="B568" s="43">
        <v>45964</v>
      </c>
      <c r="C568" s="242" t="str">
        <f t="shared" si="26"/>
        <v>Nov-25</v>
      </c>
      <c r="D568" t="s">
        <v>999</v>
      </c>
      <c r="E568" s="370" t="s">
        <v>2543</v>
      </c>
      <c r="F568" s="65">
        <v>92293</v>
      </c>
      <c r="G568" s="10" t="s">
        <v>936</v>
      </c>
      <c r="H568" s="373">
        <v>0</v>
      </c>
      <c r="I568" s="369">
        <f t="shared" si="25"/>
        <v>92293</v>
      </c>
    </row>
    <row r="569" spans="2:9" x14ac:dyDescent="0.3">
      <c r="B569" s="43">
        <v>45964</v>
      </c>
      <c r="C569" s="242" t="str">
        <f t="shared" si="26"/>
        <v>Nov-25</v>
      </c>
      <c r="D569" t="s">
        <v>999</v>
      </c>
      <c r="E569" s="370">
        <v>10027</v>
      </c>
      <c r="F569" s="65">
        <v>1292</v>
      </c>
      <c r="G569" s="10" t="s">
        <v>1121</v>
      </c>
      <c r="H569" s="373">
        <v>0</v>
      </c>
      <c r="I569" s="369">
        <f t="shared" si="25"/>
        <v>1292</v>
      </c>
    </row>
    <row r="570" spans="2:9" x14ac:dyDescent="0.3">
      <c r="B570" s="43">
        <v>45964</v>
      </c>
      <c r="C570" s="242" t="str">
        <f t="shared" si="26"/>
        <v>Nov-25</v>
      </c>
      <c r="D570" t="s">
        <v>998</v>
      </c>
      <c r="E570" s="370">
        <v>10043</v>
      </c>
      <c r="F570" s="65">
        <v>1504</v>
      </c>
      <c r="G570" s="10" t="s">
        <v>1121</v>
      </c>
      <c r="H570" s="373">
        <v>0</v>
      </c>
      <c r="I570" s="369">
        <f t="shared" si="25"/>
        <v>1504</v>
      </c>
    </row>
    <row r="571" spans="2:9" x14ac:dyDescent="0.3">
      <c r="B571" s="43">
        <v>45964</v>
      </c>
      <c r="C571" s="242" t="str">
        <f t="shared" si="26"/>
        <v>Nov-25</v>
      </c>
      <c r="D571" t="s">
        <v>999</v>
      </c>
      <c r="E571" s="370">
        <v>10038</v>
      </c>
      <c r="F571" s="65">
        <v>1219</v>
      </c>
      <c r="G571" s="10" t="s">
        <v>933</v>
      </c>
      <c r="H571" s="373">
        <v>0</v>
      </c>
      <c r="I571" s="369">
        <f t="shared" si="25"/>
        <v>1219</v>
      </c>
    </row>
    <row r="572" spans="2:9" x14ac:dyDescent="0.3">
      <c r="B572" s="43">
        <v>45964</v>
      </c>
      <c r="C572" s="242" t="str">
        <f t="shared" si="26"/>
        <v>Nov-25</v>
      </c>
      <c r="D572" t="s">
        <v>999</v>
      </c>
      <c r="E572" s="370">
        <v>10037</v>
      </c>
      <c r="F572" s="65">
        <v>2000</v>
      </c>
      <c r="G572" s="10" t="s">
        <v>931</v>
      </c>
      <c r="H572" s="373">
        <v>0</v>
      </c>
      <c r="I572" s="369">
        <f t="shared" si="25"/>
        <v>2000</v>
      </c>
    </row>
    <row r="573" spans="2:9" x14ac:dyDescent="0.3">
      <c r="B573" s="43">
        <v>45965</v>
      </c>
      <c r="C573" s="242" t="str">
        <f t="shared" si="26"/>
        <v>Nov-25</v>
      </c>
      <c r="D573" t="s">
        <v>1739</v>
      </c>
      <c r="E573" s="370">
        <v>10111</v>
      </c>
      <c r="F573" s="65">
        <v>715</v>
      </c>
      <c r="G573" s="10" t="s">
        <v>933</v>
      </c>
      <c r="H573" s="373">
        <v>0</v>
      </c>
      <c r="I573" s="369">
        <f t="shared" si="25"/>
        <v>715</v>
      </c>
    </row>
    <row r="574" spans="2:9" x14ac:dyDescent="0.3">
      <c r="B574" s="43">
        <v>45967</v>
      </c>
      <c r="C574" s="242" t="str">
        <f t="shared" si="26"/>
        <v>Nov-25</v>
      </c>
      <c r="D574" t="s">
        <v>1739</v>
      </c>
      <c r="E574" s="370">
        <v>10130</v>
      </c>
      <c r="F574" s="65">
        <v>3984</v>
      </c>
      <c r="G574" s="10" t="s">
        <v>1121</v>
      </c>
      <c r="H574" s="373">
        <v>0</v>
      </c>
      <c r="I574" s="369">
        <f t="shared" si="25"/>
        <v>3984</v>
      </c>
    </row>
    <row r="575" spans="2:9" x14ac:dyDescent="0.3">
      <c r="B575" s="43">
        <v>45969</v>
      </c>
      <c r="C575" s="242" t="str">
        <f t="shared" si="26"/>
        <v>Nov-25</v>
      </c>
      <c r="D575" t="s">
        <v>1003</v>
      </c>
      <c r="E575" s="370">
        <v>728</v>
      </c>
      <c r="F575" s="65">
        <v>4740</v>
      </c>
      <c r="G575" s="10" t="s">
        <v>937</v>
      </c>
      <c r="H575" s="373">
        <v>0</v>
      </c>
      <c r="I575" s="369">
        <f t="shared" si="25"/>
        <v>4740</v>
      </c>
    </row>
    <row r="576" spans="2:9" x14ac:dyDescent="0.3">
      <c r="B576" s="43">
        <v>45972</v>
      </c>
      <c r="C576" s="242" t="str">
        <f t="shared" si="26"/>
        <v>Nov-25</v>
      </c>
      <c r="D576" t="s">
        <v>1013</v>
      </c>
      <c r="E576" s="371">
        <v>45931</v>
      </c>
      <c r="F576" s="65">
        <v>220000</v>
      </c>
      <c r="G576" s="10" t="s">
        <v>1123</v>
      </c>
      <c r="H576" s="373">
        <v>0</v>
      </c>
      <c r="I576" s="369">
        <f t="shared" ref="I576:I632" si="27">F576</f>
        <v>220000</v>
      </c>
    </row>
    <row r="577" spans="2:9" x14ac:dyDescent="0.3">
      <c r="B577" s="43">
        <v>45973</v>
      </c>
      <c r="C577" s="242" t="str">
        <f t="shared" si="26"/>
        <v>Nov-25</v>
      </c>
      <c r="D577" t="s">
        <v>1737</v>
      </c>
      <c r="E577" s="370">
        <v>10240</v>
      </c>
      <c r="F577" s="65">
        <v>2096</v>
      </c>
      <c r="G577" s="10" t="s">
        <v>1121</v>
      </c>
      <c r="H577" s="373">
        <v>0</v>
      </c>
      <c r="I577" s="369">
        <f t="shared" si="27"/>
        <v>2096</v>
      </c>
    </row>
    <row r="578" spans="2:9" x14ac:dyDescent="0.3">
      <c r="B578" s="43">
        <v>45980</v>
      </c>
      <c r="C578" s="242" t="str">
        <f t="shared" si="26"/>
        <v>Nov-25</v>
      </c>
      <c r="D578" t="s">
        <v>1000</v>
      </c>
      <c r="E578" s="370">
        <v>3095730607</v>
      </c>
      <c r="F578" s="65">
        <v>86470</v>
      </c>
      <c r="G578" s="10" t="s">
        <v>941</v>
      </c>
      <c r="H578" s="373">
        <v>0</v>
      </c>
      <c r="I578" s="369">
        <f t="shared" si="27"/>
        <v>86470</v>
      </c>
    </row>
    <row r="579" spans="2:9" x14ac:dyDescent="0.3">
      <c r="B579" s="43">
        <v>45980</v>
      </c>
      <c r="C579" s="242" t="str">
        <f t="shared" si="26"/>
        <v>Nov-25</v>
      </c>
      <c r="D579" t="s">
        <v>1739</v>
      </c>
      <c r="E579" s="370">
        <v>10152</v>
      </c>
      <c r="F579" s="65">
        <v>832</v>
      </c>
      <c r="G579" s="10" t="s">
        <v>933</v>
      </c>
      <c r="H579" s="373">
        <v>0</v>
      </c>
      <c r="I579" s="369">
        <f t="shared" si="27"/>
        <v>832</v>
      </c>
    </row>
    <row r="580" spans="2:9" x14ac:dyDescent="0.3">
      <c r="B580" s="43">
        <v>45985</v>
      </c>
      <c r="C580" s="242" t="str">
        <f t="shared" si="26"/>
        <v>Nov-25</v>
      </c>
      <c r="D580" t="s">
        <v>998</v>
      </c>
      <c r="E580" s="370">
        <v>10408</v>
      </c>
      <c r="F580" s="65">
        <v>432</v>
      </c>
      <c r="G580" s="10" t="s">
        <v>1121</v>
      </c>
      <c r="H580" s="373">
        <v>0</v>
      </c>
      <c r="I580" s="369">
        <f t="shared" si="27"/>
        <v>432</v>
      </c>
    </row>
    <row r="581" spans="2:9" x14ac:dyDescent="0.3">
      <c r="B581" s="43">
        <v>45985</v>
      </c>
      <c r="C581" s="242" t="str">
        <f t="shared" ref="C581:C644" si="28">TEXT(B581,"mmm-yy")</f>
        <v>Nov-25</v>
      </c>
      <c r="D581" t="s">
        <v>1737</v>
      </c>
      <c r="E581" s="370">
        <v>10372</v>
      </c>
      <c r="F581" s="65">
        <v>1736</v>
      </c>
      <c r="G581" s="10" t="s">
        <v>1121</v>
      </c>
      <c r="H581" s="373">
        <v>0</v>
      </c>
      <c r="I581" s="369">
        <f t="shared" si="27"/>
        <v>1736</v>
      </c>
    </row>
    <row r="582" spans="2:9" x14ac:dyDescent="0.3">
      <c r="B582" s="43">
        <v>45991</v>
      </c>
      <c r="C582" s="242" t="str">
        <f t="shared" si="28"/>
        <v>Nov-25</v>
      </c>
      <c r="D582" s="365" t="s">
        <v>1364</v>
      </c>
      <c r="E582" s="374">
        <v>45962</v>
      </c>
      <c r="F582" s="65">
        <v>46863.242983561642</v>
      </c>
      <c r="G582" s="11" t="s">
        <v>2179</v>
      </c>
      <c r="H582" s="368">
        <v>0</v>
      </c>
      <c r="I582" s="369">
        <f t="shared" si="27"/>
        <v>46863.242983561642</v>
      </c>
    </row>
    <row r="583" spans="2:9" x14ac:dyDescent="0.3">
      <c r="B583" s="43">
        <v>45991</v>
      </c>
      <c r="C583" s="242" t="str">
        <f t="shared" si="28"/>
        <v>Nov-25</v>
      </c>
      <c r="D583" t="s">
        <v>1006</v>
      </c>
      <c r="E583" s="371">
        <v>45962</v>
      </c>
      <c r="F583" s="65">
        <v>5054.82</v>
      </c>
      <c r="G583" s="10" t="s">
        <v>1361</v>
      </c>
      <c r="H583" s="373">
        <v>0</v>
      </c>
      <c r="I583" s="369">
        <f t="shared" si="27"/>
        <v>5054.82</v>
      </c>
    </row>
    <row r="584" spans="2:9" x14ac:dyDescent="0.3">
      <c r="B584" s="43">
        <v>45991</v>
      </c>
      <c r="C584" s="242" t="str">
        <f t="shared" si="28"/>
        <v>Nov-25</v>
      </c>
      <c r="D584" t="s">
        <v>2527</v>
      </c>
      <c r="E584" s="370" t="s">
        <v>932</v>
      </c>
      <c r="F584" s="65">
        <v>29377.200000000001</v>
      </c>
      <c r="G584" s="10" t="s">
        <v>932</v>
      </c>
      <c r="H584" s="373">
        <v>0</v>
      </c>
      <c r="I584" s="369">
        <f t="shared" si="27"/>
        <v>29377.200000000001</v>
      </c>
    </row>
    <row r="585" spans="2:9" x14ac:dyDescent="0.3">
      <c r="B585" s="43">
        <v>45991</v>
      </c>
      <c r="C585" s="242" t="str">
        <f t="shared" si="28"/>
        <v>Nov-25</v>
      </c>
      <c r="D585" t="s">
        <v>1014</v>
      </c>
      <c r="E585" s="370" t="s">
        <v>2544</v>
      </c>
      <c r="F585" s="65">
        <v>35000</v>
      </c>
      <c r="G585" s="10" t="s">
        <v>1123</v>
      </c>
      <c r="H585" s="373">
        <v>0</v>
      </c>
      <c r="I585" s="369">
        <f t="shared" si="27"/>
        <v>35000</v>
      </c>
    </row>
    <row r="586" spans="2:9" x14ac:dyDescent="0.3">
      <c r="B586" s="43">
        <v>45991</v>
      </c>
      <c r="C586" s="242" t="str">
        <f t="shared" si="28"/>
        <v>Nov-25</v>
      </c>
      <c r="D586" t="s">
        <v>2177</v>
      </c>
      <c r="E586" s="370" t="s">
        <v>2544</v>
      </c>
      <c r="F586" s="65">
        <v>80000</v>
      </c>
      <c r="G586" s="10" t="s">
        <v>1123</v>
      </c>
      <c r="H586" s="373">
        <v>0</v>
      </c>
      <c r="I586" s="369">
        <f t="shared" si="27"/>
        <v>80000</v>
      </c>
    </row>
    <row r="587" spans="2:9" x14ac:dyDescent="0.3">
      <c r="B587" s="43">
        <v>45991</v>
      </c>
      <c r="C587" s="242" t="str">
        <f t="shared" si="28"/>
        <v>Nov-25</v>
      </c>
      <c r="D587" t="s">
        <v>999</v>
      </c>
      <c r="E587" s="370"/>
      <c r="F587" s="65">
        <v>6622</v>
      </c>
      <c r="G587" s="10" t="s">
        <v>929</v>
      </c>
      <c r="H587" s="373">
        <v>0</v>
      </c>
      <c r="I587" s="369">
        <f t="shared" si="27"/>
        <v>6622</v>
      </c>
    </row>
    <row r="588" spans="2:9" x14ac:dyDescent="0.3">
      <c r="B588" s="43">
        <v>45991</v>
      </c>
      <c r="C588" s="242" t="str">
        <f t="shared" si="28"/>
        <v>Nov-25</v>
      </c>
      <c r="D588" t="s">
        <v>999</v>
      </c>
      <c r="E588" s="370"/>
      <c r="F588" s="65">
        <v>19600</v>
      </c>
      <c r="G588" s="10" t="s">
        <v>1766</v>
      </c>
      <c r="H588" s="373">
        <v>0</v>
      </c>
      <c r="I588" s="369">
        <f t="shared" si="27"/>
        <v>19600</v>
      </c>
    </row>
    <row r="589" spans="2:9" x14ac:dyDescent="0.3">
      <c r="B589" s="43">
        <v>45991</v>
      </c>
      <c r="C589" s="242" t="str">
        <f t="shared" si="28"/>
        <v>Nov-25</v>
      </c>
      <c r="D589" t="s">
        <v>998</v>
      </c>
      <c r="E589" s="370">
        <v>10384</v>
      </c>
      <c r="F589" s="65">
        <v>4100</v>
      </c>
      <c r="G589" s="10" t="s">
        <v>931</v>
      </c>
      <c r="H589" s="373">
        <v>0</v>
      </c>
      <c r="I589" s="369">
        <f t="shared" si="27"/>
        <v>4100</v>
      </c>
    </row>
    <row r="590" spans="2:9" x14ac:dyDescent="0.3">
      <c r="B590" s="43">
        <v>45991</v>
      </c>
      <c r="C590" s="242" t="str">
        <f t="shared" si="28"/>
        <v>Nov-25</v>
      </c>
      <c r="D590" t="s">
        <v>1740</v>
      </c>
      <c r="E590" s="370"/>
      <c r="F590" s="65">
        <v>17679.84</v>
      </c>
      <c r="G590" s="10" t="s">
        <v>932</v>
      </c>
      <c r="H590" s="373">
        <v>0</v>
      </c>
      <c r="I590" s="369">
        <f t="shared" si="27"/>
        <v>17679.84</v>
      </c>
    </row>
    <row r="591" spans="2:9" x14ac:dyDescent="0.3">
      <c r="B591" s="43">
        <v>45991</v>
      </c>
      <c r="C591" s="242" t="str">
        <f t="shared" si="28"/>
        <v>Nov-25</v>
      </c>
      <c r="D591" t="s">
        <v>1739</v>
      </c>
      <c r="E591" s="370"/>
      <c r="F591" s="65">
        <v>6968</v>
      </c>
      <c r="G591" s="10" t="s">
        <v>929</v>
      </c>
      <c r="H591" s="373">
        <v>0</v>
      </c>
      <c r="I591" s="369">
        <f t="shared" si="27"/>
        <v>6968</v>
      </c>
    </row>
    <row r="592" spans="2:9" x14ac:dyDescent="0.3">
      <c r="B592" s="43">
        <v>45991</v>
      </c>
      <c r="C592" s="242" t="str">
        <f t="shared" si="28"/>
        <v>Nov-25</v>
      </c>
      <c r="D592" t="s">
        <v>998</v>
      </c>
      <c r="E592" s="370">
        <v>10392</v>
      </c>
      <c r="F592" s="65">
        <v>1815</v>
      </c>
      <c r="G592" s="10" t="s">
        <v>933</v>
      </c>
      <c r="H592" s="373">
        <v>0</v>
      </c>
      <c r="I592" s="369">
        <f t="shared" si="27"/>
        <v>1815</v>
      </c>
    </row>
    <row r="593" spans="2:9" x14ac:dyDescent="0.3">
      <c r="B593" s="43">
        <v>45991</v>
      </c>
      <c r="C593" s="242" t="str">
        <f t="shared" si="28"/>
        <v>Nov-25</v>
      </c>
      <c r="D593" t="s">
        <v>999</v>
      </c>
      <c r="E593" s="370" t="s">
        <v>2545</v>
      </c>
      <c r="F593" s="65">
        <v>2500</v>
      </c>
      <c r="G593" s="10" t="s">
        <v>936</v>
      </c>
      <c r="H593" s="373">
        <v>0</v>
      </c>
      <c r="I593" s="369">
        <f t="shared" si="27"/>
        <v>2500</v>
      </c>
    </row>
    <row r="594" spans="2:9" x14ac:dyDescent="0.3">
      <c r="B594" s="43">
        <v>45991</v>
      </c>
      <c r="C594" s="242" t="str">
        <f t="shared" si="28"/>
        <v>Nov-25</v>
      </c>
      <c r="D594" t="s">
        <v>999</v>
      </c>
      <c r="E594" s="370" t="s">
        <v>2545</v>
      </c>
      <c r="F594" s="65">
        <v>5500</v>
      </c>
      <c r="G594" s="10" t="s">
        <v>936</v>
      </c>
      <c r="H594" s="373">
        <v>0</v>
      </c>
      <c r="I594" s="369">
        <f t="shared" si="27"/>
        <v>5500</v>
      </c>
    </row>
    <row r="595" spans="2:9" x14ac:dyDescent="0.3">
      <c r="B595" s="43">
        <v>45991</v>
      </c>
      <c r="C595" s="242" t="str">
        <f t="shared" si="28"/>
        <v>Nov-25</v>
      </c>
      <c r="D595" t="s">
        <v>999</v>
      </c>
      <c r="E595" s="370" t="s">
        <v>2545</v>
      </c>
      <c r="F595" s="65">
        <v>3496</v>
      </c>
      <c r="G595" s="10" t="s">
        <v>936</v>
      </c>
      <c r="H595" s="373">
        <v>0</v>
      </c>
      <c r="I595" s="369">
        <f t="shared" si="27"/>
        <v>3496</v>
      </c>
    </row>
    <row r="596" spans="2:9" x14ac:dyDescent="0.3">
      <c r="B596" s="43">
        <v>45991</v>
      </c>
      <c r="C596" s="242" t="str">
        <f t="shared" si="28"/>
        <v>Nov-25</v>
      </c>
      <c r="D596" t="s">
        <v>1739</v>
      </c>
      <c r="E596" s="370"/>
      <c r="F596" s="65">
        <v>15508</v>
      </c>
      <c r="G596" s="10" t="s">
        <v>932</v>
      </c>
      <c r="H596" s="373">
        <v>0</v>
      </c>
      <c r="I596" s="369">
        <f t="shared" si="27"/>
        <v>15508</v>
      </c>
    </row>
    <row r="597" spans="2:9" x14ac:dyDescent="0.3">
      <c r="B597" s="43">
        <v>45996</v>
      </c>
      <c r="C597" s="242" t="str">
        <f t="shared" si="28"/>
        <v>Dec-25</v>
      </c>
      <c r="D597" t="s">
        <v>1013</v>
      </c>
      <c r="E597" s="371">
        <v>45962</v>
      </c>
      <c r="F597" s="65">
        <v>220000</v>
      </c>
      <c r="G597" s="10" t="s">
        <v>1123</v>
      </c>
      <c r="H597" s="373">
        <v>0</v>
      </c>
      <c r="I597" s="369">
        <f t="shared" si="27"/>
        <v>220000</v>
      </c>
    </row>
    <row r="598" spans="2:9" x14ac:dyDescent="0.3">
      <c r="B598" s="43">
        <v>45996</v>
      </c>
      <c r="C598" s="242" t="str">
        <f t="shared" si="28"/>
        <v>Dec-25</v>
      </c>
      <c r="D598" t="s">
        <v>1739</v>
      </c>
      <c r="E598" s="370">
        <v>10630</v>
      </c>
      <c r="F598" s="65">
        <v>1080</v>
      </c>
      <c r="G598" s="10" t="s">
        <v>933</v>
      </c>
      <c r="H598" s="373">
        <v>0</v>
      </c>
      <c r="I598" s="369">
        <f t="shared" si="27"/>
        <v>1080</v>
      </c>
    </row>
    <row r="599" spans="2:9" x14ac:dyDescent="0.3">
      <c r="B599" s="43">
        <v>45999</v>
      </c>
      <c r="C599" s="242" t="str">
        <f t="shared" si="28"/>
        <v>Dec-25</v>
      </c>
      <c r="D599" t="s">
        <v>1003</v>
      </c>
      <c r="E599" s="370">
        <v>758</v>
      </c>
      <c r="F599" s="65">
        <v>2040</v>
      </c>
      <c r="G599" s="10" t="s">
        <v>937</v>
      </c>
      <c r="H599" s="373">
        <v>0</v>
      </c>
      <c r="I599" s="369">
        <f t="shared" si="27"/>
        <v>2040</v>
      </c>
    </row>
    <row r="600" spans="2:9" x14ac:dyDescent="0.3">
      <c r="B600" s="43">
        <v>46000</v>
      </c>
      <c r="C600" s="242" t="str">
        <f t="shared" si="28"/>
        <v>Dec-25</v>
      </c>
      <c r="D600" t="s">
        <v>1738</v>
      </c>
      <c r="E600" s="370" t="s">
        <v>2546</v>
      </c>
      <c r="F600" s="65">
        <v>1200</v>
      </c>
      <c r="G600" s="10" t="s">
        <v>935</v>
      </c>
      <c r="H600" s="373">
        <v>0</v>
      </c>
      <c r="I600" s="369">
        <f t="shared" si="27"/>
        <v>1200</v>
      </c>
    </row>
    <row r="601" spans="2:9" x14ac:dyDescent="0.3">
      <c r="B601" s="43">
        <v>46006</v>
      </c>
      <c r="C601" s="242" t="str">
        <f t="shared" si="28"/>
        <v>Dec-25</v>
      </c>
      <c r="D601" t="s">
        <v>1738</v>
      </c>
      <c r="E601" s="370" t="s">
        <v>1069</v>
      </c>
      <c r="F601" s="65">
        <v>12364</v>
      </c>
      <c r="G601" s="10" t="s">
        <v>936</v>
      </c>
      <c r="H601" s="373">
        <v>0</v>
      </c>
      <c r="I601" s="369">
        <f t="shared" si="27"/>
        <v>12364</v>
      </c>
    </row>
    <row r="602" spans="2:9" x14ac:dyDescent="0.3">
      <c r="B602" s="43">
        <v>46008</v>
      </c>
      <c r="C602" s="242" t="str">
        <f t="shared" si="28"/>
        <v>Dec-25</v>
      </c>
      <c r="D602" t="s">
        <v>1737</v>
      </c>
      <c r="E602" s="370">
        <v>10730</v>
      </c>
      <c r="F602" s="65">
        <v>2472</v>
      </c>
      <c r="G602" s="10" t="s">
        <v>1121</v>
      </c>
      <c r="H602" s="373">
        <v>0</v>
      </c>
      <c r="I602" s="369">
        <f t="shared" si="27"/>
        <v>2472</v>
      </c>
    </row>
    <row r="603" spans="2:9" x14ac:dyDescent="0.3">
      <c r="B603" s="43">
        <v>46008</v>
      </c>
      <c r="C603" s="242" t="str">
        <f t="shared" si="28"/>
        <v>Dec-25</v>
      </c>
      <c r="D603" t="s">
        <v>1739</v>
      </c>
      <c r="E603" s="370">
        <v>10772</v>
      </c>
      <c r="F603" s="65">
        <v>740</v>
      </c>
      <c r="G603" s="10" t="s">
        <v>933</v>
      </c>
      <c r="H603" s="373">
        <v>0</v>
      </c>
      <c r="I603" s="369">
        <f t="shared" si="27"/>
        <v>740</v>
      </c>
    </row>
    <row r="604" spans="2:9" x14ac:dyDescent="0.3">
      <c r="B604" s="43">
        <v>46008</v>
      </c>
      <c r="C604" s="242" t="str">
        <f t="shared" si="28"/>
        <v>Dec-25</v>
      </c>
      <c r="D604" t="s">
        <v>1738</v>
      </c>
      <c r="E604" s="370" t="s">
        <v>2547</v>
      </c>
      <c r="F604" s="65">
        <v>3300</v>
      </c>
      <c r="G604" s="10" t="s">
        <v>936</v>
      </c>
      <c r="H604" s="373">
        <v>0</v>
      </c>
      <c r="I604" s="369">
        <f t="shared" si="27"/>
        <v>3300</v>
      </c>
    </row>
    <row r="605" spans="2:9" x14ac:dyDescent="0.3">
      <c r="B605" s="43">
        <v>46009</v>
      </c>
      <c r="C605" s="242" t="str">
        <f t="shared" si="28"/>
        <v>Dec-25</v>
      </c>
      <c r="D605" t="s">
        <v>1000</v>
      </c>
      <c r="E605" s="370">
        <v>3134146597</v>
      </c>
      <c r="F605" s="65">
        <v>40680</v>
      </c>
      <c r="G605" s="10" t="s">
        <v>941</v>
      </c>
      <c r="H605" s="373">
        <v>0</v>
      </c>
      <c r="I605" s="369">
        <f t="shared" si="27"/>
        <v>40680</v>
      </c>
    </row>
    <row r="606" spans="2:9" x14ac:dyDescent="0.3">
      <c r="B606" s="43">
        <v>46020</v>
      </c>
      <c r="C606" s="242" t="str">
        <f t="shared" si="28"/>
        <v>Dec-25</v>
      </c>
      <c r="D606" t="s">
        <v>1740</v>
      </c>
      <c r="E606" s="370"/>
      <c r="F606" s="65">
        <v>2083</v>
      </c>
      <c r="G606" s="10" t="s">
        <v>929</v>
      </c>
      <c r="H606" s="373">
        <v>0</v>
      </c>
      <c r="I606" s="369">
        <f t="shared" si="27"/>
        <v>2083</v>
      </c>
    </row>
    <row r="607" spans="2:9" x14ac:dyDescent="0.3">
      <c r="B607" s="43">
        <v>46022</v>
      </c>
      <c r="C607" s="242" t="str">
        <f t="shared" si="28"/>
        <v>Dec-25</v>
      </c>
      <c r="D607" s="365" t="s">
        <v>1364</v>
      </c>
      <c r="E607" s="374">
        <v>45992</v>
      </c>
      <c r="F607" s="65">
        <v>48425.351083013702</v>
      </c>
      <c r="G607" s="11" t="s">
        <v>2179</v>
      </c>
      <c r="H607" s="368">
        <v>0</v>
      </c>
      <c r="I607" s="369">
        <f t="shared" si="27"/>
        <v>48425.351083013702</v>
      </c>
    </row>
    <row r="608" spans="2:9" x14ac:dyDescent="0.3">
      <c r="B608" s="43">
        <v>46022</v>
      </c>
      <c r="C608" s="242" t="str">
        <f t="shared" si="28"/>
        <v>Dec-25</v>
      </c>
      <c r="D608" t="s">
        <v>1000</v>
      </c>
      <c r="E608" s="371">
        <v>45992</v>
      </c>
      <c r="F608" s="65">
        <v>30000</v>
      </c>
      <c r="G608" s="10" t="s">
        <v>941</v>
      </c>
      <c r="H608" s="373">
        <v>0</v>
      </c>
      <c r="I608" s="369">
        <f t="shared" si="27"/>
        <v>30000</v>
      </c>
    </row>
    <row r="609" spans="2:9" x14ac:dyDescent="0.3">
      <c r="B609" s="43">
        <v>46022</v>
      </c>
      <c r="C609" s="242" t="str">
        <f t="shared" si="28"/>
        <v>Dec-25</v>
      </c>
      <c r="D609" t="s">
        <v>998</v>
      </c>
      <c r="E609" s="371"/>
      <c r="F609" s="65">
        <v>5985</v>
      </c>
      <c r="G609" s="10" t="s">
        <v>932</v>
      </c>
      <c r="H609" s="373">
        <v>0</v>
      </c>
      <c r="I609" s="369">
        <f t="shared" si="27"/>
        <v>5985</v>
      </c>
    </row>
    <row r="610" spans="2:9" x14ac:dyDescent="0.3">
      <c r="B610" s="43">
        <v>46022</v>
      </c>
      <c r="C610" s="242" t="str">
        <f t="shared" si="28"/>
        <v>Dec-25</v>
      </c>
      <c r="D610" t="s">
        <v>1006</v>
      </c>
      <c r="E610" s="371">
        <v>45992</v>
      </c>
      <c r="F610" s="65">
        <v>5223.3139999999994</v>
      </c>
      <c r="G610" s="10" t="s">
        <v>1361</v>
      </c>
      <c r="H610" s="373">
        <v>0</v>
      </c>
      <c r="I610" s="369">
        <f t="shared" si="27"/>
        <v>5223.3139999999994</v>
      </c>
    </row>
    <row r="611" spans="2:9" x14ac:dyDescent="0.3">
      <c r="B611" s="43">
        <v>46022</v>
      </c>
      <c r="C611" s="242" t="str">
        <f t="shared" si="28"/>
        <v>Dec-25</v>
      </c>
      <c r="D611" t="s">
        <v>1014</v>
      </c>
      <c r="E611" s="370" t="s">
        <v>2548</v>
      </c>
      <c r="F611" s="65">
        <v>35000</v>
      </c>
      <c r="G611" s="10" t="s">
        <v>1123</v>
      </c>
      <c r="H611" s="373">
        <v>0</v>
      </c>
      <c r="I611" s="369">
        <f t="shared" si="27"/>
        <v>35000</v>
      </c>
    </row>
    <row r="612" spans="2:9" x14ac:dyDescent="0.3">
      <c r="B612" s="43">
        <v>46022</v>
      </c>
      <c r="C612" s="242" t="str">
        <f t="shared" si="28"/>
        <v>Dec-25</v>
      </c>
      <c r="D612" t="s">
        <v>1740</v>
      </c>
      <c r="E612" s="370"/>
      <c r="F612" s="65">
        <v>2049.3000000000002</v>
      </c>
      <c r="G612" s="10" t="s">
        <v>932</v>
      </c>
      <c r="H612" s="373">
        <v>0</v>
      </c>
      <c r="I612" s="369">
        <f t="shared" si="27"/>
        <v>2049.3000000000002</v>
      </c>
    </row>
    <row r="613" spans="2:9" x14ac:dyDescent="0.3">
      <c r="B613" s="43">
        <v>46022</v>
      </c>
      <c r="C613" s="242" t="str">
        <f t="shared" si="28"/>
        <v>Dec-25</v>
      </c>
      <c r="D613" t="s">
        <v>1739</v>
      </c>
      <c r="E613" s="370"/>
      <c r="F613" s="65">
        <v>5797</v>
      </c>
      <c r="G613" s="10" t="s">
        <v>929</v>
      </c>
      <c r="H613" s="373">
        <v>0</v>
      </c>
      <c r="I613" s="369">
        <f t="shared" si="27"/>
        <v>5797</v>
      </c>
    </row>
    <row r="614" spans="2:9" x14ac:dyDescent="0.3">
      <c r="B614" s="43">
        <v>46022</v>
      </c>
      <c r="C614" s="242" t="str">
        <f t="shared" si="28"/>
        <v>Dec-25</v>
      </c>
      <c r="D614" t="s">
        <v>1530</v>
      </c>
      <c r="E614" s="370"/>
      <c r="F614" s="65">
        <v>11356.620000000003</v>
      </c>
      <c r="G614" s="10" t="s">
        <v>932</v>
      </c>
      <c r="H614" s="373">
        <v>0</v>
      </c>
      <c r="I614" s="369">
        <f t="shared" si="27"/>
        <v>11356.620000000003</v>
      </c>
    </row>
    <row r="615" spans="2:9" x14ac:dyDescent="0.3">
      <c r="B615" s="43">
        <v>46022</v>
      </c>
      <c r="C615" s="242" t="str">
        <f t="shared" si="28"/>
        <v>Dec-25</v>
      </c>
      <c r="D615" t="s">
        <v>1530</v>
      </c>
      <c r="E615" s="370"/>
      <c r="F615" s="65">
        <v>11804.85</v>
      </c>
      <c r="G615" s="10" t="s">
        <v>931</v>
      </c>
      <c r="H615" s="373">
        <v>0</v>
      </c>
      <c r="I615" s="369">
        <f t="shared" si="27"/>
        <v>11804.85</v>
      </c>
    </row>
    <row r="616" spans="2:9" x14ac:dyDescent="0.3">
      <c r="B616" s="43">
        <v>46022</v>
      </c>
      <c r="C616" s="242" t="str">
        <f t="shared" si="28"/>
        <v>Dec-25</v>
      </c>
      <c r="D616" t="s">
        <v>1739</v>
      </c>
      <c r="E616" s="370"/>
      <c r="F616" s="65">
        <v>2767.4</v>
      </c>
      <c r="G616" s="10" t="s">
        <v>931</v>
      </c>
      <c r="H616" s="373">
        <v>0</v>
      </c>
      <c r="I616" s="369">
        <f t="shared" si="27"/>
        <v>2767.4</v>
      </c>
    </row>
    <row r="617" spans="2:9" x14ac:dyDescent="0.3">
      <c r="B617" s="43">
        <v>46022</v>
      </c>
      <c r="C617" s="242" t="str">
        <f t="shared" si="28"/>
        <v>Dec-25</v>
      </c>
      <c r="D617" t="s">
        <v>1739</v>
      </c>
      <c r="E617" s="370">
        <v>11064</v>
      </c>
      <c r="F617" s="65">
        <v>726</v>
      </c>
      <c r="G617" s="10" t="s">
        <v>933</v>
      </c>
      <c r="H617" s="373">
        <v>0</v>
      </c>
      <c r="I617" s="369">
        <f t="shared" si="27"/>
        <v>726</v>
      </c>
    </row>
    <row r="618" spans="2:9" x14ac:dyDescent="0.3">
      <c r="B618" s="43">
        <v>46022</v>
      </c>
      <c r="C618" s="242" t="str">
        <f t="shared" si="28"/>
        <v>Dec-25</v>
      </c>
      <c r="D618" t="s">
        <v>1739</v>
      </c>
      <c r="E618" s="370"/>
      <c r="F618" s="65">
        <v>38452.39</v>
      </c>
      <c r="G618" s="10" t="s">
        <v>932</v>
      </c>
      <c r="H618" s="373">
        <v>0</v>
      </c>
      <c r="I618" s="369">
        <f t="shared" si="27"/>
        <v>38452.39</v>
      </c>
    </row>
    <row r="619" spans="2:9" x14ac:dyDescent="0.3">
      <c r="B619" s="43">
        <v>46022</v>
      </c>
      <c r="C619" s="242" t="str">
        <f t="shared" si="28"/>
        <v>Dec-25</v>
      </c>
      <c r="D619" t="s">
        <v>1738</v>
      </c>
      <c r="E619" s="370" t="s">
        <v>2549</v>
      </c>
      <c r="F619" s="65">
        <v>8742</v>
      </c>
      <c r="G619" s="10" t="s">
        <v>936</v>
      </c>
      <c r="H619" s="373">
        <v>0</v>
      </c>
      <c r="I619" s="369">
        <f t="shared" si="27"/>
        <v>8742</v>
      </c>
    </row>
    <row r="620" spans="2:9" x14ac:dyDescent="0.3">
      <c r="B620" s="43">
        <v>46024</v>
      </c>
      <c r="C620" s="242" t="str">
        <f t="shared" si="28"/>
        <v>Jan-26</v>
      </c>
      <c r="D620" t="s">
        <v>1013</v>
      </c>
      <c r="E620" s="371">
        <v>45992</v>
      </c>
      <c r="F620" s="65">
        <v>220000</v>
      </c>
      <c r="G620" s="10" t="s">
        <v>1123</v>
      </c>
      <c r="H620" s="373">
        <v>0</v>
      </c>
      <c r="I620" s="369">
        <f t="shared" si="27"/>
        <v>220000</v>
      </c>
    </row>
    <row r="621" spans="2:9" x14ac:dyDescent="0.3">
      <c r="B621" s="43">
        <v>46043</v>
      </c>
      <c r="C621" s="242" t="str">
        <f t="shared" si="28"/>
        <v>Jan-26</v>
      </c>
      <c r="D621" t="s">
        <v>1740</v>
      </c>
      <c r="E621" s="370">
        <v>11574</v>
      </c>
      <c r="F621" s="65">
        <v>4160</v>
      </c>
      <c r="G621" s="10" t="s">
        <v>1121</v>
      </c>
      <c r="H621" s="373">
        <v>0</v>
      </c>
      <c r="I621" s="369">
        <f>F621</f>
        <v>4160</v>
      </c>
    </row>
    <row r="622" spans="2:9" x14ac:dyDescent="0.3">
      <c r="B622" s="43">
        <v>46043</v>
      </c>
      <c r="C622" s="242" t="str">
        <f t="shared" si="28"/>
        <v>Jan-26</v>
      </c>
      <c r="D622" t="s">
        <v>1740</v>
      </c>
      <c r="E622" s="370">
        <v>11576</v>
      </c>
      <c r="F622" s="65">
        <v>640</v>
      </c>
      <c r="G622" s="10" t="s">
        <v>933</v>
      </c>
      <c r="H622" s="373">
        <v>0</v>
      </c>
      <c r="I622" s="369">
        <f t="shared" si="27"/>
        <v>640</v>
      </c>
    </row>
    <row r="623" spans="2:9" x14ac:dyDescent="0.3">
      <c r="B623" s="43">
        <v>46041</v>
      </c>
      <c r="C623" s="242" t="str">
        <f t="shared" si="28"/>
        <v>Jan-26</v>
      </c>
      <c r="D623" t="s">
        <v>1740</v>
      </c>
      <c r="E623" s="370">
        <v>11577</v>
      </c>
      <c r="F623" s="65">
        <v>1120</v>
      </c>
      <c r="G623" s="10" t="s">
        <v>1121</v>
      </c>
      <c r="H623" s="373">
        <v>0</v>
      </c>
      <c r="I623" s="369">
        <f t="shared" si="27"/>
        <v>1120</v>
      </c>
    </row>
    <row r="624" spans="2:9" x14ac:dyDescent="0.3">
      <c r="B624" s="43">
        <v>46042</v>
      </c>
      <c r="C624" s="242" t="str">
        <f t="shared" si="28"/>
        <v>Jan-26</v>
      </c>
      <c r="D624" t="s">
        <v>1740</v>
      </c>
      <c r="E624" s="370">
        <v>11578</v>
      </c>
      <c r="F624" s="65">
        <v>220</v>
      </c>
      <c r="G624" s="10" t="s">
        <v>933</v>
      </c>
      <c r="H624" s="373">
        <v>0</v>
      </c>
      <c r="I624" s="369">
        <f t="shared" si="27"/>
        <v>220</v>
      </c>
    </row>
    <row r="625" spans="2:9" x14ac:dyDescent="0.3">
      <c r="B625" s="43">
        <v>46029</v>
      </c>
      <c r="C625" s="242" t="str">
        <f t="shared" si="28"/>
        <v>Jan-26</v>
      </c>
      <c r="D625" t="s">
        <v>999</v>
      </c>
      <c r="E625" s="370">
        <v>11163</v>
      </c>
      <c r="F625" s="65">
        <v>2509</v>
      </c>
      <c r="G625" s="10" t="s">
        <v>929</v>
      </c>
      <c r="H625" s="373">
        <v>0</v>
      </c>
      <c r="I625" s="369">
        <f t="shared" si="27"/>
        <v>2509</v>
      </c>
    </row>
    <row r="626" spans="2:9" x14ac:dyDescent="0.3">
      <c r="B626" s="43">
        <v>46027</v>
      </c>
      <c r="C626" s="242" t="str">
        <f t="shared" si="28"/>
        <v>Jan-26</v>
      </c>
      <c r="D626" t="s">
        <v>999</v>
      </c>
      <c r="E626" s="370">
        <v>11197</v>
      </c>
      <c r="F626" s="65">
        <v>195</v>
      </c>
      <c r="G626" s="10" t="s">
        <v>933</v>
      </c>
      <c r="H626" s="373"/>
      <c r="I626" s="369">
        <f t="shared" si="27"/>
        <v>195</v>
      </c>
    </row>
    <row r="627" spans="2:9" x14ac:dyDescent="0.3">
      <c r="B627" s="43">
        <v>46035</v>
      </c>
      <c r="C627" s="242" t="str">
        <f t="shared" si="28"/>
        <v>Jan-26</v>
      </c>
      <c r="D627" t="s">
        <v>999</v>
      </c>
      <c r="E627" s="370">
        <v>11267</v>
      </c>
      <c r="F627" s="65">
        <v>96</v>
      </c>
      <c r="G627" s="10" t="s">
        <v>929</v>
      </c>
      <c r="H627" s="373"/>
      <c r="I627" s="369">
        <f t="shared" si="27"/>
        <v>96</v>
      </c>
    </row>
    <row r="628" spans="2:9" x14ac:dyDescent="0.3">
      <c r="B628" s="43">
        <v>46053</v>
      </c>
      <c r="C628" s="242" t="str">
        <f t="shared" si="28"/>
        <v>Jan-26</v>
      </c>
      <c r="D628" t="s">
        <v>999</v>
      </c>
      <c r="E628" s="370" t="s">
        <v>2526</v>
      </c>
      <c r="F628" s="65">
        <v>20199</v>
      </c>
      <c r="G628" s="10" t="s">
        <v>932</v>
      </c>
      <c r="H628" s="373"/>
      <c r="I628" s="369">
        <f t="shared" si="27"/>
        <v>20199</v>
      </c>
    </row>
    <row r="629" spans="2:9" x14ac:dyDescent="0.3">
      <c r="B629" s="43">
        <v>46053</v>
      </c>
      <c r="C629" s="242" t="str">
        <f t="shared" si="28"/>
        <v>Jan-26</v>
      </c>
      <c r="D629" t="s">
        <v>2809</v>
      </c>
      <c r="E629" s="370" t="s">
        <v>2810</v>
      </c>
      <c r="F629" s="65">
        <v>250000</v>
      </c>
      <c r="G629" s="10" t="s">
        <v>1122</v>
      </c>
      <c r="H629" s="373"/>
      <c r="I629" s="369">
        <f t="shared" si="27"/>
        <v>250000</v>
      </c>
    </row>
    <row r="630" spans="2:9" x14ac:dyDescent="0.3">
      <c r="B630" s="43">
        <v>45992</v>
      </c>
      <c r="C630" s="242" t="str">
        <f t="shared" si="28"/>
        <v>Dec-25</v>
      </c>
      <c r="D630" t="s">
        <v>1003</v>
      </c>
      <c r="E630" s="370">
        <v>813</v>
      </c>
      <c r="F630" s="65">
        <v>1230</v>
      </c>
      <c r="G630" s="10" t="s">
        <v>937</v>
      </c>
      <c r="H630" s="373"/>
      <c r="I630" s="369">
        <f t="shared" si="27"/>
        <v>1230</v>
      </c>
    </row>
    <row r="631" spans="2:9" x14ac:dyDescent="0.3">
      <c r="B631" s="43">
        <v>46053</v>
      </c>
      <c r="C631" s="242" t="str">
        <f t="shared" si="28"/>
        <v>Jan-26</v>
      </c>
      <c r="D631" t="s">
        <v>1003</v>
      </c>
      <c r="E631" s="370">
        <v>830</v>
      </c>
      <c r="F631" s="65">
        <v>1710</v>
      </c>
      <c r="G631" s="10" t="s">
        <v>937</v>
      </c>
      <c r="H631" s="373"/>
      <c r="I631" s="369">
        <f t="shared" si="27"/>
        <v>1710</v>
      </c>
    </row>
    <row r="632" spans="2:9" x14ac:dyDescent="0.3">
      <c r="B632" s="43">
        <v>46040</v>
      </c>
      <c r="C632" s="242" t="str">
        <f t="shared" si="28"/>
        <v>Jan-26</v>
      </c>
      <c r="D632" t="s">
        <v>1002</v>
      </c>
      <c r="E632" s="370">
        <v>135</v>
      </c>
      <c r="F632" s="65">
        <v>42000</v>
      </c>
      <c r="G632" s="10" t="s">
        <v>935</v>
      </c>
      <c r="H632" s="373"/>
      <c r="I632" s="369">
        <f t="shared" si="27"/>
        <v>42000</v>
      </c>
    </row>
    <row r="633" spans="2:9" x14ac:dyDescent="0.3">
      <c r="B633" s="43">
        <v>46053</v>
      </c>
      <c r="C633" s="242" t="str">
        <f t="shared" si="28"/>
        <v>Jan-26</v>
      </c>
      <c r="D633" t="s">
        <v>1013</v>
      </c>
      <c r="E633" s="370">
        <v>46023</v>
      </c>
      <c r="F633" s="65">
        <v>220000</v>
      </c>
      <c r="G633" s="10" t="s">
        <v>1123</v>
      </c>
      <c r="H633" s="373"/>
      <c r="I633" s="369">
        <f>F633</f>
        <v>220000</v>
      </c>
    </row>
    <row r="634" spans="2:9" x14ac:dyDescent="0.3">
      <c r="B634" s="43">
        <v>46081</v>
      </c>
      <c r="C634" s="242" t="str">
        <f t="shared" si="28"/>
        <v>Feb-26</v>
      </c>
      <c r="D634" t="s">
        <v>1013</v>
      </c>
      <c r="E634" s="370">
        <v>46054</v>
      </c>
      <c r="F634" s="65">
        <v>220000</v>
      </c>
      <c r="G634" s="10" t="s">
        <v>1123</v>
      </c>
      <c r="H634" s="373"/>
      <c r="I634" s="369">
        <f t="shared" ref="I634:I650" si="29">F634</f>
        <v>220000</v>
      </c>
    </row>
    <row r="635" spans="2:9" x14ac:dyDescent="0.3">
      <c r="B635" s="43">
        <v>46076</v>
      </c>
      <c r="C635" s="242" t="str">
        <f t="shared" si="28"/>
        <v>Feb-26</v>
      </c>
      <c r="D635" t="s">
        <v>2939</v>
      </c>
      <c r="E635" s="370">
        <v>46054</v>
      </c>
      <c r="F635" s="65">
        <v>9945</v>
      </c>
      <c r="G635" s="10" t="s">
        <v>936</v>
      </c>
      <c r="H635" s="373"/>
      <c r="I635" s="369">
        <f t="shared" si="29"/>
        <v>9945</v>
      </c>
    </row>
    <row r="636" spans="2:9" x14ac:dyDescent="0.3">
      <c r="B636" s="43">
        <v>46078</v>
      </c>
      <c r="C636" s="242" t="str">
        <f t="shared" si="28"/>
        <v>Feb-26</v>
      </c>
      <c r="D636" t="s">
        <v>2940</v>
      </c>
      <c r="E636" s="370">
        <v>46054</v>
      </c>
      <c r="F636" s="65">
        <v>773.23</v>
      </c>
      <c r="G636" s="10" t="s">
        <v>2469</v>
      </c>
      <c r="H636" s="373"/>
      <c r="I636" s="369">
        <f t="shared" si="29"/>
        <v>773.23</v>
      </c>
    </row>
    <row r="637" spans="2:9" x14ac:dyDescent="0.3">
      <c r="B637" s="43">
        <v>46081</v>
      </c>
      <c r="C637" s="242" t="str">
        <f t="shared" si="28"/>
        <v>Feb-26</v>
      </c>
      <c r="D637" t="s">
        <v>2177</v>
      </c>
      <c r="E637" s="370">
        <v>46054</v>
      </c>
      <c r="F637" s="65">
        <v>80000</v>
      </c>
      <c r="G637" s="10" t="s">
        <v>1123</v>
      </c>
      <c r="H637" s="373"/>
      <c r="I637" s="369">
        <f t="shared" si="29"/>
        <v>80000</v>
      </c>
    </row>
    <row r="638" spans="2:9" x14ac:dyDescent="0.3">
      <c r="B638" s="43">
        <v>46081</v>
      </c>
      <c r="C638" s="242" t="str">
        <f t="shared" si="28"/>
        <v>Feb-26</v>
      </c>
      <c r="D638" t="s">
        <v>1014</v>
      </c>
      <c r="E638" s="370">
        <v>46054</v>
      </c>
      <c r="F638" s="65">
        <v>35000</v>
      </c>
      <c r="G638" s="10" t="s">
        <v>1123</v>
      </c>
      <c r="H638" s="373"/>
      <c r="I638" s="369">
        <f t="shared" si="29"/>
        <v>35000</v>
      </c>
    </row>
    <row r="639" spans="2:9" x14ac:dyDescent="0.3">
      <c r="B639" s="43">
        <v>46081</v>
      </c>
      <c r="C639" s="242" t="str">
        <f t="shared" si="28"/>
        <v>Feb-26</v>
      </c>
      <c r="D639" t="s">
        <v>1364</v>
      </c>
      <c r="E639" s="370">
        <v>46054</v>
      </c>
      <c r="F639" s="65">
        <v>48231.009250000003</v>
      </c>
      <c r="G639" s="10" t="s">
        <v>1364</v>
      </c>
      <c r="H639" s="373"/>
      <c r="I639" s="369">
        <f t="shared" si="29"/>
        <v>48231.009250000003</v>
      </c>
    </row>
    <row r="640" spans="2:9" x14ac:dyDescent="0.3">
      <c r="B640" s="43">
        <v>46081</v>
      </c>
      <c r="C640" s="242" t="str">
        <f t="shared" si="28"/>
        <v>Feb-26</v>
      </c>
      <c r="D640" t="s">
        <v>1006</v>
      </c>
      <c r="E640" s="370">
        <v>46054</v>
      </c>
      <c r="F640" s="65">
        <v>4717.83</v>
      </c>
      <c r="G640" s="10" t="s">
        <v>1361</v>
      </c>
      <c r="H640" s="373"/>
      <c r="I640" s="369">
        <f t="shared" si="29"/>
        <v>4717.83</v>
      </c>
    </row>
    <row r="641" spans="2:9" x14ac:dyDescent="0.3">
      <c r="B641" s="43">
        <v>46081</v>
      </c>
      <c r="C641" s="242" t="str">
        <f t="shared" si="28"/>
        <v>Feb-26</v>
      </c>
      <c r="D641" t="s">
        <v>1000</v>
      </c>
      <c r="E641" s="370">
        <v>46054</v>
      </c>
      <c r="F641" s="65">
        <v>34250</v>
      </c>
      <c r="G641" s="10" t="s">
        <v>941</v>
      </c>
      <c r="H641" s="373"/>
      <c r="I641" s="369">
        <f t="shared" si="29"/>
        <v>34250</v>
      </c>
    </row>
    <row r="642" spans="2:9" x14ac:dyDescent="0.3">
      <c r="B642" s="43">
        <v>46069</v>
      </c>
      <c r="C642" s="242" t="str">
        <f t="shared" si="28"/>
        <v>Feb-26</v>
      </c>
      <c r="D642" t="s">
        <v>1738</v>
      </c>
      <c r="E642" s="370" t="s">
        <v>2941</v>
      </c>
      <c r="F642" s="65">
        <v>2250</v>
      </c>
      <c r="G642" s="10" t="s">
        <v>936</v>
      </c>
      <c r="H642" s="373"/>
      <c r="I642" s="369">
        <f t="shared" si="29"/>
        <v>2250</v>
      </c>
    </row>
    <row r="643" spans="2:9" x14ac:dyDescent="0.3">
      <c r="B643" s="43">
        <v>46056</v>
      </c>
      <c r="C643" s="242" t="str">
        <f t="shared" si="28"/>
        <v>Feb-26</v>
      </c>
      <c r="D643" t="s">
        <v>1737</v>
      </c>
      <c r="E643" s="370">
        <v>11647</v>
      </c>
      <c r="F643" s="65">
        <v>751</v>
      </c>
      <c r="G643" s="10" t="s">
        <v>933</v>
      </c>
      <c r="H643" s="373"/>
      <c r="I643" s="369">
        <f t="shared" si="29"/>
        <v>751</v>
      </c>
    </row>
    <row r="644" spans="2:9" x14ac:dyDescent="0.3">
      <c r="B644" s="43">
        <v>46056</v>
      </c>
      <c r="C644" s="242" t="str">
        <f t="shared" si="28"/>
        <v>Feb-26</v>
      </c>
      <c r="D644" t="s">
        <v>1737</v>
      </c>
      <c r="E644" s="370">
        <v>11647</v>
      </c>
      <c r="F644" s="65">
        <v>188</v>
      </c>
      <c r="G644" s="10" t="s">
        <v>929</v>
      </c>
      <c r="H644" s="373"/>
      <c r="I644" s="369">
        <f t="shared" si="29"/>
        <v>188</v>
      </c>
    </row>
    <row r="645" spans="2:9" x14ac:dyDescent="0.3">
      <c r="B645" s="43">
        <v>46056</v>
      </c>
      <c r="C645" s="242" t="str">
        <f t="shared" ref="C645:C676" si="30">TEXT(B645,"mmm-yy")</f>
        <v>Feb-26</v>
      </c>
      <c r="D645" t="s">
        <v>1737</v>
      </c>
      <c r="E645" s="370">
        <v>11647</v>
      </c>
      <c r="F645" s="65">
        <v>2306</v>
      </c>
      <c r="G645" s="10" t="s">
        <v>932</v>
      </c>
      <c r="H645" s="373"/>
      <c r="I645" s="369">
        <f t="shared" si="29"/>
        <v>2306</v>
      </c>
    </row>
    <row r="646" spans="2:9" x14ac:dyDescent="0.3">
      <c r="B646" s="43">
        <v>46064</v>
      </c>
      <c r="C646" s="242" t="str">
        <f t="shared" si="30"/>
        <v>Feb-26</v>
      </c>
      <c r="D646" t="s">
        <v>1739</v>
      </c>
      <c r="E646" s="370">
        <v>11795</v>
      </c>
      <c r="F646" s="65">
        <v>7480</v>
      </c>
      <c r="G646" s="10" t="s">
        <v>1121</v>
      </c>
      <c r="H646" s="373"/>
      <c r="I646" s="369">
        <f t="shared" si="29"/>
        <v>7480</v>
      </c>
    </row>
    <row r="647" spans="2:9" x14ac:dyDescent="0.3">
      <c r="B647" s="43">
        <v>46063</v>
      </c>
      <c r="C647" s="242" t="str">
        <f t="shared" si="30"/>
        <v>Feb-26</v>
      </c>
      <c r="D647" t="s">
        <v>1739</v>
      </c>
      <c r="E647" s="370">
        <v>11796</v>
      </c>
      <c r="F647" s="65">
        <v>1187</v>
      </c>
      <c r="G647" s="10" t="s">
        <v>933</v>
      </c>
      <c r="H647" s="373"/>
      <c r="I647" s="369">
        <f t="shared" si="29"/>
        <v>1187</v>
      </c>
    </row>
    <row r="648" spans="2:9" x14ac:dyDescent="0.3">
      <c r="B648" s="43">
        <v>46063</v>
      </c>
      <c r="C648" s="242" t="str">
        <f t="shared" si="30"/>
        <v>Feb-26</v>
      </c>
      <c r="D648" t="s">
        <v>1739</v>
      </c>
      <c r="E648" s="370">
        <v>11796</v>
      </c>
      <c r="F648" s="65">
        <v>4793.93</v>
      </c>
      <c r="G648" s="10" t="s">
        <v>931</v>
      </c>
      <c r="H648" s="373"/>
      <c r="I648" s="369">
        <f t="shared" si="29"/>
        <v>4793.93</v>
      </c>
    </row>
    <row r="649" spans="2:9" x14ac:dyDescent="0.3">
      <c r="B649" s="43">
        <v>46081</v>
      </c>
      <c r="C649" s="242" t="str">
        <f t="shared" si="30"/>
        <v>Feb-26</v>
      </c>
      <c r="D649" t="s">
        <v>2809</v>
      </c>
      <c r="E649" s="370" t="s">
        <v>2942</v>
      </c>
      <c r="F649" s="65">
        <v>250000</v>
      </c>
      <c r="G649" s="10" t="s">
        <v>1122</v>
      </c>
      <c r="H649" s="373"/>
      <c r="I649" s="369">
        <f t="shared" si="29"/>
        <v>250000</v>
      </c>
    </row>
    <row r="650" spans="2:9" x14ac:dyDescent="0.3">
      <c r="B650" s="43">
        <v>46081</v>
      </c>
      <c r="C650" s="242" t="str">
        <f t="shared" si="30"/>
        <v>Feb-26</v>
      </c>
      <c r="D650" t="s">
        <v>1003</v>
      </c>
      <c r="E650" s="370">
        <v>830</v>
      </c>
      <c r="F650" s="65">
        <v>2500</v>
      </c>
      <c r="G650" s="10" t="s">
        <v>937</v>
      </c>
      <c r="H650" s="373"/>
      <c r="I650" s="369">
        <f t="shared" si="29"/>
        <v>2500</v>
      </c>
    </row>
    <row r="651" spans="2:9" x14ac:dyDescent="0.3">
      <c r="B651" s="43">
        <v>46081</v>
      </c>
      <c r="C651" s="242" t="str">
        <f t="shared" si="30"/>
        <v>Feb-26</v>
      </c>
      <c r="D651" t="s">
        <v>2939</v>
      </c>
      <c r="E651" s="370">
        <v>46054</v>
      </c>
      <c r="F651" s="65">
        <v>1500</v>
      </c>
      <c r="G651" s="10" t="s">
        <v>936</v>
      </c>
      <c r="H651" s="373"/>
      <c r="I651" s="369">
        <f>F651</f>
        <v>1500</v>
      </c>
    </row>
    <row r="652" spans="2:9" x14ac:dyDescent="0.3">
      <c r="B652" s="242">
        <v>46091</v>
      </c>
      <c r="C652" s="242" t="str">
        <f t="shared" si="30"/>
        <v>Mar-26</v>
      </c>
      <c r="D652" t="s">
        <v>1003</v>
      </c>
      <c r="E652" t="s">
        <v>3499</v>
      </c>
      <c r="F652" s="3">
        <v>2040</v>
      </c>
      <c r="G652" t="s">
        <v>937</v>
      </c>
      <c r="I652" s="369">
        <f t="shared" ref="I652:I659" si="31">F652</f>
        <v>2040</v>
      </c>
    </row>
    <row r="653" spans="2:9" x14ac:dyDescent="0.3">
      <c r="B653" s="242">
        <v>46091</v>
      </c>
      <c r="C653" s="242" t="str">
        <f t="shared" si="30"/>
        <v>Mar-26</v>
      </c>
      <c r="D653" t="s">
        <v>1013</v>
      </c>
      <c r="E653" t="s">
        <v>1505</v>
      </c>
      <c r="F653" s="3">
        <v>220000</v>
      </c>
      <c r="G653" t="s">
        <v>1123</v>
      </c>
      <c r="I653" s="369">
        <f t="shared" si="31"/>
        <v>220000</v>
      </c>
    </row>
    <row r="654" spans="2:9" x14ac:dyDescent="0.3">
      <c r="B654" s="242">
        <v>46109</v>
      </c>
      <c r="C654" s="242" t="str">
        <f t="shared" si="30"/>
        <v>Mar-26</v>
      </c>
      <c r="D654" t="s">
        <v>1000</v>
      </c>
      <c r="E654" t="s">
        <v>3500</v>
      </c>
      <c r="F654" s="3">
        <v>34680</v>
      </c>
      <c r="G654" t="s">
        <v>941</v>
      </c>
      <c r="I654" s="369">
        <f t="shared" si="31"/>
        <v>34680</v>
      </c>
    </row>
    <row r="655" spans="2:9" x14ac:dyDescent="0.3">
      <c r="B655" s="242">
        <v>46112</v>
      </c>
      <c r="C655" s="242" t="str">
        <f t="shared" si="30"/>
        <v>Mar-26</v>
      </c>
      <c r="D655" t="s">
        <v>1014</v>
      </c>
      <c r="E655" t="s">
        <v>3501</v>
      </c>
      <c r="F655" s="3">
        <v>35000</v>
      </c>
      <c r="G655" t="s">
        <v>1123</v>
      </c>
      <c r="I655" s="369">
        <f t="shared" si="31"/>
        <v>35000</v>
      </c>
    </row>
    <row r="656" spans="2:9" x14ac:dyDescent="0.3">
      <c r="B656" s="242">
        <v>46112</v>
      </c>
      <c r="C656" s="242" t="str">
        <f t="shared" si="30"/>
        <v>Mar-26</v>
      </c>
      <c r="D656" t="s">
        <v>2177</v>
      </c>
      <c r="E656" t="s">
        <v>3501</v>
      </c>
      <c r="F656" s="3">
        <v>80000</v>
      </c>
      <c r="G656" t="s">
        <v>1123</v>
      </c>
      <c r="I656" s="369">
        <f t="shared" si="31"/>
        <v>80000</v>
      </c>
    </row>
    <row r="657" spans="2:9" x14ac:dyDescent="0.3">
      <c r="B657" s="242">
        <v>46119</v>
      </c>
      <c r="C657" s="242" t="str">
        <f t="shared" si="30"/>
        <v>Apr-26</v>
      </c>
      <c r="D657" t="s">
        <v>1013</v>
      </c>
      <c r="E657" t="s">
        <v>1067</v>
      </c>
      <c r="F657" s="3">
        <v>220000</v>
      </c>
      <c r="G657" t="s">
        <v>1123</v>
      </c>
      <c r="I657" s="369">
        <f t="shared" si="31"/>
        <v>220000</v>
      </c>
    </row>
    <row r="658" spans="2:9" x14ac:dyDescent="0.3">
      <c r="B658" s="242">
        <v>46119</v>
      </c>
      <c r="C658" s="242" t="str">
        <f t="shared" si="30"/>
        <v>Apr-26</v>
      </c>
      <c r="D658" t="s">
        <v>1003</v>
      </c>
      <c r="E658" t="s">
        <v>3502</v>
      </c>
      <c r="F658" s="3">
        <v>1830</v>
      </c>
      <c r="G658" t="s">
        <v>937</v>
      </c>
      <c r="I658" s="369">
        <f t="shared" si="31"/>
        <v>1830</v>
      </c>
    </row>
    <row r="659" spans="2:9" x14ac:dyDescent="0.3">
      <c r="B659" s="242">
        <v>46121</v>
      </c>
      <c r="C659" s="242" t="str">
        <f t="shared" si="30"/>
        <v>Apr-26</v>
      </c>
      <c r="D659" t="s">
        <v>1000</v>
      </c>
      <c r="E659" t="s">
        <v>3503</v>
      </c>
      <c r="F659" s="3">
        <v>31000</v>
      </c>
      <c r="G659" t="s">
        <v>941</v>
      </c>
      <c r="I659" s="369">
        <f t="shared" si="31"/>
        <v>31000</v>
      </c>
    </row>
    <row r="660" spans="2:9" x14ac:dyDescent="0.3">
      <c r="B660" s="242">
        <v>46142</v>
      </c>
      <c r="C660" s="242" t="str">
        <f t="shared" si="30"/>
        <v>Apr-26</v>
      </c>
      <c r="D660" t="s">
        <v>1006</v>
      </c>
      <c r="E660" t="s">
        <v>3504</v>
      </c>
      <c r="F660" s="3">
        <v>1558.13</v>
      </c>
      <c r="G660" t="s">
        <v>940</v>
      </c>
      <c r="I660" s="369">
        <f>F660</f>
        <v>1558.13</v>
      </c>
    </row>
    <row r="661" spans="2:9" x14ac:dyDescent="0.3">
      <c r="B661" s="242">
        <v>46143</v>
      </c>
      <c r="C661" s="242" t="str">
        <f t="shared" si="30"/>
        <v>May-26</v>
      </c>
      <c r="D661" t="s">
        <v>1014</v>
      </c>
      <c r="E661" t="s">
        <v>3749</v>
      </c>
      <c r="F661" s="3">
        <v>35000</v>
      </c>
      <c r="G661" t="s">
        <v>1123</v>
      </c>
      <c r="I661" s="369">
        <f t="shared" ref="I661:I675" si="32">F661</f>
        <v>35000</v>
      </c>
    </row>
    <row r="662" spans="2:9" x14ac:dyDescent="0.3">
      <c r="B662" s="242">
        <v>46148</v>
      </c>
      <c r="C662" s="242" t="str">
        <f t="shared" si="30"/>
        <v>May-26</v>
      </c>
      <c r="D662" t="s">
        <v>2940</v>
      </c>
      <c r="E662" t="s">
        <v>3750</v>
      </c>
      <c r="F662" s="3">
        <v>799</v>
      </c>
      <c r="G662" t="s">
        <v>2469</v>
      </c>
      <c r="I662" s="369">
        <f t="shared" si="32"/>
        <v>799</v>
      </c>
    </row>
    <row r="663" spans="2:9" x14ac:dyDescent="0.3">
      <c r="B663" s="242">
        <v>46147</v>
      </c>
      <c r="C663" s="242" t="str">
        <f t="shared" si="30"/>
        <v>May-26</v>
      </c>
      <c r="D663" t="s">
        <v>1006</v>
      </c>
      <c r="E663" t="s">
        <v>3751</v>
      </c>
      <c r="F663" s="3">
        <v>1557.93</v>
      </c>
      <c r="G663" t="s">
        <v>940</v>
      </c>
      <c r="I663" s="369">
        <f t="shared" si="32"/>
        <v>1557.93</v>
      </c>
    </row>
    <row r="664" spans="2:9" x14ac:dyDescent="0.3">
      <c r="B664" s="242">
        <v>46162</v>
      </c>
      <c r="C664" s="242" t="str">
        <f t="shared" si="30"/>
        <v>May-26</v>
      </c>
      <c r="D664" t="s">
        <v>1006</v>
      </c>
      <c r="E664" t="s">
        <v>3752</v>
      </c>
      <c r="F664" s="3">
        <v>1129</v>
      </c>
      <c r="G664" t="s">
        <v>940</v>
      </c>
      <c r="I664" s="369">
        <f t="shared" si="32"/>
        <v>1129</v>
      </c>
    </row>
    <row r="665" spans="2:9" x14ac:dyDescent="0.3">
      <c r="B665" s="242">
        <v>46151</v>
      </c>
      <c r="C665" s="242" t="str">
        <f t="shared" si="30"/>
        <v>May-26</v>
      </c>
      <c r="D665" t="s">
        <v>1000</v>
      </c>
      <c r="E665" t="s">
        <v>3753</v>
      </c>
      <c r="F665" s="3">
        <v>36570</v>
      </c>
      <c r="G665" t="s">
        <v>941</v>
      </c>
      <c r="I665" s="369">
        <f t="shared" si="32"/>
        <v>36570</v>
      </c>
    </row>
    <row r="666" spans="2:9" x14ac:dyDescent="0.3">
      <c r="B666" s="242">
        <v>46162</v>
      </c>
      <c r="C666" s="242" t="str">
        <f t="shared" si="30"/>
        <v>May-26</v>
      </c>
      <c r="D666" t="s">
        <v>1737</v>
      </c>
      <c r="E666" t="s">
        <v>3754</v>
      </c>
      <c r="F666" s="3">
        <v>2136</v>
      </c>
      <c r="G666" t="s">
        <v>1121</v>
      </c>
      <c r="I666" s="369">
        <f t="shared" si="32"/>
        <v>2136</v>
      </c>
    </row>
    <row r="667" spans="2:9" x14ac:dyDescent="0.3">
      <c r="B667" s="242">
        <v>46157</v>
      </c>
      <c r="C667" s="242" t="str">
        <f t="shared" si="30"/>
        <v>May-26</v>
      </c>
      <c r="D667" t="s">
        <v>3746</v>
      </c>
      <c r="E667" t="s">
        <v>3755</v>
      </c>
      <c r="F667" s="3">
        <v>478.88</v>
      </c>
      <c r="G667" t="s">
        <v>933</v>
      </c>
      <c r="I667" s="369">
        <f t="shared" si="32"/>
        <v>478.88</v>
      </c>
    </row>
    <row r="668" spans="2:9" x14ac:dyDescent="0.3">
      <c r="B668" s="242">
        <v>46167</v>
      </c>
      <c r="C668" s="242" t="str">
        <f t="shared" si="30"/>
        <v>May-26</v>
      </c>
      <c r="D668" t="s">
        <v>3746</v>
      </c>
      <c r="E668" t="s">
        <v>3756</v>
      </c>
      <c r="F668" s="3">
        <v>2328</v>
      </c>
      <c r="G668" t="s">
        <v>1121</v>
      </c>
      <c r="I668" s="369">
        <f t="shared" si="32"/>
        <v>2328</v>
      </c>
    </row>
    <row r="669" spans="2:9" x14ac:dyDescent="0.3">
      <c r="B669" s="242">
        <v>46162</v>
      </c>
      <c r="C669" s="242" t="str">
        <f t="shared" si="30"/>
        <v>May-26</v>
      </c>
      <c r="D669" t="s">
        <v>1739</v>
      </c>
      <c r="E669" t="s">
        <v>3757</v>
      </c>
      <c r="F669" s="3">
        <v>2214</v>
      </c>
      <c r="G669" t="s">
        <v>933</v>
      </c>
      <c r="I669" s="369">
        <f t="shared" si="32"/>
        <v>2214</v>
      </c>
    </row>
    <row r="670" spans="2:9" x14ac:dyDescent="0.3">
      <c r="B670" s="242">
        <v>46162</v>
      </c>
      <c r="C670" s="242" t="str">
        <f t="shared" si="30"/>
        <v>May-26</v>
      </c>
      <c r="D670" t="s">
        <v>1739</v>
      </c>
      <c r="E670" t="s">
        <v>3758</v>
      </c>
      <c r="F670" s="3">
        <v>1847</v>
      </c>
      <c r="G670" t="s">
        <v>933</v>
      </c>
      <c r="I670" s="369">
        <f t="shared" si="32"/>
        <v>1847</v>
      </c>
    </row>
    <row r="671" spans="2:9" x14ac:dyDescent="0.3">
      <c r="B671" s="242">
        <v>46162</v>
      </c>
      <c r="C671" s="242" t="str">
        <f t="shared" si="30"/>
        <v>May-26</v>
      </c>
      <c r="D671" t="s">
        <v>1739</v>
      </c>
      <c r="E671" t="s">
        <v>3759</v>
      </c>
      <c r="F671" s="3">
        <v>725</v>
      </c>
      <c r="G671" t="s">
        <v>933</v>
      </c>
      <c r="I671" s="369">
        <f t="shared" si="32"/>
        <v>725</v>
      </c>
    </row>
    <row r="672" spans="2:9" x14ac:dyDescent="0.3">
      <c r="B672" s="242">
        <v>46163</v>
      </c>
      <c r="C672" s="242" t="str">
        <f t="shared" si="30"/>
        <v>May-26</v>
      </c>
      <c r="D672" t="s">
        <v>3747</v>
      </c>
      <c r="E672" t="s">
        <v>3760</v>
      </c>
      <c r="F672" s="3">
        <v>3900</v>
      </c>
      <c r="G672" t="s">
        <v>936</v>
      </c>
      <c r="I672" s="369">
        <f t="shared" si="32"/>
        <v>3900</v>
      </c>
    </row>
    <row r="673" spans="2:9" x14ac:dyDescent="0.3">
      <c r="B673" s="242">
        <v>46146</v>
      </c>
      <c r="C673" s="242" t="str">
        <f t="shared" si="30"/>
        <v>May-26</v>
      </c>
      <c r="D673" t="s">
        <v>3748</v>
      </c>
      <c r="E673" t="s">
        <v>1531</v>
      </c>
      <c r="F673" s="3">
        <v>2500</v>
      </c>
      <c r="G673" t="s">
        <v>936</v>
      </c>
      <c r="I673" s="369">
        <f t="shared" si="32"/>
        <v>2500</v>
      </c>
    </row>
    <row r="674" spans="2:9" x14ac:dyDescent="0.3">
      <c r="B674" s="242">
        <v>46148</v>
      </c>
      <c r="C674" s="242" t="str">
        <f t="shared" si="30"/>
        <v>May-26</v>
      </c>
      <c r="D674" t="s">
        <v>1003</v>
      </c>
      <c r="E674" t="s">
        <v>3761</v>
      </c>
      <c r="F674" s="3">
        <v>1050</v>
      </c>
      <c r="G674" t="s">
        <v>937</v>
      </c>
      <c r="I674" s="369">
        <f t="shared" si="32"/>
        <v>1050</v>
      </c>
    </row>
    <row r="675" spans="2:9" x14ac:dyDescent="0.3">
      <c r="B675" s="242">
        <v>46146</v>
      </c>
      <c r="C675" s="242" t="str">
        <f t="shared" si="30"/>
        <v>May-26</v>
      </c>
      <c r="D675" t="s">
        <v>1013</v>
      </c>
      <c r="E675" t="s">
        <v>922</v>
      </c>
      <c r="F675" s="3">
        <v>220000</v>
      </c>
      <c r="G675" t="s">
        <v>1123</v>
      </c>
      <c r="I675" s="369">
        <f t="shared" si="32"/>
        <v>220000</v>
      </c>
    </row>
    <row r="676" spans="2:9" x14ac:dyDescent="0.3">
      <c r="B676" s="242">
        <v>46193</v>
      </c>
      <c r="C676" s="242" t="str">
        <f t="shared" si="30"/>
        <v>Jun-26</v>
      </c>
      <c r="G676" s="295" t="s">
        <v>4094</v>
      </c>
      <c r="I676" s="404">
        <v>54644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4B30-1066-4849-9655-04B6E7742DE1}">
  <sheetPr codeName="Sheet13"/>
  <dimension ref="A2:AR383"/>
  <sheetViews>
    <sheetView showGridLines="0" topLeftCell="O1" workbookViewId="0">
      <selection activeCell="R15" sqref="R15"/>
    </sheetView>
  </sheetViews>
  <sheetFormatPr defaultRowHeight="14.4" x14ac:dyDescent="0.3"/>
  <cols>
    <col min="1" max="1" width="3.77734375" bestFit="1" customWidth="1"/>
    <col min="2" max="2" width="5.21875" bestFit="1" customWidth="1"/>
    <col min="3" max="3" width="5" bestFit="1" customWidth="1"/>
    <col min="4" max="4" width="3.88671875" bestFit="1" customWidth="1"/>
    <col min="5" max="5" width="29.6640625" bestFit="1" customWidth="1"/>
    <col min="6" max="6" width="14.21875" bestFit="1" customWidth="1"/>
    <col min="7" max="7" width="11" bestFit="1" customWidth="1"/>
    <col min="8" max="8" width="16.21875" bestFit="1" customWidth="1"/>
    <col min="9" max="9" width="13.88671875" bestFit="1" customWidth="1"/>
    <col min="10" max="10" width="7.77734375" bestFit="1" customWidth="1"/>
    <col min="11" max="11" width="14.109375" bestFit="1" customWidth="1"/>
    <col min="12" max="12" width="19.21875" bestFit="1" customWidth="1"/>
    <col min="13" max="13" width="24.44140625" bestFit="1" customWidth="1"/>
    <col min="14" max="14" width="21.88671875" bestFit="1" customWidth="1"/>
    <col min="15" max="15" width="22" bestFit="1" customWidth="1"/>
    <col min="16" max="16" width="19" bestFit="1" customWidth="1"/>
    <col min="17" max="17" width="6.44140625" bestFit="1" customWidth="1"/>
    <col min="18" max="18" width="18.88671875" bestFit="1" customWidth="1"/>
    <col min="19" max="19" width="4" bestFit="1" customWidth="1"/>
    <col min="20" max="20" width="3.77734375" bestFit="1" customWidth="1"/>
    <col min="21" max="21" width="18.5546875" bestFit="1" customWidth="1"/>
    <col min="22" max="22" width="22.33203125" bestFit="1" customWidth="1"/>
    <col min="23" max="23" width="15.88671875" bestFit="1" customWidth="1"/>
    <col min="24" max="24" width="22.6640625" bestFit="1" customWidth="1"/>
    <col min="25" max="25" width="20" bestFit="1" customWidth="1"/>
    <col min="26" max="26" width="19.5546875" bestFit="1" customWidth="1"/>
    <col min="27" max="27" width="16.21875" bestFit="1" customWidth="1"/>
    <col min="28" max="29" width="12.33203125" bestFit="1" customWidth="1"/>
    <col min="33" max="33" width="23.6640625" bestFit="1" customWidth="1"/>
    <col min="34" max="34" width="16.21875" bestFit="1" customWidth="1"/>
    <col min="35" max="35" width="17.44140625" bestFit="1" customWidth="1"/>
    <col min="36" max="36" width="12.44140625" bestFit="1" customWidth="1"/>
    <col min="37" max="37" width="23.77734375" bestFit="1" customWidth="1"/>
    <col min="38" max="38" width="25.6640625" bestFit="1" customWidth="1"/>
    <col min="39" max="39" width="21.6640625" bestFit="1" customWidth="1"/>
    <col min="40" max="40" width="20.77734375" bestFit="1" customWidth="1"/>
    <col min="41" max="41" width="8" bestFit="1" customWidth="1"/>
    <col min="42" max="42" width="12.5546875" bestFit="1" customWidth="1"/>
    <col min="43" max="43" width="7.77734375" bestFit="1" customWidth="1"/>
    <col min="44" max="44" width="15.88671875" bestFit="1" customWidth="1"/>
  </cols>
  <sheetData>
    <row r="2" spans="1:44" x14ac:dyDescent="0.3">
      <c r="A2" t="s">
        <v>2757</v>
      </c>
      <c r="B2" t="s">
        <v>2758</v>
      </c>
      <c r="C2" t="s">
        <v>2759</v>
      </c>
      <c r="D2" t="s">
        <v>2760</v>
      </c>
      <c r="E2" t="s">
        <v>2761</v>
      </c>
      <c r="F2" t="s">
        <v>2762</v>
      </c>
      <c r="G2" t="s">
        <v>2763</v>
      </c>
      <c r="H2" t="s">
        <v>2764</v>
      </c>
      <c r="I2" t="s">
        <v>2765</v>
      </c>
      <c r="J2" t="s">
        <v>34</v>
      </c>
      <c r="K2" t="s">
        <v>2766</v>
      </c>
      <c r="L2" t="s">
        <v>2767</v>
      </c>
      <c r="M2" t="s">
        <v>2768</v>
      </c>
      <c r="N2" t="s">
        <v>2769</v>
      </c>
      <c r="O2" t="s">
        <v>2770</v>
      </c>
      <c r="P2" t="s">
        <v>2771</v>
      </c>
      <c r="Q2" t="s">
        <v>15</v>
      </c>
      <c r="R2" t="s">
        <v>2772</v>
      </c>
      <c r="S2" t="s">
        <v>2773</v>
      </c>
      <c r="T2" t="s">
        <v>2774</v>
      </c>
      <c r="U2" t="s">
        <v>2775</v>
      </c>
      <c r="V2" t="s">
        <v>2776</v>
      </c>
      <c r="W2" t="s">
        <v>2609</v>
      </c>
      <c r="X2" t="s">
        <v>2610</v>
      </c>
      <c r="Y2" t="s">
        <v>2777</v>
      </c>
      <c r="Z2" t="s">
        <v>2778</v>
      </c>
      <c r="AA2" t="s">
        <v>2611</v>
      </c>
      <c r="AB2" t="s">
        <v>537</v>
      </c>
      <c r="AG2" t="s">
        <v>2612</v>
      </c>
      <c r="AH2" t="s">
        <v>2613</v>
      </c>
      <c r="AI2" t="s">
        <v>2614</v>
      </c>
      <c r="AJ2" t="s">
        <v>2615</v>
      </c>
      <c r="AK2" t="s">
        <v>2779</v>
      </c>
      <c r="AL2" t="s">
        <v>2780</v>
      </c>
      <c r="AM2" t="s">
        <v>2781</v>
      </c>
      <c r="AN2" t="s">
        <v>2782</v>
      </c>
      <c r="AO2" t="s">
        <v>57</v>
      </c>
      <c r="AP2" t="s">
        <v>2783</v>
      </c>
      <c r="AQ2" t="s">
        <v>34</v>
      </c>
      <c r="AR2" t="s">
        <v>2784</v>
      </c>
    </row>
    <row r="3" spans="1:44" x14ac:dyDescent="0.3">
      <c r="A3">
        <v>0</v>
      </c>
      <c r="B3">
        <f>'Details PC'!B5</f>
        <v>1</v>
      </c>
      <c r="E3" t="str">
        <f>'Details PC'!H5</f>
        <v>Tata Motors Passenger Vehicle Ltd</v>
      </c>
      <c r="G3" s="242" t="e">
        <f>'Details PC'!#REF!</f>
        <v>#REF!</v>
      </c>
      <c r="L3">
        <f>'Details PC'!R5</f>
        <v>8840</v>
      </c>
      <c r="N3">
        <f>'Details PC'!S5</f>
        <v>33.121000000000002</v>
      </c>
      <c r="O3" s="411" t="str">
        <f>'Details PC'!J5</f>
        <v>MH6100765970</v>
      </c>
      <c r="P3" s="242">
        <f>'Details PC'!F5</f>
        <v>45628</v>
      </c>
      <c r="R3">
        <f>'Details PC'!T5</f>
        <v>292789.64</v>
      </c>
    </row>
    <row r="4" spans="1:44" x14ac:dyDescent="0.3">
      <c r="A4">
        <v>0</v>
      </c>
      <c r="B4">
        <f>'Details PC'!B6</f>
        <v>2</v>
      </c>
      <c r="E4" t="str">
        <f>'Details PC'!H6</f>
        <v>Tata Motors Passenger Vehicle Ltd</v>
      </c>
      <c r="G4" s="242" t="e">
        <f>'Details PC'!#REF!</f>
        <v>#REF!</v>
      </c>
      <c r="L4">
        <f>'Details PC'!R6</f>
        <v>29550</v>
      </c>
      <c r="N4">
        <f>'Details PC'!S6</f>
        <v>32.299999999999997</v>
      </c>
      <c r="O4" s="411" t="str">
        <f>'Details PC'!J6</f>
        <v>MH6100797898</v>
      </c>
      <c r="P4" s="242">
        <f>'Details PC'!F6</f>
        <v>45637</v>
      </c>
      <c r="R4">
        <f>'Details PC'!T6</f>
        <v>954464.99999999988</v>
      </c>
    </row>
    <row r="5" spans="1:44" x14ac:dyDescent="0.3">
      <c r="A5">
        <v>0</v>
      </c>
      <c r="B5">
        <f>'Details PC'!B7</f>
        <v>3</v>
      </c>
      <c r="E5" t="str">
        <f>'Details PC'!H7</f>
        <v>Tata Motors Passenger Vehicle Ltd</v>
      </c>
      <c r="G5" s="242" t="e">
        <f>'Details PC'!#REF!</f>
        <v>#REF!</v>
      </c>
      <c r="L5">
        <f>'Details PC'!R7</f>
        <v>22390</v>
      </c>
      <c r="N5">
        <f>'Details PC'!S7</f>
        <v>32.299999999999997</v>
      </c>
      <c r="O5" s="411" t="str">
        <f>'Details PC'!J7</f>
        <v>MH6100797313</v>
      </c>
      <c r="P5" s="242">
        <f>'Details PC'!F7</f>
        <v>45637</v>
      </c>
      <c r="R5">
        <f>'Details PC'!T7</f>
        <v>723196.99999999988</v>
      </c>
    </row>
    <row r="6" spans="1:44" x14ac:dyDescent="0.3">
      <c r="A6">
        <v>0</v>
      </c>
      <c r="B6">
        <f>'Details PC'!B8</f>
        <v>4</v>
      </c>
      <c r="E6" t="str">
        <f>'Details PC'!H8</f>
        <v>Tata Motors Passenger Vehicle Ltd</v>
      </c>
      <c r="G6" s="242" t="e">
        <f>'Details PC'!#REF!</f>
        <v>#REF!</v>
      </c>
      <c r="L6">
        <f>'Details PC'!R8</f>
        <v>9050</v>
      </c>
      <c r="N6">
        <f>'Details PC'!S8</f>
        <v>33.121000000000002</v>
      </c>
      <c r="O6" s="411" t="str">
        <f>'Details PC'!J8</f>
        <v>MH6100696842</v>
      </c>
      <c r="P6" s="242">
        <f>'Details PC'!F8</f>
        <v>45638</v>
      </c>
      <c r="R6">
        <f>'Details PC'!T8</f>
        <v>299745.05000000005</v>
      </c>
    </row>
    <row r="7" spans="1:44" x14ac:dyDescent="0.3">
      <c r="A7">
        <v>0</v>
      </c>
      <c r="B7">
        <f>'Details PC'!B9</f>
        <v>5</v>
      </c>
      <c r="E7" t="str">
        <f>'Details PC'!H9</f>
        <v>Tata Motors Passenger Vehicle Ltd</v>
      </c>
      <c r="G7" s="242" t="e">
        <f>'Details PC'!#REF!</f>
        <v>#REF!</v>
      </c>
      <c r="L7">
        <f>'Details PC'!R9</f>
        <v>25040</v>
      </c>
      <c r="N7">
        <f>'Details PC'!S9</f>
        <v>33.521000000000001</v>
      </c>
      <c r="O7" s="411" t="str">
        <f>'Details PC'!J9</f>
        <v>MH6100675953</v>
      </c>
      <c r="P7" s="242">
        <f>'Details PC'!F9</f>
        <v>45638</v>
      </c>
      <c r="R7">
        <f>'Details PC'!T9</f>
        <v>839365.84</v>
      </c>
    </row>
    <row r="8" spans="1:44" x14ac:dyDescent="0.3">
      <c r="A8">
        <v>0</v>
      </c>
      <c r="B8">
        <f>'Details PC'!B10</f>
        <v>6</v>
      </c>
      <c r="E8" t="str">
        <f>'Details PC'!H10</f>
        <v>Tata Motors Passenger Vehicle Ltd</v>
      </c>
      <c r="G8" s="242" t="e">
        <f>'Details PC'!#REF!</f>
        <v>#REF!</v>
      </c>
      <c r="L8">
        <f>'Details PC'!R10</f>
        <v>25820</v>
      </c>
      <c r="N8">
        <f>'Details PC'!S10</f>
        <v>33.521000000000001</v>
      </c>
      <c r="O8" s="411" t="str">
        <f>'Details PC'!J10</f>
        <v>MH6100675959</v>
      </c>
      <c r="P8" s="242">
        <f>'Details PC'!F10</f>
        <v>45638</v>
      </c>
      <c r="R8">
        <f>'Details PC'!T10</f>
        <v>865512.22</v>
      </c>
    </row>
    <row r="9" spans="1:44" x14ac:dyDescent="0.3">
      <c r="A9">
        <v>0</v>
      </c>
      <c r="B9">
        <f>'Details PC'!B11</f>
        <v>7</v>
      </c>
      <c r="E9" t="str">
        <f>'Details PC'!H11</f>
        <v>Tata Motors Passenger Vehicle Ltd</v>
      </c>
      <c r="G9" s="242" t="e">
        <f>'Details PC'!#REF!</f>
        <v>#REF!</v>
      </c>
      <c r="L9">
        <f>'Details PC'!R11</f>
        <v>25190</v>
      </c>
      <c r="N9">
        <f>'Details PC'!S11</f>
        <v>33.521000000000001</v>
      </c>
      <c r="O9" s="411" t="str">
        <f>'Details PC'!J11</f>
        <v>MH6100679115</v>
      </c>
      <c r="P9" s="242">
        <f>'Details PC'!F11</f>
        <v>45638</v>
      </c>
      <c r="R9">
        <f>'Details PC'!T11</f>
        <v>844393.99</v>
      </c>
    </row>
    <row r="10" spans="1:44" x14ac:dyDescent="0.3">
      <c r="A10">
        <v>0</v>
      </c>
      <c r="B10">
        <f>'Details PC'!B12</f>
        <v>8</v>
      </c>
      <c r="E10" t="str">
        <f>'Details PC'!H12</f>
        <v>Tata Motors Passenger Vehicle Ltd</v>
      </c>
      <c r="G10" s="242" t="e">
        <f>'Details PC'!#REF!</f>
        <v>#REF!</v>
      </c>
      <c r="L10">
        <f>'Details PC'!R12</f>
        <v>20280</v>
      </c>
      <c r="N10">
        <f>'Details PC'!S12</f>
        <v>33.521000000000001</v>
      </c>
      <c r="O10" s="411" t="str">
        <f>'Details PC'!J12</f>
        <v>MH6100679114</v>
      </c>
      <c r="P10" s="242">
        <f>'Details PC'!F12</f>
        <v>45638</v>
      </c>
      <c r="R10">
        <f>'Details PC'!T12</f>
        <v>679805.88</v>
      </c>
    </row>
    <row r="11" spans="1:44" x14ac:dyDescent="0.3">
      <c r="A11">
        <v>0</v>
      </c>
      <c r="B11">
        <f>'Details PC'!B13</f>
        <v>9</v>
      </c>
      <c r="E11" t="str">
        <f>'Details PC'!H13</f>
        <v>Tata Motors Passenger Vehicle Ltd</v>
      </c>
      <c r="G11" s="242" t="e">
        <f>'Details PC'!#REF!</f>
        <v>#REF!</v>
      </c>
      <c r="L11">
        <f>'Details PC'!R13</f>
        <v>17620</v>
      </c>
      <c r="N11">
        <f>'Details PC'!S13</f>
        <v>33.521000000000001</v>
      </c>
      <c r="O11" s="411" t="str">
        <f>'Details PC'!J13</f>
        <v>MH6100679113</v>
      </c>
      <c r="P11" s="242">
        <f>'Details PC'!F13</f>
        <v>45638</v>
      </c>
      <c r="R11">
        <f>'Details PC'!T13</f>
        <v>590640.02</v>
      </c>
    </row>
    <row r="12" spans="1:44" x14ac:dyDescent="0.3">
      <c r="A12">
        <v>0</v>
      </c>
      <c r="B12">
        <f>'Details PC'!B14</f>
        <v>10</v>
      </c>
      <c r="E12" t="str">
        <f>'Details PC'!H14</f>
        <v>Tata Motors Passenger Vehicle Ltd</v>
      </c>
      <c r="G12" s="242" t="e">
        <f>'Details PC'!#REF!</f>
        <v>#REF!</v>
      </c>
      <c r="L12">
        <f>'Details PC'!R14</f>
        <v>21200</v>
      </c>
      <c r="N12">
        <f>'Details PC'!S14</f>
        <v>33.521000000000001</v>
      </c>
      <c r="O12" s="411" t="str">
        <f>'Details PC'!J14</f>
        <v>MH6100679069</v>
      </c>
      <c r="P12" s="242">
        <f>'Details PC'!F14</f>
        <v>45638</v>
      </c>
      <c r="R12">
        <f>'Details PC'!T14</f>
        <v>710645.20000000007</v>
      </c>
    </row>
    <row r="13" spans="1:44" x14ac:dyDescent="0.3">
      <c r="A13">
        <v>0</v>
      </c>
      <c r="B13">
        <f>'Details PC'!B15</f>
        <v>11</v>
      </c>
      <c r="E13" t="str">
        <f>'Details PC'!H15</f>
        <v>Tata Motors Passenger Vehicle Ltd</v>
      </c>
      <c r="G13" s="242" t="e">
        <f>'Details PC'!#REF!</f>
        <v>#REF!</v>
      </c>
      <c r="L13">
        <f>'Details PC'!R15</f>
        <v>29120</v>
      </c>
      <c r="N13">
        <f>'Details PC'!S15</f>
        <v>33.521000000000001</v>
      </c>
      <c r="O13" s="411" t="str">
        <f>'Details PC'!J15</f>
        <v>MH6100682260</v>
      </c>
      <c r="P13" s="242">
        <f>'Details PC'!F15</f>
        <v>45638</v>
      </c>
      <c r="R13">
        <f>'Details PC'!T15</f>
        <v>976131.52</v>
      </c>
    </row>
    <row r="14" spans="1:44" x14ac:dyDescent="0.3">
      <c r="A14">
        <v>0</v>
      </c>
      <c r="B14">
        <f>'Details PC'!B16</f>
        <v>12</v>
      </c>
      <c r="E14" t="str">
        <f>'Details PC'!H16</f>
        <v>Tata Motors Passenger Vehicle Ltd</v>
      </c>
      <c r="G14" s="242" t="e">
        <f>'Details PC'!#REF!</f>
        <v>#REF!</v>
      </c>
      <c r="L14">
        <f>'Details PC'!R16</f>
        <v>26990</v>
      </c>
      <c r="N14">
        <f>'Details PC'!S16</f>
        <v>33.521000000000001</v>
      </c>
      <c r="O14" s="411" t="str">
        <f>'Details PC'!J16</f>
        <v>MH6100681729</v>
      </c>
      <c r="P14" s="242">
        <f>'Details PC'!F16</f>
        <v>45638</v>
      </c>
      <c r="R14">
        <f>'Details PC'!T16</f>
        <v>904731.79</v>
      </c>
    </row>
    <row r="15" spans="1:44" x14ac:dyDescent="0.3">
      <c r="A15">
        <v>0</v>
      </c>
      <c r="B15">
        <f>'Details PC'!B17</f>
        <v>13</v>
      </c>
      <c r="E15" t="str">
        <f>'Details PC'!H17</f>
        <v>Tata Motors Passenger Vehicle Ltd</v>
      </c>
      <c r="G15" s="242" t="e">
        <f>'Details PC'!#REF!</f>
        <v>#REF!</v>
      </c>
      <c r="L15">
        <f>'Details PC'!R17</f>
        <v>29550</v>
      </c>
      <c r="N15">
        <f>'Details PC'!S17</f>
        <v>33.521000000000001</v>
      </c>
      <c r="O15" s="411" t="str">
        <f>'Details PC'!J17</f>
        <v>MH6100683932</v>
      </c>
      <c r="P15" s="242">
        <f>'Details PC'!F17</f>
        <v>45638</v>
      </c>
      <c r="R15">
        <f>'Details PC'!T17</f>
        <v>990545.55</v>
      </c>
    </row>
    <row r="16" spans="1:44" x14ac:dyDescent="0.3">
      <c r="A16">
        <v>0</v>
      </c>
      <c r="B16">
        <f>'Details PC'!B18</f>
        <v>14</v>
      </c>
      <c r="E16" t="str">
        <f>'Details PC'!H18</f>
        <v>Tata Motors Passenger Vehicle Ltd</v>
      </c>
      <c r="G16" s="242" t="e">
        <f>'Details PC'!#REF!</f>
        <v>#REF!</v>
      </c>
      <c r="L16">
        <f>'Details PC'!R18</f>
        <v>23850</v>
      </c>
      <c r="N16">
        <f>'Details PC'!S18</f>
        <v>33.521000000000001</v>
      </c>
      <c r="O16" s="411" t="str">
        <f>'Details PC'!J18</f>
        <v>MH6100683936</v>
      </c>
      <c r="P16" s="242">
        <f>'Details PC'!F18</f>
        <v>45638</v>
      </c>
      <c r="R16">
        <f>'Details PC'!T18</f>
        <v>799475.85</v>
      </c>
    </row>
    <row r="17" spans="1:18" x14ac:dyDescent="0.3">
      <c r="A17">
        <v>0</v>
      </c>
      <c r="B17">
        <f>'Details PC'!B19</f>
        <v>15</v>
      </c>
      <c r="E17" t="str">
        <f>'Details PC'!H19</f>
        <v>Tata Motors Passenger Vehicle Ltd</v>
      </c>
      <c r="G17" s="242" t="e">
        <f>'Details PC'!#REF!</f>
        <v>#REF!</v>
      </c>
      <c r="L17">
        <f>'Details PC'!R19</f>
        <v>20710</v>
      </c>
      <c r="N17">
        <f>'Details PC'!S19</f>
        <v>33.521000000000001</v>
      </c>
      <c r="O17" s="411" t="str">
        <f>'Details PC'!J19</f>
        <v>MH6100684403</v>
      </c>
      <c r="P17" s="242">
        <f>'Details PC'!F19</f>
        <v>45638</v>
      </c>
      <c r="R17">
        <f>'Details PC'!T19</f>
        <v>694219.91</v>
      </c>
    </row>
    <row r="18" spans="1:18" x14ac:dyDescent="0.3">
      <c r="A18">
        <v>0</v>
      </c>
      <c r="B18">
        <f>'Details PC'!B20</f>
        <v>16</v>
      </c>
      <c r="E18" t="str">
        <f>'Details PC'!H20</f>
        <v>Tata Motors Passenger Vehicle Ltd</v>
      </c>
      <c r="G18" s="242" t="e">
        <f>'Details PC'!#REF!</f>
        <v>#REF!</v>
      </c>
      <c r="L18">
        <f>'Details PC'!R20</f>
        <v>12020</v>
      </c>
      <c r="N18">
        <f>'Details PC'!S20</f>
        <v>33.521000000000001</v>
      </c>
      <c r="O18" s="411" t="str">
        <f>'Details PC'!J20</f>
        <v>MH6100738334</v>
      </c>
      <c r="P18" s="242">
        <f>'Details PC'!F20</f>
        <v>45638</v>
      </c>
      <c r="R18">
        <f>'Details PC'!T20</f>
        <v>402922.42</v>
      </c>
    </row>
    <row r="19" spans="1:18" x14ac:dyDescent="0.3">
      <c r="A19">
        <v>0</v>
      </c>
      <c r="B19">
        <f>'Details PC'!B21</f>
        <v>17</v>
      </c>
      <c r="E19" t="str">
        <f>'Details PC'!H21</f>
        <v>Tata Motors Passenger Vehicle Ltd</v>
      </c>
      <c r="G19" s="242" t="e">
        <f>'Details PC'!#REF!</f>
        <v>#REF!</v>
      </c>
      <c r="L19">
        <f>'Details PC'!R21</f>
        <v>4330</v>
      </c>
      <c r="N19">
        <f>'Details PC'!S21</f>
        <v>33.521000000000001</v>
      </c>
      <c r="O19" s="411" t="str">
        <f>'Details PC'!J21</f>
        <v>MH6100738357</v>
      </c>
      <c r="P19" s="242">
        <f>'Details PC'!F21</f>
        <v>45638</v>
      </c>
      <c r="R19">
        <f>'Details PC'!T21</f>
        <v>145145.93</v>
      </c>
    </row>
    <row r="20" spans="1:18" x14ac:dyDescent="0.3">
      <c r="A20">
        <v>0</v>
      </c>
      <c r="B20">
        <f>'Details PC'!B22</f>
        <v>18</v>
      </c>
      <c r="E20" t="str">
        <f>'Details PC'!H22</f>
        <v>Tata Motors Passenger Vehicle Ltd</v>
      </c>
      <c r="G20" s="242" t="e">
        <f>'Details PC'!#REF!</f>
        <v>#REF!</v>
      </c>
      <c r="L20">
        <f>'Details PC'!R22</f>
        <v>24970</v>
      </c>
      <c r="N20">
        <f>'Details PC'!S22</f>
        <v>32.299999999999997</v>
      </c>
      <c r="O20" s="411" t="str">
        <f>'Details PC'!J22</f>
        <v>MH6100800792</v>
      </c>
      <c r="P20" s="242">
        <f>'Details PC'!F22</f>
        <v>45638</v>
      </c>
      <c r="R20">
        <f>'Details PC'!T22</f>
        <v>806530.99999999988</v>
      </c>
    </row>
    <row r="21" spans="1:18" x14ac:dyDescent="0.3">
      <c r="A21">
        <v>0</v>
      </c>
      <c r="B21">
        <f>'Details PC'!B23</f>
        <v>19</v>
      </c>
      <c r="E21" t="str">
        <f>'Details PC'!H23</f>
        <v>Tata Motors Passenger Vehicle Ltd</v>
      </c>
      <c r="G21" s="242" t="e">
        <f>'Details PC'!#REF!</f>
        <v>#REF!</v>
      </c>
      <c r="L21">
        <f>'Details PC'!R23</f>
        <v>25180</v>
      </c>
      <c r="N21">
        <f>'Details PC'!S23</f>
        <v>32.299999999999997</v>
      </c>
      <c r="O21" s="411" t="str">
        <f>'Details PC'!J23</f>
        <v>MH6100801966</v>
      </c>
      <c r="P21" s="242">
        <f>'Details PC'!F23</f>
        <v>45638</v>
      </c>
      <c r="R21">
        <f>'Details PC'!T23</f>
        <v>813313.99999999988</v>
      </c>
    </row>
    <row r="22" spans="1:18" x14ac:dyDescent="0.3">
      <c r="A22">
        <v>0</v>
      </c>
      <c r="B22">
        <f>'Details PC'!B24</f>
        <v>20</v>
      </c>
      <c r="E22" t="str">
        <f>'Details PC'!H24</f>
        <v>Tata Motors Passenger Vehicle Ltd</v>
      </c>
      <c r="G22" s="242" t="e">
        <f>'Details PC'!#REF!</f>
        <v>#REF!</v>
      </c>
      <c r="L22">
        <f>'Details PC'!R24</f>
        <v>20950</v>
      </c>
      <c r="N22">
        <f>'Details PC'!S24</f>
        <v>32.299999999999997</v>
      </c>
      <c r="O22" s="411" t="str">
        <f>'Details PC'!J24</f>
        <v>MH6100801992</v>
      </c>
      <c r="P22" s="242">
        <f>'Details PC'!F24</f>
        <v>45638</v>
      </c>
      <c r="R22">
        <f>'Details PC'!T24</f>
        <v>676684.99999999988</v>
      </c>
    </row>
    <row r="23" spans="1:18" x14ac:dyDescent="0.3">
      <c r="A23">
        <v>0</v>
      </c>
      <c r="B23">
        <f>'Details PC'!B25</f>
        <v>21</v>
      </c>
      <c r="E23" t="str">
        <f>'Details PC'!H25</f>
        <v>Tata Motors Passenger Vehicle Ltd</v>
      </c>
      <c r="G23" s="242" t="e">
        <f>'Details PC'!#REF!</f>
        <v>#REF!</v>
      </c>
      <c r="L23">
        <f>'Details PC'!R25</f>
        <v>25460</v>
      </c>
      <c r="N23">
        <f>'Details PC'!S25</f>
        <v>32.299999999999997</v>
      </c>
      <c r="O23" s="411" t="str">
        <f>'Details PC'!J25</f>
        <v>MH6100801346</v>
      </c>
      <c r="P23" s="242">
        <f>'Details PC'!F25</f>
        <v>45638</v>
      </c>
      <c r="R23">
        <f>'Details PC'!T25</f>
        <v>822357.99999999988</v>
      </c>
    </row>
    <row r="24" spans="1:18" x14ac:dyDescent="0.3">
      <c r="A24">
        <v>0</v>
      </c>
      <c r="B24">
        <f>'Details PC'!B26</f>
        <v>22</v>
      </c>
      <c r="E24" t="str">
        <f>'Details PC'!H26</f>
        <v>Tata Motors Passenger Vehicle Ltd</v>
      </c>
      <c r="G24" s="242" t="e">
        <f>'Details PC'!#REF!</f>
        <v>#REF!</v>
      </c>
      <c r="L24">
        <f>'Details PC'!R26</f>
        <v>30410</v>
      </c>
      <c r="N24">
        <f>'Details PC'!S26</f>
        <v>32.299999999999997</v>
      </c>
      <c r="O24" s="411" t="str">
        <f>'Details PC'!J26</f>
        <v>MH6100802255</v>
      </c>
      <c r="P24" s="242">
        <f>'Details PC'!F26</f>
        <v>45638</v>
      </c>
      <c r="R24">
        <f>'Details PC'!T26</f>
        <v>982242.99999999988</v>
      </c>
    </row>
    <row r="25" spans="1:18" x14ac:dyDescent="0.3">
      <c r="A25">
        <v>0</v>
      </c>
      <c r="B25">
        <f>'Details PC'!B27</f>
        <v>23</v>
      </c>
      <c r="E25" t="str">
        <f>'Details PC'!H27</f>
        <v>Tata Motors Passenger Vehicle Ltd</v>
      </c>
      <c r="G25" s="242" t="e">
        <f>'Details PC'!#REF!</f>
        <v>#REF!</v>
      </c>
      <c r="L25">
        <f>'Details PC'!R27</f>
        <v>33420</v>
      </c>
      <c r="N25">
        <f>'Details PC'!S27</f>
        <v>32.299999999999997</v>
      </c>
      <c r="O25" s="411" t="str">
        <f>'Details PC'!J27</f>
        <v>MH6100805001</v>
      </c>
      <c r="P25" s="242">
        <f>'Details PC'!F27</f>
        <v>45639</v>
      </c>
      <c r="R25">
        <f>'Details PC'!T27</f>
        <v>1079466</v>
      </c>
    </row>
    <row r="26" spans="1:18" x14ac:dyDescent="0.3">
      <c r="A26">
        <v>0</v>
      </c>
      <c r="B26">
        <f>'Details PC'!B28</f>
        <v>24</v>
      </c>
      <c r="E26" t="str">
        <f>'Details PC'!H28</f>
        <v>Tata Motors Passenger Vehicle Ltd</v>
      </c>
      <c r="G26" s="242" t="e">
        <f>'Details PC'!#REF!</f>
        <v>#REF!</v>
      </c>
      <c r="L26">
        <f>'Details PC'!R28</f>
        <v>35960</v>
      </c>
      <c r="N26">
        <f>'Details PC'!S28</f>
        <v>32.299999999999997</v>
      </c>
      <c r="O26" s="411" t="str">
        <f>'Details PC'!J28</f>
        <v>MH6100806107</v>
      </c>
      <c r="P26" s="242">
        <f>'Details PC'!F28</f>
        <v>45639</v>
      </c>
      <c r="R26">
        <f>'Details PC'!T28</f>
        <v>1161508</v>
      </c>
    </row>
    <row r="27" spans="1:18" x14ac:dyDescent="0.3">
      <c r="A27">
        <v>0</v>
      </c>
      <c r="B27">
        <f>'Details PC'!B29</f>
        <v>25</v>
      </c>
      <c r="E27" t="str">
        <f>'Details PC'!H29</f>
        <v>Tata Motors Passenger Vehicle Ltd</v>
      </c>
      <c r="G27" s="242" t="e">
        <f>'Details PC'!#REF!</f>
        <v>#REF!</v>
      </c>
      <c r="L27">
        <f>'Details PC'!R29</f>
        <v>30280</v>
      </c>
      <c r="N27">
        <f>'Details PC'!S29</f>
        <v>32.299999999999997</v>
      </c>
      <c r="O27" s="411" t="str">
        <f>'Details PC'!J29</f>
        <v>MH6100805137</v>
      </c>
      <c r="P27" s="242">
        <f>'Details PC'!F29</f>
        <v>45639</v>
      </c>
      <c r="R27">
        <f>'Details PC'!T29</f>
        <v>978043.99999999988</v>
      </c>
    </row>
    <row r="28" spans="1:18" x14ac:dyDescent="0.3">
      <c r="A28">
        <v>0</v>
      </c>
      <c r="B28">
        <f>'Details PC'!B30</f>
        <v>26</v>
      </c>
      <c r="E28" t="str">
        <f>'Details PC'!H30</f>
        <v>Tata Motors Passenger Vehicle Ltd</v>
      </c>
      <c r="G28" s="242" t="e">
        <f>'Details PC'!#REF!</f>
        <v>#REF!</v>
      </c>
      <c r="L28">
        <f>'Details PC'!R30</f>
        <v>25710</v>
      </c>
      <c r="N28">
        <f>'Details PC'!S30</f>
        <v>32.299999999999997</v>
      </c>
      <c r="O28" s="411" t="str">
        <f>'Details PC'!J30</f>
        <v>MH6100804983</v>
      </c>
      <c r="P28" s="242">
        <f>'Details PC'!F30</f>
        <v>45639</v>
      </c>
      <c r="R28">
        <f>'Details PC'!T30</f>
        <v>830432.99999999988</v>
      </c>
    </row>
    <row r="29" spans="1:18" x14ac:dyDescent="0.3">
      <c r="A29">
        <v>0</v>
      </c>
      <c r="B29">
        <f>'Details PC'!B31</f>
        <v>27</v>
      </c>
      <c r="E29" t="str">
        <f>'Details PC'!H31</f>
        <v>Tata Motors Passenger Vehicle Ltd</v>
      </c>
      <c r="G29" s="242" t="e">
        <f>'Details PC'!#REF!</f>
        <v>#REF!</v>
      </c>
      <c r="L29">
        <f>'Details PC'!R31</f>
        <v>36830</v>
      </c>
      <c r="N29">
        <f>'Details PC'!S31</f>
        <v>32.299999999999997</v>
      </c>
      <c r="O29" s="411" t="str">
        <f>'Details PC'!J31</f>
        <v>MH6100815727</v>
      </c>
      <c r="P29" s="242">
        <f>'Details PC'!F31</f>
        <v>45642</v>
      </c>
      <c r="R29">
        <f>'Details PC'!T31</f>
        <v>1189609</v>
      </c>
    </row>
    <row r="30" spans="1:18" x14ac:dyDescent="0.3">
      <c r="A30">
        <v>0</v>
      </c>
      <c r="B30">
        <f>'Details PC'!B32</f>
        <v>28</v>
      </c>
      <c r="E30" t="str">
        <f>'Details PC'!H32</f>
        <v>Tata Motors Passenger Vehicle Ltd</v>
      </c>
      <c r="G30" s="242" t="e">
        <f>'Details PC'!#REF!</f>
        <v>#REF!</v>
      </c>
      <c r="L30">
        <f>'Details PC'!R32</f>
        <v>30920</v>
      </c>
      <c r="N30">
        <f>'Details PC'!S32</f>
        <v>32.299999999999997</v>
      </c>
      <c r="O30" s="411" t="str">
        <f>'Details PC'!J32</f>
        <v>MH6100816338</v>
      </c>
      <c r="P30" s="242">
        <f>'Details PC'!F32</f>
        <v>45642</v>
      </c>
      <c r="R30">
        <f>'Details PC'!T32</f>
        <v>998715.99999999988</v>
      </c>
    </row>
    <row r="31" spans="1:18" x14ac:dyDescent="0.3">
      <c r="A31">
        <v>0</v>
      </c>
      <c r="B31">
        <f>'Details PC'!B33</f>
        <v>29</v>
      </c>
      <c r="E31" t="str">
        <f>'Details PC'!H33</f>
        <v>Tata Motors Passenger Vehicle Ltd</v>
      </c>
      <c r="G31" s="242" t="e">
        <f>'Details PC'!#REF!</f>
        <v>#REF!</v>
      </c>
      <c r="L31">
        <f>'Details PC'!R33</f>
        <v>30000</v>
      </c>
      <c r="N31">
        <f>'Details PC'!S33</f>
        <v>32.299999999999997</v>
      </c>
      <c r="O31" s="411" t="str">
        <f>'Details PC'!J33</f>
        <v>MH6100815252</v>
      </c>
      <c r="P31" s="242">
        <f>'Details PC'!F33</f>
        <v>45642</v>
      </c>
      <c r="R31">
        <f>'Details PC'!T33</f>
        <v>968999.99999999988</v>
      </c>
    </row>
    <row r="32" spans="1:18" x14ac:dyDescent="0.3">
      <c r="A32">
        <v>0</v>
      </c>
      <c r="B32">
        <f>'Details PC'!B34</f>
        <v>30</v>
      </c>
      <c r="E32" t="str">
        <f>'Details PC'!H34</f>
        <v>Tata Motors Passenger Vehicle Ltd</v>
      </c>
      <c r="G32" s="242" t="e">
        <f>'Details PC'!#REF!</f>
        <v>#REF!</v>
      </c>
      <c r="L32">
        <f>'Details PC'!R34</f>
        <v>32530</v>
      </c>
      <c r="N32">
        <f>'Details PC'!S34</f>
        <v>32.299999999999997</v>
      </c>
      <c r="O32" s="411" t="str">
        <f>'Details PC'!J34</f>
        <v>MH6100815224</v>
      </c>
      <c r="P32" s="242">
        <f>'Details PC'!F34</f>
        <v>45642</v>
      </c>
      <c r="R32">
        <f>'Details PC'!T34</f>
        <v>1050719</v>
      </c>
    </row>
    <row r="33" spans="1:18" x14ac:dyDescent="0.3">
      <c r="A33">
        <v>0</v>
      </c>
      <c r="B33">
        <f>'Details PC'!B35</f>
        <v>31</v>
      </c>
      <c r="E33" t="str">
        <f>'Details PC'!H35</f>
        <v>Tata Motors Passenger Vehicle Ltd</v>
      </c>
      <c r="G33" s="242" t="e">
        <f>'Details PC'!#REF!</f>
        <v>#REF!</v>
      </c>
      <c r="L33">
        <f>'Details PC'!R35</f>
        <v>29760</v>
      </c>
      <c r="N33">
        <f>'Details PC'!S35</f>
        <v>32.299999999999997</v>
      </c>
      <c r="O33" s="411" t="str">
        <f>'Details PC'!J35</f>
        <v>MH6100815239</v>
      </c>
      <c r="P33" s="242">
        <f>'Details PC'!F35</f>
        <v>45642</v>
      </c>
      <c r="R33">
        <f>'Details PC'!T35</f>
        <v>961247.99999999988</v>
      </c>
    </row>
    <row r="34" spans="1:18" x14ac:dyDescent="0.3">
      <c r="A34">
        <v>0</v>
      </c>
      <c r="B34">
        <f>'Details PC'!B36</f>
        <v>32</v>
      </c>
      <c r="E34" t="str">
        <f>'Details PC'!H36</f>
        <v>Tata Motors Passenger Vehicle Ltd</v>
      </c>
      <c r="G34" s="242" t="e">
        <f>'Details PC'!#REF!</f>
        <v>#REF!</v>
      </c>
      <c r="L34">
        <f>'Details PC'!R36</f>
        <v>21650</v>
      </c>
      <c r="N34">
        <f>'Details PC'!S36</f>
        <v>32.299999999999997</v>
      </c>
      <c r="O34" s="411" t="str">
        <f>'Details PC'!J36</f>
        <v>MH6100816481</v>
      </c>
      <c r="P34" s="242">
        <f>'Details PC'!F36</f>
        <v>45642</v>
      </c>
      <c r="R34">
        <f>'Details PC'!T36</f>
        <v>699294.99999999988</v>
      </c>
    </row>
    <row r="35" spans="1:18" x14ac:dyDescent="0.3">
      <c r="A35">
        <v>0</v>
      </c>
      <c r="B35">
        <f>'Details PC'!B37</f>
        <v>33</v>
      </c>
      <c r="E35" t="str">
        <f>'Details PC'!H37</f>
        <v>Tata Motors Passenger Vehicle Ltd</v>
      </c>
      <c r="G35" s="242" t="e">
        <f>'Details PC'!#REF!</f>
        <v>#REF!</v>
      </c>
      <c r="L35">
        <f>'Details PC'!R37</f>
        <v>8790</v>
      </c>
      <c r="N35">
        <f>'Details PC'!S37</f>
        <v>33.121000000000002</v>
      </c>
      <c r="O35" s="411" t="str">
        <f>'Details PC'!J37</f>
        <v>MH6100839194</v>
      </c>
      <c r="P35" s="242">
        <f>'Details PC'!F37</f>
        <v>45647</v>
      </c>
      <c r="R35">
        <f>'Details PC'!T37</f>
        <v>291133.59000000003</v>
      </c>
    </row>
    <row r="36" spans="1:18" x14ac:dyDescent="0.3">
      <c r="A36">
        <v>0</v>
      </c>
      <c r="B36">
        <f>'Details PC'!B38</f>
        <v>34</v>
      </c>
      <c r="E36" t="str">
        <f>'Details PC'!H38</f>
        <v>Tata Motors Passenger Vehicle Ltd</v>
      </c>
      <c r="G36" s="242" t="e">
        <f>'Details PC'!#REF!</f>
        <v>#REF!</v>
      </c>
      <c r="L36">
        <f>'Details PC'!R38</f>
        <v>5900</v>
      </c>
      <c r="N36">
        <f>'Details PC'!S38</f>
        <v>33.121000000000002</v>
      </c>
      <c r="O36" s="411" t="str">
        <f>'Details PC'!J38</f>
        <v>MH6100849488</v>
      </c>
      <c r="P36" s="242">
        <f>'Details PC'!F38</f>
        <v>45650</v>
      </c>
      <c r="R36">
        <f>'Details PC'!T38</f>
        <v>195413.90000000002</v>
      </c>
    </row>
    <row r="37" spans="1:18" x14ac:dyDescent="0.3">
      <c r="A37">
        <v>0</v>
      </c>
      <c r="B37">
        <f>'Details PC'!B39</f>
        <v>35</v>
      </c>
      <c r="E37" t="str">
        <f>'Details PC'!H39</f>
        <v>Tata Motors Passenger Vehicle Ltd</v>
      </c>
      <c r="G37" s="242" t="e">
        <f>'Details PC'!#REF!</f>
        <v>#REF!</v>
      </c>
      <c r="L37">
        <f>'Details PC'!R39</f>
        <v>5840</v>
      </c>
      <c r="N37">
        <f>'Details PC'!S39</f>
        <v>33.121000000000002</v>
      </c>
      <c r="O37" s="411" t="str">
        <f>'Details PC'!J39</f>
        <v>MH6100872409</v>
      </c>
      <c r="P37" s="242">
        <f>'Details PC'!F39</f>
        <v>45658</v>
      </c>
      <c r="R37">
        <f>'Details PC'!T39</f>
        <v>193426.64</v>
      </c>
    </row>
    <row r="38" spans="1:18" x14ac:dyDescent="0.3">
      <c r="A38">
        <v>0</v>
      </c>
      <c r="B38">
        <f>'Details PC'!B40</f>
        <v>36</v>
      </c>
      <c r="E38" t="str">
        <f>'Details PC'!H40</f>
        <v>Tata Motors Ltd</v>
      </c>
      <c r="G38" s="242" t="e">
        <f>'Details PC'!#REF!</f>
        <v>#REF!</v>
      </c>
      <c r="L38">
        <f>'Details PC'!R40</f>
        <v>12520</v>
      </c>
      <c r="N38">
        <f>'Details PC'!S40</f>
        <v>34.110999999999997</v>
      </c>
      <c r="O38" s="411" t="str">
        <f>'Details PC'!J40</f>
        <v>MH0100930244</v>
      </c>
      <c r="P38" s="242">
        <f>'Details PC'!F40</f>
        <v>45671</v>
      </c>
      <c r="R38">
        <f>'Details PC'!T40</f>
        <v>427069.72</v>
      </c>
    </row>
    <row r="39" spans="1:18" x14ac:dyDescent="0.3">
      <c r="A39">
        <v>0</v>
      </c>
      <c r="B39">
        <f>'Details PC'!B41</f>
        <v>37</v>
      </c>
      <c r="E39" t="str">
        <f>'Details PC'!H41</f>
        <v>Tata Motors Ltd</v>
      </c>
      <c r="G39" s="242" t="e">
        <f>'Details PC'!#REF!</f>
        <v>#REF!</v>
      </c>
      <c r="L39">
        <f>'Details PC'!R41</f>
        <v>6800</v>
      </c>
      <c r="N39">
        <f>'Details PC'!S41</f>
        <v>32.121000000000002</v>
      </c>
      <c r="O39" s="411" t="str">
        <f>'Details PC'!J41</f>
        <v>MH0100935797</v>
      </c>
      <c r="P39" s="242">
        <f>'Details PC'!F41</f>
        <v>45673</v>
      </c>
      <c r="R39">
        <f>'Details PC'!T41</f>
        <v>218422.80000000002</v>
      </c>
    </row>
    <row r="40" spans="1:18" x14ac:dyDescent="0.3">
      <c r="A40">
        <v>0</v>
      </c>
      <c r="B40">
        <f>'Details PC'!B42</f>
        <v>38</v>
      </c>
      <c r="E40" t="str">
        <f>'Details PC'!H42</f>
        <v>Tata Motors Passenger Vehicle Ltd</v>
      </c>
      <c r="G40" s="242" t="e">
        <f>'Details PC'!#REF!</f>
        <v>#REF!</v>
      </c>
      <c r="L40">
        <f>'Details PC'!R42</f>
        <v>2760</v>
      </c>
      <c r="N40">
        <f>'Details PC'!S42</f>
        <v>84.521000000000001</v>
      </c>
      <c r="O40" s="411" t="str">
        <f>'Details PC'!J42</f>
        <v>MH6100933162</v>
      </c>
      <c r="P40" s="242">
        <f>'Details PC'!F42</f>
        <v>45675</v>
      </c>
      <c r="R40">
        <f>'Details PC'!T42</f>
        <v>233277.96</v>
      </c>
    </row>
    <row r="41" spans="1:18" x14ac:dyDescent="0.3">
      <c r="A41">
        <v>0</v>
      </c>
      <c r="B41">
        <f>'Details PC'!B43</f>
        <v>39</v>
      </c>
      <c r="E41" t="str">
        <f>'Details PC'!H43</f>
        <v>Tata Motors Ltd</v>
      </c>
      <c r="G41" s="242" t="e">
        <f>'Details PC'!#REF!</f>
        <v>#REF!</v>
      </c>
      <c r="L41">
        <f>'Details PC'!R43</f>
        <v>7440</v>
      </c>
      <c r="N41">
        <f>'Details PC'!S43</f>
        <v>35.110999999999997</v>
      </c>
      <c r="O41" s="411" t="str">
        <f>'Details PC'!J43</f>
        <v>MH0100963482</v>
      </c>
      <c r="P41" s="242">
        <f>'Details PC'!F43</f>
        <v>45681</v>
      </c>
      <c r="R41">
        <f>'Details PC'!T43</f>
        <v>261225.83999999997</v>
      </c>
    </row>
    <row r="42" spans="1:18" x14ac:dyDescent="0.3">
      <c r="A42">
        <v>0</v>
      </c>
      <c r="B42">
        <f>'Details PC'!B44</f>
        <v>40</v>
      </c>
      <c r="E42" t="str">
        <f>'Details PC'!H44</f>
        <v>Tata Motors Ltd</v>
      </c>
      <c r="G42" s="242" t="e">
        <f>'Details PC'!#REF!</f>
        <v>#REF!</v>
      </c>
      <c r="L42">
        <f>'Details PC'!R44</f>
        <v>8920</v>
      </c>
      <c r="N42">
        <f>'Details PC'!S44</f>
        <v>35.110999999999997</v>
      </c>
      <c r="O42" s="411" t="str">
        <f>'Details PC'!J44</f>
        <v>MH0100971251</v>
      </c>
      <c r="P42" s="242">
        <f>'Details PC'!F44</f>
        <v>45684</v>
      </c>
      <c r="R42">
        <f>'Details PC'!T44</f>
        <v>313190.12</v>
      </c>
    </row>
    <row r="43" spans="1:18" x14ac:dyDescent="0.3">
      <c r="A43">
        <v>0</v>
      </c>
      <c r="B43">
        <f>'Details PC'!B45</f>
        <v>41</v>
      </c>
      <c r="E43" t="str">
        <f>'Details PC'!H45</f>
        <v>Tata Motors Ltd</v>
      </c>
      <c r="G43" s="242" t="e">
        <f>'Details PC'!#REF!</f>
        <v>#REF!</v>
      </c>
      <c r="L43">
        <f>'Details PC'!R45</f>
        <v>7940</v>
      </c>
      <c r="N43">
        <f>'Details PC'!S45</f>
        <v>35.110999999999997</v>
      </c>
      <c r="O43" s="411" t="str">
        <f>'Details PC'!J45</f>
        <v>MH0100976626</v>
      </c>
      <c r="P43" s="242">
        <f>'Details PC'!F45</f>
        <v>45685</v>
      </c>
      <c r="R43">
        <f>'Details PC'!T45</f>
        <v>278781.33999999997</v>
      </c>
    </row>
    <row r="44" spans="1:18" x14ac:dyDescent="0.3">
      <c r="A44">
        <v>0</v>
      </c>
      <c r="B44">
        <f>'Details PC'!B46</f>
        <v>42</v>
      </c>
      <c r="E44" t="str">
        <f>'Details PC'!H46</f>
        <v>Tata Motors Ltd</v>
      </c>
      <c r="G44" s="242" t="e">
        <f>'Details PC'!#REF!</f>
        <v>#REF!</v>
      </c>
      <c r="L44">
        <f>'Details PC'!R46</f>
        <v>10240</v>
      </c>
      <c r="N44">
        <f>'Details PC'!S46</f>
        <v>35.110999999999997</v>
      </c>
      <c r="O44" s="411" t="str">
        <f>'Details PC'!J46</f>
        <v>MH0100981769</v>
      </c>
      <c r="P44" s="242">
        <f>'Details PC'!F46</f>
        <v>45686</v>
      </c>
      <c r="R44">
        <f>'Details PC'!T46</f>
        <v>359536.63999999996</v>
      </c>
    </row>
    <row r="45" spans="1:18" x14ac:dyDescent="0.3">
      <c r="A45">
        <v>0</v>
      </c>
      <c r="B45">
        <f>'Details PC'!B47</f>
        <v>43</v>
      </c>
      <c r="E45" t="str">
        <f>'Details PC'!H47</f>
        <v>Tata Motors Ltd</v>
      </c>
      <c r="G45" s="242" t="e">
        <f>'Details PC'!#REF!</f>
        <v>#REF!</v>
      </c>
      <c r="L45">
        <f>'Details PC'!R47</f>
        <v>7240</v>
      </c>
      <c r="N45">
        <f>'Details PC'!S47</f>
        <v>35.110999999999997</v>
      </c>
      <c r="O45" s="411" t="str">
        <f>'Details PC'!J47</f>
        <v>MH0100986998</v>
      </c>
      <c r="P45" s="242">
        <f>'Details PC'!F47</f>
        <v>45687</v>
      </c>
      <c r="R45">
        <f>'Details PC'!T47</f>
        <v>254203.63999999998</v>
      </c>
    </row>
    <row r="46" spans="1:18" x14ac:dyDescent="0.3">
      <c r="A46">
        <v>0</v>
      </c>
      <c r="B46">
        <f>'Details PC'!B48</f>
        <v>44</v>
      </c>
      <c r="E46" t="str">
        <f>'Details PC'!H48</f>
        <v>Tata Motors Ltd</v>
      </c>
      <c r="G46" s="242" t="e">
        <f>'Details PC'!#REF!</f>
        <v>#REF!</v>
      </c>
      <c r="L46">
        <f>'Details PC'!R48</f>
        <v>7400</v>
      </c>
      <c r="N46">
        <f>'Details PC'!S48</f>
        <v>32.121000000000002</v>
      </c>
      <c r="O46" s="411" t="str">
        <f>'Details PC'!J48</f>
        <v>MH0100986561</v>
      </c>
      <c r="P46" s="242">
        <f>'Details PC'!F48</f>
        <v>45687</v>
      </c>
      <c r="R46">
        <f>'Details PC'!T48</f>
        <v>237695.40000000002</v>
      </c>
    </row>
    <row r="47" spans="1:18" x14ac:dyDescent="0.3">
      <c r="A47">
        <v>0</v>
      </c>
      <c r="B47">
        <f>'Details PC'!B49</f>
        <v>45</v>
      </c>
      <c r="E47" t="str">
        <f>'Details PC'!H49</f>
        <v>Tata Motors Ltd</v>
      </c>
      <c r="G47" s="242" t="e">
        <f>'Details PC'!#REF!</f>
        <v>#REF!</v>
      </c>
      <c r="L47">
        <f>'Details PC'!R49</f>
        <v>8460</v>
      </c>
      <c r="N47">
        <f>'Details PC'!S49</f>
        <v>35.110999999999997</v>
      </c>
      <c r="O47" s="411" t="str">
        <f>'Details PC'!J49</f>
        <v>MH0100994937</v>
      </c>
      <c r="P47" s="242">
        <f>'Details PC'!F49</f>
        <v>45688</v>
      </c>
      <c r="R47">
        <f>'Details PC'!T49</f>
        <v>297039.06</v>
      </c>
    </row>
    <row r="48" spans="1:18" x14ac:dyDescent="0.3">
      <c r="A48">
        <v>0</v>
      </c>
      <c r="B48">
        <f>'Details PC'!B50</f>
        <v>46</v>
      </c>
      <c r="E48" t="str">
        <f>'Details PC'!H50</f>
        <v>Tata Motors Ltd</v>
      </c>
      <c r="G48" s="242" t="e">
        <f>'Details PC'!#REF!</f>
        <v>#REF!</v>
      </c>
      <c r="L48">
        <f>'Details PC'!R50</f>
        <v>6240</v>
      </c>
      <c r="N48">
        <f>'Details PC'!S50</f>
        <v>32.121000000000002</v>
      </c>
      <c r="O48" s="411" t="str">
        <f>'Details PC'!J50</f>
        <v>MH0100994936</v>
      </c>
      <c r="P48" s="242">
        <f>'Details PC'!F50</f>
        <v>45688</v>
      </c>
      <c r="R48">
        <f>'Details PC'!T50</f>
        <v>200435.04</v>
      </c>
    </row>
    <row r="49" spans="1:18" x14ac:dyDescent="0.3">
      <c r="A49">
        <v>0</v>
      </c>
      <c r="B49">
        <f>'Details PC'!B51</f>
        <v>47</v>
      </c>
      <c r="E49" t="str">
        <f>'Details PC'!H51</f>
        <v>Mahindra &amp; Mahindra Limited Automotive Division</v>
      </c>
      <c r="G49" s="242" t="e">
        <f>'Details PC'!#REF!</f>
        <v>#REF!</v>
      </c>
      <c r="L49">
        <f>'Details PC'!R51</f>
        <v>18370</v>
      </c>
      <c r="N49">
        <f>'Details PC'!S51</f>
        <v>34.1</v>
      </c>
      <c r="O49" s="411" t="str">
        <f>'Details PC'!J51</f>
        <v>IN01252703032292</v>
      </c>
      <c r="P49" s="242">
        <f>'Details PC'!F51</f>
        <v>45706</v>
      </c>
      <c r="R49">
        <f>'Details PC'!T51</f>
        <v>626417</v>
      </c>
    </row>
    <row r="50" spans="1:18" x14ac:dyDescent="0.3">
      <c r="A50">
        <v>0</v>
      </c>
      <c r="B50">
        <f>'Details PC'!B52</f>
        <v>48</v>
      </c>
      <c r="E50" t="str">
        <f>'Details PC'!H52</f>
        <v>Tata Motors Passenger Vehicle Ltd</v>
      </c>
      <c r="G50" s="242" t="e">
        <f>'Details PC'!#REF!</f>
        <v>#REF!</v>
      </c>
      <c r="L50">
        <f>'Details PC'!R52</f>
        <v>17270</v>
      </c>
      <c r="N50">
        <f>'Details PC'!S52</f>
        <v>34.521000000000001</v>
      </c>
      <c r="O50" s="411" t="str">
        <f>'Details PC'!J52</f>
        <v>MH6101047235</v>
      </c>
      <c r="P50" s="242">
        <f>'Details PC'!F52</f>
        <v>45709</v>
      </c>
      <c r="R50">
        <f>'Details PC'!T52</f>
        <v>596177.67000000004</v>
      </c>
    </row>
    <row r="51" spans="1:18" x14ac:dyDescent="0.3">
      <c r="A51">
        <v>0</v>
      </c>
      <c r="B51">
        <f>'Details PC'!B53</f>
        <v>49</v>
      </c>
      <c r="E51" t="str">
        <f>'Details PC'!H53</f>
        <v>Mother Stamping</v>
      </c>
      <c r="G51" s="242" t="e">
        <f>'Details PC'!#REF!</f>
        <v>#REF!</v>
      </c>
      <c r="L51">
        <f>'Details PC'!R53</f>
        <v>13040</v>
      </c>
      <c r="N51">
        <f>'Details PC'!S53</f>
        <v>34</v>
      </c>
      <c r="O51" s="411" t="str">
        <f>'Details PC'!J53</f>
        <v>2024-25/187</v>
      </c>
      <c r="P51" s="242">
        <f>'Details PC'!F53</f>
        <v>45741</v>
      </c>
      <c r="R51">
        <f>'Details PC'!T53</f>
        <v>443360</v>
      </c>
    </row>
    <row r="52" spans="1:18" x14ac:dyDescent="0.3">
      <c r="A52">
        <v>0</v>
      </c>
      <c r="B52">
        <f>'Details PC'!B54</f>
        <v>50</v>
      </c>
      <c r="E52" t="str">
        <f>'Details PC'!H54</f>
        <v>Tata Motors Passenger Vehicle Ltd</v>
      </c>
      <c r="G52" s="242" t="e">
        <f>'Details PC'!#REF!</f>
        <v>#REF!</v>
      </c>
      <c r="L52">
        <f>'Details PC'!R54</f>
        <v>2380</v>
      </c>
      <c r="N52">
        <f>'Details PC'!S54</f>
        <v>31.120999999999999</v>
      </c>
      <c r="O52" s="411" t="str">
        <f>'Details PC'!J54</f>
        <v>MH6100032867</v>
      </c>
      <c r="P52" s="242">
        <f>'Details PC'!F54</f>
        <v>45759</v>
      </c>
      <c r="R52">
        <f>'Details PC'!T54</f>
        <v>74067.98</v>
      </c>
    </row>
    <row r="53" spans="1:18" x14ac:dyDescent="0.3">
      <c r="A53">
        <v>0</v>
      </c>
      <c r="B53">
        <f>'Details PC'!B55</f>
        <v>51</v>
      </c>
      <c r="E53" t="str">
        <f>'Details PC'!H55</f>
        <v>Tata Motors Passenger Vehicle Ltd</v>
      </c>
      <c r="G53" s="242" t="e">
        <f>'Details PC'!#REF!</f>
        <v>#REF!</v>
      </c>
      <c r="L53">
        <f>'Details PC'!R55</f>
        <v>2490</v>
      </c>
      <c r="N53">
        <f>'Details PC'!S55</f>
        <v>31.120999999999999</v>
      </c>
      <c r="O53" s="411" t="str">
        <f>'Details PC'!J55</f>
        <v>MH6100032869</v>
      </c>
      <c r="P53" s="242">
        <f>'Details PC'!F55</f>
        <v>45759</v>
      </c>
      <c r="R53">
        <f>'Details PC'!T55</f>
        <v>77491.289999999994</v>
      </c>
    </row>
    <row r="54" spans="1:18" x14ac:dyDescent="0.3">
      <c r="A54">
        <v>0</v>
      </c>
      <c r="B54">
        <f>'Details PC'!B56</f>
        <v>52</v>
      </c>
      <c r="E54" t="str">
        <f>'Details PC'!H56</f>
        <v>Tata Motors Passenger Vehicle Ltd</v>
      </c>
      <c r="G54" s="242" t="e">
        <f>'Details PC'!#REF!</f>
        <v>#REF!</v>
      </c>
      <c r="L54">
        <f>'Details PC'!R56</f>
        <v>2900</v>
      </c>
      <c r="N54">
        <f>'Details PC'!S56</f>
        <v>31.120999999999999</v>
      </c>
      <c r="O54" s="411" t="str">
        <f>'Details PC'!J56</f>
        <v>MH6100033328</v>
      </c>
      <c r="P54" s="242">
        <f>'Details PC'!F56</f>
        <v>45759</v>
      </c>
      <c r="R54">
        <f>'Details PC'!T56</f>
        <v>90250.9</v>
      </c>
    </row>
    <row r="55" spans="1:18" x14ac:dyDescent="0.3">
      <c r="A55">
        <v>0</v>
      </c>
      <c r="B55">
        <f>'Details PC'!B57</f>
        <v>53</v>
      </c>
      <c r="E55" t="str">
        <f>'Details PC'!H57</f>
        <v>Tata Motors Passenger Vehicle Ltd</v>
      </c>
      <c r="G55" s="242" t="e">
        <f>'Details PC'!#REF!</f>
        <v>#REF!</v>
      </c>
      <c r="L55">
        <f>'Details PC'!R57</f>
        <v>18010</v>
      </c>
      <c r="N55">
        <f>'Details PC'!S57</f>
        <v>32.220999999999997</v>
      </c>
      <c r="O55" s="411" t="str">
        <f>'Details PC'!J57</f>
        <v>MH6100039365</v>
      </c>
      <c r="P55" s="242">
        <f>'Details PC'!F57</f>
        <v>45761</v>
      </c>
      <c r="R55">
        <f>'Details PC'!T57</f>
        <v>580300.21</v>
      </c>
    </row>
    <row r="56" spans="1:18" x14ac:dyDescent="0.3">
      <c r="A56">
        <v>0</v>
      </c>
      <c r="B56">
        <f>'Details PC'!B58</f>
        <v>54</v>
      </c>
      <c r="E56" t="str">
        <f>'Details PC'!H58</f>
        <v>Tata Motors Passenger Vehicle Ltd</v>
      </c>
      <c r="G56" s="242" t="e">
        <f>'Details PC'!#REF!</f>
        <v>#REF!</v>
      </c>
      <c r="L56">
        <f>'Details PC'!R58</f>
        <v>20960</v>
      </c>
      <c r="N56">
        <f>'Details PC'!S58</f>
        <v>32.220999999999997</v>
      </c>
      <c r="O56" s="411" t="str">
        <f>'Details PC'!J58</f>
        <v>MH6100039387</v>
      </c>
      <c r="P56" s="242">
        <f>'Details PC'!F58</f>
        <v>45761</v>
      </c>
      <c r="R56">
        <f>'Details PC'!T58</f>
        <v>675352.15999999992</v>
      </c>
    </row>
    <row r="57" spans="1:18" x14ac:dyDescent="0.3">
      <c r="A57">
        <v>0</v>
      </c>
      <c r="B57">
        <f>'Details PC'!B59</f>
        <v>55</v>
      </c>
      <c r="E57" t="str">
        <f>'Details PC'!H59</f>
        <v>Tata Motors Passenger Vehicle Ltd</v>
      </c>
      <c r="G57" s="242" t="e">
        <f>'Details PC'!#REF!</f>
        <v>#REF!</v>
      </c>
      <c r="L57">
        <f>'Details PC'!R59</f>
        <v>22880</v>
      </c>
      <c r="N57">
        <f>'Details PC'!S59</f>
        <v>32.220999999999997</v>
      </c>
      <c r="O57" s="411" t="str">
        <f>'Details PC'!J59</f>
        <v>MH6100039409</v>
      </c>
      <c r="P57" s="242">
        <f>'Details PC'!F59</f>
        <v>45761</v>
      </c>
      <c r="R57">
        <f>'Details PC'!T59</f>
        <v>737216.47999999986</v>
      </c>
    </row>
    <row r="58" spans="1:18" x14ac:dyDescent="0.3">
      <c r="A58">
        <v>0</v>
      </c>
      <c r="B58">
        <f>'Details PC'!B60</f>
        <v>56</v>
      </c>
      <c r="E58" t="str">
        <f>'Details PC'!H60</f>
        <v>Tata Motors Passenger Vehicle Ltd</v>
      </c>
      <c r="G58" s="242" t="e">
        <f>'Details PC'!#REF!</f>
        <v>#REF!</v>
      </c>
      <c r="L58">
        <f>'Details PC'!R60</f>
        <v>14110</v>
      </c>
      <c r="N58">
        <f>'Details PC'!S60</f>
        <v>32.220999999999997</v>
      </c>
      <c r="O58" s="411" t="str">
        <f>'Details PC'!J60</f>
        <v>MH6100039398</v>
      </c>
      <c r="P58" s="242">
        <f>'Details PC'!F60</f>
        <v>45761</v>
      </c>
      <c r="R58">
        <f>'Details PC'!T60</f>
        <v>454638.30999999994</v>
      </c>
    </row>
    <row r="59" spans="1:18" x14ac:dyDescent="0.3">
      <c r="A59">
        <v>0</v>
      </c>
      <c r="B59">
        <f>'Details PC'!B61</f>
        <v>57</v>
      </c>
      <c r="E59" t="str">
        <f>'Details PC'!H61</f>
        <v>Tata Motors Ltd</v>
      </c>
      <c r="G59" s="242" t="e">
        <f>'Details PC'!#REF!</f>
        <v>#REF!</v>
      </c>
      <c r="L59">
        <f>'Details PC'!R61</f>
        <v>5020</v>
      </c>
      <c r="N59">
        <f>'Details PC'!S61</f>
        <v>30.151</v>
      </c>
      <c r="O59" s="411" t="str">
        <f>'Details PC'!J61</f>
        <v>MH0100036957</v>
      </c>
      <c r="P59" s="242">
        <f>'Details PC'!F61</f>
        <v>45763</v>
      </c>
      <c r="R59">
        <f>'Details PC'!T61</f>
        <v>151358.01999999999</v>
      </c>
    </row>
    <row r="60" spans="1:18" x14ac:dyDescent="0.3">
      <c r="A60">
        <v>0</v>
      </c>
      <c r="B60">
        <f>'Details PC'!B62</f>
        <v>58</v>
      </c>
      <c r="E60" t="str">
        <f>'Details PC'!H62</f>
        <v>Tata Motors Ltd</v>
      </c>
      <c r="G60" s="242" t="e">
        <f>'Details PC'!#REF!</f>
        <v>#REF!</v>
      </c>
      <c r="L60">
        <f>'Details PC'!R62</f>
        <v>5200</v>
      </c>
      <c r="N60">
        <f>'Details PC'!S62</f>
        <v>30.151</v>
      </c>
      <c r="O60" s="411" t="str">
        <f>'Details PC'!J62</f>
        <v>MH0100037186</v>
      </c>
      <c r="P60" s="242">
        <f>'Details PC'!F62</f>
        <v>45763</v>
      </c>
      <c r="R60">
        <f>'Details PC'!T62</f>
        <v>156785.20000000001</v>
      </c>
    </row>
    <row r="61" spans="1:18" x14ac:dyDescent="0.3">
      <c r="A61">
        <v>0</v>
      </c>
      <c r="B61">
        <f>'Details PC'!B63</f>
        <v>59</v>
      </c>
      <c r="E61" t="str">
        <f>'Details PC'!H63</f>
        <v>Tata Motors Passenger Vehicle Ltd</v>
      </c>
      <c r="G61" s="242" t="e">
        <f>'Details PC'!#REF!</f>
        <v>#REF!</v>
      </c>
      <c r="L61">
        <f>'Details PC'!R63</f>
        <v>10770</v>
      </c>
      <c r="N61">
        <f>'Details PC'!S63</f>
        <v>32.220999999999997</v>
      </c>
      <c r="O61" s="411" t="str">
        <f>'Details PC'!J63</f>
        <v>MH6100053369</v>
      </c>
      <c r="P61" s="242">
        <f>'Details PC'!F63</f>
        <v>45765</v>
      </c>
      <c r="R61">
        <f>'Details PC'!T63</f>
        <v>347020.17</v>
      </c>
    </row>
    <row r="62" spans="1:18" x14ac:dyDescent="0.3">
      <c r="A62">
        <v>0</v>
      </c>
      <c r="B62">
        <f>'Details PC'!B64</f>
        <v>60</v>
      </c>
      <c r="E62" t="str">
        <f>'Details PC'!H64</f>
        <v>Tata Motors Passenger Vehicle Ltd</v>
      </c>
      <c r="G62" s="242" t="e">
        <f>'Details PC'!#REF!</f>
        <v>#REF!</v>
      </c>
      <c r="L62">
        <f>'Details PC'!R64</f>
        <v>24180</v>
      </c>
      <c r="N62">
        <f>'Details PC'!S64</f>
        <v>32.220999999999997</v>
      </c>
      <c r="O62" s="411" t="str">
        <f>'Details PC'!J64</f>
        <v>MH6100053342</v>
      </c>
      <c r="P62" s="242">
        <f>'Details PC'!F64</f>
        <v>45765</v>
      </c>
      <c r="R62">
        <f>'Details PC'!T64</f>
        <v>779103.77999999991</v>
      </c>
    </row>
    <row r="63" spans="1:18" x14ac:dyDescent="0.3">
      <c r="A63">
        <v>0</v>
      </c>
      <c r="B63">
        <f>'Details PC'!B65</f>
        <v>61</v>
      </c>
      <c r="E63" t="str">
        <f>'Details PC'!H65</f>
        <v>Tata Motors Passenger Vehicle Ltd</v>
      </c>
      <c r="G63" s="242" t="e">
        <f>'Details PC'!#REF!</f>
        <v>#REF!</v>
      </c>
      <c r="L63">
        <f>'Details PC'!R65</f>
        <v>25150</v>
      </c>
      <c r="N63">
        <f>'Details PC'!S65</f>
        <v>32.220999999999997</v>
      </c>
      <c r="O63" s="411" t="str">
        <f>'Details PC'!J65</f>
        <v>MH6100053345</v>
      </c>
      <c r="P63" s="242">
        <f>'Details PC'!F65</f>
        <v>45765</v>
      </c>
      <c r="R63">
        <f>'Details PC'!T65</f>
        <v>810358.14999999991</v>
      </c>
    </row>
    <row r="64" spans="1:18" x14ac:dyDescent="0.3">
      <c r="A64">
        <v>0</v>
      </c>
      <c r="B64">
        <f>'Details PC'!B66</f>
        <v>62</v>
      </c>
      <c r="E64" t="str">
        <f>'Details PC'!H66</f>
        <v>Tata Motors Passenger Vehicle Ltd</v>
      </c>
      <c r="G64" s="242" t="e">
        <f>'Details PC'!#REF!</f>
        <v>#REF!</v>
      </c>
      <c r="L64">
        <f>'Details PC'!R66</f>
        <v>2920</v>
      </c>
      <c r="N64">
        <f>'Details PC'!S66</f>
        <v>31.120999999999999</v>
      </c>
      <c r="O64" s="411" t="str">
        <f>'Details PC'!J66</f>
        <v>MH6100055585</v>
      </c>
      <c r="P64" s="242">
        <f>'Details PC'!F66</f>
        <v>45766</v>
      </c>
      <c r="R64">
        <f>'Details PC'!T66</f>
        <v>90873.319999999992</v>
      </c>
    </row>
    <row r="65" spans="1:18" x14ac:dyDescent="0.3">
      <c r="A65">
        <v>0</v>
      </c>
      <c r="B65">
        <f>'Details PC'!B67</f>
        <v>63</v>
      </c>
      <c r="E65" t="str">
        <f>'Details PC'!H67</f>
        <v>Tata Motors Passenger Vehicle Ltd</v>
      </c>
      <c r="G65" s="242" t="e">
        <f>'Details PC'!#REF!</f>
        <v>#REF!</v>
      </c>
      <c r="L65">
        <f>'Details PC'!R67</f>
        <v>3040</v>
      </c>
      <c r="N65">
        <f>'Details PC'!S67</f>
        <v>31.120999999999999</v>
      </c>
      <c r="O65" s="411" t="str">
        <f>'Details PC'!J67</f>
        <v>MH6100056182</v>
      </c>
      <c r="P65" s="242">
        <f>'Details PC'!F67</f>
        <v>45766</v>
      </c>
      <c r="R65">
        <f>'Details PC'!T67</f>
        <v>94607.84</v>
      </c>
    </row>
    <row r="66" spans="1:18" x14ac:dyDescent="0.3">
      <c r="A66">
        <v>0</v>
      </c>
      <c r="B66">
        <f>'Details PC'!B68</f>
        <v>64</v>
      </c>
      <c r="E66" t="str">
        <f>'Details PC'!H68</f>
        <v>Tata Motors Passenger Vehicle Ltd</v>
      </c>
      <c r="G66" s="242" t="e">
        <f>'Details PC'!#REF!</f>
        <v>#REF!</v>
      </c>
      <c r="L66">
        <f>'Details PC'!R68</f>
        <v>3250</v>
      </c>
      <c r="N66">
        <f>'Details PC'!S68</f>
        <v>31.120999999999999</v>
      </c>
      <c r="O66" s="411" t="str">
        <f>'Details PC'!J68</f>
        <v>MH6100059896</v>
      </c>
      <c r="P66" s="242">
        <f>'Details PC'!F68</f>
        <v>45768</v>
      </c>
      <c r="R66">
        <f>'Details PC'!T68</f>
        <v>101143.25</v>
      </c>
    </row>
    <row r="67" spans="1:18" x14ac:dyDescent="0.3">
      <c r="A67">
        <v>0</v>
      </c>
      <c r="B67">
        <f>'Details PC'!B69</f>
        <v>65</v>
      </c>
      <c r="E67" t="str">
        <f>'Details PC'!H69</f>
        <v>Tata Motors Passenger Vehicle Ltd</v>
      </c>
      <c r="G67" s="242" t="e">
        <f>'Details PC'!#REF!</f>
        <v>#REF!</v>
      </c>
      <c r="L67">
        <f>'Details PC'!R69</f>
        <v>3260</v>
      </c>
      <c r="N67">
        <f>'Details PC'!S69</f>
        <v>31.120999999999999</v>
      </c>
      <c r="O67" s="411" t="str">
        <f>'Details PC'!J69</f>
        <v>MH6100060279</v>
      </c>
      <c r="P67" s="242">
        <f>'Details PC'!F69</f>
        <v>45768</v>
      </c>
      <c r="R67">
        <f>'Details PC'!T69</f>
        <v>101454.45999999999</v>
      </c>
    </row>
    <row r="68" spans="1:18" x14ac:dyDescent="0.3">
      <c r="A68">
        <v>0</v>
      </c>
      <c r="B68">
        <f>'Details PC'!B70</f>
        <v>66</v>
      </c>
      <c r="E68" t="str">
        <f>'Details PC'!H70</f>
        <v>Tata Motors Passenger Vehicle Ltd</v>
      </c>
      <c r="G68" s="242" t="e">
        <f>'Details PC'!#REF!</f>
        <v>#REF!</v>
      </c>
      <c r="L68">
        <f>'Details PC'!R70</f>
        <v>2580</v>
      </c>
      <c r="N68">
        <f>'Details PC'!S70</f>
        <v>31.120999999999999</v>
      </c>
      <c r="O68" s="411" t="str">
        <f>'Details PC'!J70</f>
        <v>MH6100083755</v>
      </c>
      <c r="P68" s="242">
        <f>'Details PC'!F70</f>
        <v>45775</v>
      </c>
      <c r="R68">
        <f>'Details PC'!T70</f>
        <v>80292.179999999993</v>
      </c>
    </row>
    <row r="69" spans="1:18" x14ac:dyDescent="0.3">
      <c r="A69">
        <v>0</v>
      </c>
      <c r="B69">
        <f>'Details PC'!B71</f>
        <v>67</v>
      </c>
      <c r="E69" t="str">
        <f>'Details PC'!H71</f>
        <v>Tata Motors Passenger Vehicle Ltd</v>
      </c>
      <c r="G69" s="242" t="e">
        <f>'Details PC'!#REF!</f>
        <v>#REF!</v>
      </c>
      <c r="L69">
        <f>'Details PC'!R71</f>
        <v>3330</v>
      </c>
      <c r="N69">
        <f>'Details PC'!S71</f>
        <v>31.120999999999999</v>
      </c>
      <c r="O69" s="411" t="str">
        <f>'Details PC'!J71</f>
        <v>MH6100084150</v>
      </c>
      <c r="P69" s="242">
        <f>'Details PC'!F71</f>
        <v>45775</v>
      </c>
      <c r="R69">
        <f>'Details PC'!T71</f>
        <v>103632.93</v>
      </c>
    </row>
    <row r="70" spans="1:18" x14ac:dyDescent="0.3">
      <c r="A70">
        <v>0</v>
      </c>
      <c r="B70">
        <f>'Details PC'!B72</f>
        <v>68</v>
      </c>
      <c r="E70" t="str">
        <f>'Details PC'!H72</f>
        <v>Tata Motors Ltd</v>
      </c>
      <c r="G70" s="242" t="e">
        <f>'Details PC'!#REF!</f>
        <v>#REF!</v>
      </c>
      <c r="L70">
        <f>'Details PC'!R72</f>
        <v>4640</v>
      </c>
      <c r="N70">
        <f>'Details PC'!S72</f>
        <v>30.151</v>
      </c>
      <c r="O70" s="411" t="str">
        <f>'Details PC'!J72</f>
        <v>MH0100080683</v>
      </c>
      <c r="P70" s="242">
        <f>'Details PC'!F72</f>
        <v>45776</v>
      </c>
      <c r="R70">
        <f>'Details PC'!T72</f>
        <v>139900.63999999998</v>
      </c>
    </row>
    <row r="71" spans="1:18" x14ac:dyDescent="0.3">
      <c r="A71">
        <v>0</v>
      </c>
      <c r="B71">
        <f>'Details PC'!B73</f>
        <v>69</v>
      </c>
      <c r="E71" t="str">
        <f>'Details PC'!H73</f>
        <v>Tata Motors Ltd</v>
      </c>
      <c r="G71" s="242" t="e">
        <f>'Details PC'!#REF!</f>
        <v>#REF!</v>
      </c>
      <c r="L71">
        <f>'Details PC'!R73</f>
        <v>4260</v>
      </c>
      <c r="N71">
        <f>'Details PC'!S73</f>
        <v>30.151</v>
      </c>
      <c r="O71" s="411" t="str">
        <f>'Details PC'!J73</f>
        <v>MH0100079674</v>
      </c>
      <c r="P71" s="242">
        <f>'Details PC'!F73</f>
        <v>45776</v>
      </c>
      <c r="R71">
        <f>'Details PC'!T73</f>
        <v>128443.26</v>
      </c>
    </row>
    <row r="72" spans="1:18" x14ac:dyDescent="0.3">
      <c r="A72">
        <v>0</v>
      </c>
      <c r="B72">
        <f>'Details PC'!B74</f>
        <v>70</v>
      </c>
      <c r="E72" t="str">
        <f>'Details PC'!H74</f>
        <v>Tata Motors Passenger Vehicle Ltd</v>
      </c>
      <c r="G72" s="242" t="e">
        <f>'Details PC'!#REF!</f>
        <v>#REF!</v>
      </c>
      <c r="L72">
        <f>'Details PC'!R74</f>
        <v>2440</v>
      </c>
      <c r="N72">
        <f>'Details PC'!S74</f>
        <v>31.120999999999999</v>
      </c>
      <c r="O72" s="411" t="str">
        <f>'Details PC'!J74</f>
        <v>MH6100099017</v>
      </c>
      <c r="P72" s="242">
        <f>'Details PC'!F74</f>
        <v>45779</v>
      </c>
      <c r="R72">
        <f>'Details PC'!T74</f>
        <v>75935.239999999991</v>
      </c>
    </row>
    <row r="73" spans="1:18" x14ac:dyDescent="0.3">
      <c r="A73">
        <v>0</v>
      </c>
      <c r="B73">
        <f>'Details PC'!B75</f>
        <v>71</v>
      </c>
      <c r="E73" t="str">
        <f>'Details PC'!H75</f>
        <v>Tata Motors Passenger Vehicle Ltd</v>
      </c>
      <c r="G73" s="242" t="e">
        <f>'Details PC'!#REF!</f>
        <v>#REF!</v>
      </c>
      <c r="L73">
        <f>'Details PC'!R75</f>
        <v>2690</v>
      </c>
      <c r="N73">
        <f>'Details PC'!S75</f>
        <v>31.120999999999999</v>
      </c>
      <c r="O73" s="411" t="str">
        <f>'Details PC'!J75</f>
        <v>MH6100099024</v>
      </c>
      <c r="P73" s="242">
        <f>'Details PC'!F75</f>
        <v>45779</v>
      </c>
      <c r="R73">
        <f>'Details PC'!T75</f>
        <v>83715.489999999991</v>
      </c>
    </row>
    <row r="74" spans="1:18" x14ac:dyDescent="0.3">
      <c r="A74">
        <v>0</v>
      </c>
      <c r="B74">
        <f>'Details PC'!B76</f>
        <v>72</v>
      </c>
      <c r="E74" t="str">
        <f>'Details PC'!H76</f>
        <v>Tata Motors Passenger Vehicle Ltd</v>
      </c>
      <c r="G74" s="242" t="e">
        <f>'Details PC'!#REF!</f>
        <v>#REF!</v>
      </c>
      <c r="L74">
        <f>'Details PC'!R76</f>
        <v>3120</v>
      </c>
      <c r="N74">
        <f>'Details PC'!S76</f>
        <v>31.120999999999999</v>
      </c>
      <c r="O74" s="411" t="str">
        <f>'Details PC'!J76</f>
        <v>MH6100099176</v>
      </c>
      <c r="P74" s="242">
        <f>'Details PC'!F76</f>
        <v>45779</v>
      </c>
      <c r="R74">
        <f>'Details PC'!T76</f>
        <v>97097.51999999999</v>
      </c>
    </row>
    <row r="75" spans="1:18" x14ac:dyDescent="0.3">
      <c r="A75">
        <v>0</v>
      </c>
      <c r="B75">
        <f>'Details PC'!B77</f>
        <v>73</v>
      </c>
      <c r="E75" t="str">
        <f>'Details PC'!H77</f>
        <v>Tata Motors Passenger Vehicle Ltd</v>
      </c>
      <c r="G75" s="242" t="e">
        <f>'Details PC'!#REF!</f>
        <v>#REF!</v>
      </c>
      <c r="L75">
        <f>'Details PC'!R77</f>
        <v>3030</v>
      </c>
      <c r="N75">
        <f>'Details PC'!S77</f>
        <v>31.120999999999999</v>
      </c>
      <c r="O75" s="411" t="str">
        <f>'Details PC'!J77</f>
        <v>MH6100102261</v>
      </c>
      <c r="P75" s="242">
        <f>'Details PC'!F77</f>
        <v>45780</v>
      </c>
      <c r="R75">
        <f>'Details PC'!T77</f>
        <v>94296.62999999999</v>
      </c>
    </row>
    <row r="76" spans="1:18" x14ac:dyDescent="0.3">
      <c r="A76">
        <v>0</v>
      </c>
      <c r="B76">
        <f>'Details PC'!B78</f>
        <v>74</v>
      </c>
      <c r="E76" t="str">
        <f>'Details PC'!H78</f>
        <v>Tata Motors Passenger Vehicle Ltd</v>
      </c>
      <c r="G76" s="242" t="e">
        <f>'Details PC'!#REF!</f>
        <v>#REF!</v>
      </c>
      <c r="L76">
        <f>'Details PC'!R78</f>
        <v>2970</v>
      </c>
      <c r="N76">
        <f>'Details PC'!S78</f>
        <v>31.120999999999999</v>
      </c>
      <c r="O76" s="411" t="str">
        <f>'Details PC'!J78</f>
        <v>MH6100102937</v>
      </c>
      <c r="P76" s="242">
        <f>'Details PC'!F78</f>
        <v>45780</v>
      </c>
      <c r="R76">
        <f>'Details PC'!T78</f>
        <v>92429.37</v>
      </c>
    </row>
    <row r="77" spans="1:18" x14ac:dyDescent="0.3">
      <c r="A77">
        <v>0</v>
      </c>
      <c r="B77">
        <f>'Details PC'!B79</f>
        <v>75</v>
      </c>
      <c r="E77" t="str">
        <f>'Details PC'!H79</f>
        <v>SUYASH INDUSTRIES</v>
      </c>
      <c r="G77" s="242" t="e">
        <f>'Details PC'!#REF!</f>
        <v>#REF!</v>
      </c>
      <c r="L77">
        <f>'Details PC'!R79</f>
        <v>7470</v>
      </c>
      <c r="N77">
        <f>'Details PC'!S79</f>
        <v>36</v>
      </c>
      <c r="O77" s="411">
        <f>'Details PC'!J79</f>
        <v>594</v>
      </c>
      <c r="P77" s="242">
        <f>'Details PC'!F79</f>
        <v>45782</v>
      </c>
      <c r="R77">
        <f>'Details PC'!T79</f>
        <v>268920</v>
      </c>
    </row>
    <row r="78" spans="1:18" x14ac:dyDescent="0.3">
      <c r="A78">
        <v>0</v>
      </c>
      <c r="B78">
        <f>'Details PC'!B80</f>
        <v>76</v>
      </c>
      <c r="E78" t="str">
        <f>'Details PC'!H80</f>
        <v>Tata Motors Passenger Vehicle Ltd</v>
      </c>
      <c r="G78" s="242" t="e">
        <f>'Details PC'!#REF!</f>
        <v>#REF!</v>
      </c>
      <c r="L78">
        <f>'Details PC'!R80</f>
        <v>3110</v>
      </c>
      <c r="N78">
        <f>'Details PC'!S80</f>
        <v>31.120999999999999</v>
      </c>
      <c r="O78" s="411" t="str">
        <f>'Details PC'!J80</f>
        <v>MH6100109888</v>
      </c>
      <c r="P78" s="242">
        <f>'Details PC'!F80</f>
        <v>45783</v>
      </c>
      <c r="R78">
        <f>'Details PC'!T80</f>
        <v>96786.31</v>
      </c>
    </row>
    <row r="79" spans="1:18" x14ac:dyDescent="0.3">
      <c r="A79">
        <v>0</v>
      </c>
      <c r="B79">
        <f>'Details PC'!B81</f>
        <v>77</v>
      </c>
      <c r="E79" t="str">
        <f>'Details PC'!H81</f>
        <v>Tata Motors Passenger Vehicle Ltd</v>
      </c>
      <c r="G79" s="242" t="e">
        <f>'Details PC'!#REF!</f>
        <v>#REF!</v>
      </c>
      <c r="L79">
        <f>'Details PC'!R81</f>
        <v>4160</v>
      </c>
      <c r="N79">
        <f>'Details PC'!S81</f>
        <v>31.120999999999999</v>
      </c>
      <c r="O79" s="411" t="str">
        <f>'Details PC'!J81</f>
        <v>MH6100110459</v>
      </c>
      <c r="P79" s="242">
        <f>'Details PC'!F81</f>
        <v>45783</v>
      </c>
      <c r="R79">
        <f>'Details PC'!T81</f>
        <v>129463.36</v>
      </c>
    </row>
    <row r="80" spans="1:18" x14ac:dyDescent="0.3">
      <c r="A80">
        <v>0</v>
      </c>
      <c r="B80">
        <f>'Details PC'!B82</f>
        <v>78</v>
      </c>
      <c r="E80" t="str">
        <f>'Details PC'!H82</f>
        <v>Tata Motors Passenger Vehicle Ltd</v>
      </c>
      <c r="G80" s="242" t="e">
        <f>'Details PC'!#REF!</f>
        <v>#REF!</v>
      </c>
      <c r="L80">
        <f>'Details PC'!R82</f>
        <v>2320</v>
      </c>
      <c r="N80">
        <f>'Details PC'!S82</f>
        <v>31.120999999999999</v>
      </c>
      <c r="O80" s="411" t="str">
        <f>'Details PC'!J82</f>
        <v>MH6100117271</v>
      </c>
      <c r="P80" s="242">
        <f>'Details PC'!F82</f>
        <v>45785</v>
      </c>
      <c r="R80">
        <f>'Details PC'!T82</f>
        <v>72200.72</v>
      </c>
    </row>
    <row r="81" spans="1:18" x14ac:dyDescent="0.3">
      <c r="A81">
        <v>0</v>
      </c>
      <c r="B81">
        <f>'Details PC'!B83</f>
        <v>79</v>
      </c>
      <c r="E81" t="str">
        <f>'Details PC'!H83</f>
        <v>Tata Motors Ltd</v>
      </c>
      <c r="G81" s="242" t="e">
        <f>'Details PC'!#REF!</f>
        <v>#REF!</v>
      </c>
      <c r="L81">
        <f>'Details PC'!R83</f>
        <v>4560</v>
      </c>
      <c r="N81">
        <f>'Details PC'!S83</f>
        <v>30.151</v>
      </c>
      <c r="O81" s="411" t="str">
        <f>'Details PC'!J83</f>
        <v>MH0100114662</v>
      </c>
      <c r="P81" s="242">
        <f>'Details PC'!F83</f>
        <v>45786</v>
      </c>
      <c r="R81">
        <f>'Details PC'!T83</f>
        <v>137488.56</v>
      </c>
    </row>
    <row r="82" spans="1:18" x14ac:dyDescent="0.3">
      <c r="A82">
        <v>0</v>
      </c>
      <c r="B82">
        <f>'Details PC'!B84</f>
        <v>80</v>
      </c>
      <c r="E82" t="str">
        <f>'Details PC'!H84</f>
        <v>Tata Motors Passenger Vehicle Ltd</v>
      </c>
      <c r="G82" s="242" t="e">
        <f>'Details PC'!#REF!</f>
        <v>#REF!</v>
      </c>
      <c r="L82">
        <f>'Details PC'!R84</f>
        <v>2520</v>
      </c>
      <c r="N82">
        <f>'Details PC'!S84</f>
        <v>31.120999999999999</v>
      </c>
      <c r="O82" s="411" t="str">
        <f>'Details PC'!J84</f>
        <v>MH6100135639</v>
      </c>
      <c r="P82" s="242">
        <f>'Details PC'!F84</f>
        <v>45791</v>
      </c>
      <c r="R82">
        <f>'Details PC'!T84</f>
        <v>78424.92</v>
      </c>
    </row>
    <row r="83" spans="1:18" x14ac:dyDescent="0.3">
      <c r="A83">
        <v>0</v>
      </c>
      <c r="B83">
        <f>'Details PC'!B85</f>
        <v>81</v>
      </c>
      <c r="E83" t="str">
        <f>'Details PC'!H85</f>
        <v>Tata Motors Passenger Vehicle Ltd</v>
      </c>
      <c r="G83" s="242" t="e">
        <f>'Details PC'!#REF!</f>
        <v>#REF!</v>
      </c>
      <c r="L83">
        <f>'Details PC'!R85</f>
        <v>2450</v>
      </c>
      <c r="N83">
        <f>'Details PC'!S85</f>
        <v>31.120999999999999</v>
      </c>
      <c r="O83" s="411" t="str">
        <f>'Details PC'!J85</f>
        <v>MH6100135881</v>
      </c>
      <c r="P83" s="242">
        <f>'Details PC'!F85</f>
        <v>45791</v>
      </c>
      <c r="R83">
        <f>'Details PC'!T85</f>
        <v>76246.45</v>
      </c>
    </row>
    <row r="84" spans="1:18" x14ac:dyDescent="0.3">
      <c r="A84">
        <v>0</v>
      </c>
      <c r="B84">
        <f>'Details PC'!B86</f>
        <v>82</v>
      </c>
      <c r="E84" t="str">
        <f>'Details PC'!H86</f>
        <v>Tata Motors Passenger Vehicle Ltd</v>
      </c>
      <c r="G84" s="242" t="e">
        <f>'Details PC'!#REF!</f>
        <v>#REF!</v>
      </c>
      <c r="L84">
        <f>'Details PC'!R86</f>
        <v>3060</v>
      </c>
      <c r="N84">
        <f>'Details PC'!S86</f>
        <v>31.120999999999999</v>
      </c>
      <c r="O84" s="411" t="str">
        <f>'Details PC'!J86</f>
        <v>MH6100143150</v>
      </c>
      <c r="P84" s="242">
        <f>'Details PC'!F86</f>
        <v>45793</v>
      </c>
      <c r="R84">
        <f>'Details PC'!T86</f>
        <v>95230.26</v>
      </c>
    </row>
    <row r="85" spans="1:18" x14ac:dyDescent="0.3">
      <c r="A85">
        <v>0</v>
      </c>
      <c r="B85">
        <f>'Details PC'!B87</f>
        <v>83</v>
      </c>
      <c r="E85" t="str">
        <f>'Details PC'!H87</f>
        <v>Tata Motors Passenger Vehicle Ltd</v>
      </c>
      <c r="G85" s="242" t="e">
        <f>'Details PC'!#REF!</f>
        <v>#REF!</v>
      </c>
      <c r="L85">
        <f>'Details PC'!R87</f>
        <v>2650</v>
      </c>
      <c r="N85">
        <f>'Details PC'!S87</f>
        <v>31.120999999999999</v>
      </c>
      <c r="O85" s="411" t="str">
        <f>'Details PC'!J87</f>
        <v>MH6100142704</v>
      </c>
      <c r="P85" s="242">
        <f>'Details PC'!F87</f>
        <v>45793</v>
      </c>
      <c r="R85">
        <f>'Details PC'!T87</f>
        <v>82470.649999999994</v>
      </c>
    </row>
    <row r="86" spans="1:18" x14ac:dyDescent="0.3">
      <c r="A86">
        <v>0</v>
      </c>
      <c r="B86">
        <f>'Details PC'!B88</f>
        <v>84</v>
      </c>
      <c r="E86" t="str">
        <f>'Details PC'!H88</f>
        <v>Tata Motors Ltd</v>
      </c>
      <c r="G86" s="242" t="e">
        <f>'Details PC'!#REF!</f>
        <v>#REF!</v>
      </c>
      <c r="L86">
        <f>'Details PC'!R88</f>
        <v>5060</v>
      </c>
      <c r="N86">
        <f>'Details PC'!S88</f>
        <v>30.151</v>
      </c>
      <c r="O86" s="411" t="str">
        <f>'Details PC'!J88</f>
        <v>MH0100138293</v>
      </c>
      <c r="P86" s="242">
        <f>'Details PC'!F88</f>
        <v>45794</v>
      </c>
      <c r="R86">
        <f>'Details PC'!T88</f>
        <v>152564.06</v>
      </c>
    </row>
    <row r="87" spans="1:18" x14ac:dyDescent="0.3">
      <c r="A87">
        <v>0</v>
      </c>
      <c r="B87">
        <f>'Details PC'!B89</f>
        <v>85</v>
      </c>
      <c r="E87" t="str">
        <f>'Details PC'!H89</f>
        <v>Tata Motors Passenger Vehicle Ltd</v>
      </c>
      <c r="G87" s="242" t="e">
        <f>'Details PC'!#REF!</f>
        <v>#REF!</v>
      </c>
      <c r="L87">
        <f>'Details PC'!R89</f>
        <v>2260</v>
      </c>
      <c r="N87">
        <f>'Details PC'!S89</f>
        <v>31.120999999999999</v>
      </c>
      <c r="O87" s="411" t="str">
        <f>'Details PC'!J89</f>
        <v>MH6100151811</v>
      </c>
      <c r="P87" s="242">
        <f>'Details PC'!F89</f>
        <v>45796</v>
      </c>
      <c r="R87">
        <f>'Details PC'!T89</f>
        <v>70333.459999999992</v>
      </c>
    </row>
    <row r="88" spans="1:18" x14ac:dyDescent="0.3">
      <c r="A88">
        <v>0</v>
      </c>
      <c r="B88">
        <f>'Details PC'!B90</f>
        <v>86</v>
      </c>
      <c r="E88" t="str">
        <f>'Details PC'!H90</f>
        <v>Tata Motors Passenger Vehicle Ltd</v>
      </c>
      <c r="G88" s="242" t="e">
        <f>'Details PC'!#REF!</f>
        <v>#REF!</v>
      </c>
      <c r="L88">
        <f>'Details PC'!R90</f>
        <v>3610</v>
      </c>
      <c r="N88">
        <f>'Details PC'!S90</f>
        <v>31.120999999999999</v>
      </c>
      <c r="O88" s="411" t="str">
        <f>'Details PC'!J90</f>
        <v>MH6100162608</v>
      </c>
      <c r="P88" s="242">
        <f>'Details PC'!F90</f>
        <v>45799</v>
      </c>
      <c r="R88">
        <f>'Details PC'!T90</f>
        <v>112346.81</v>
      </c>
    </row>
    <row r="89" spans="1:18" x14ac:dyDescent="0.3">
      <c r="A89">
        <v>0</v>
      </c>
      <c r="B89">
        <f>'Details PC'!B91</f>
        <v>87</v>
      </c>
      <c r="E89" t="str">
        <f>'Details PC'!H91</f>
        <v>Tata Motors Passenger Vehicle Ltd</v>
      </c>
      <c r="G89" s="242" t="e">
        <f>'Details PC'!#REF!</f>
        <v>#REF!</v>
      </c>
      <c r="L89">
        <f>'Details PC'!R91</f>
        <v>2520</v>
      </c>
      <c r="N89">
        <f>'Details PC'!S91</f>
        <v>31.120999999999999</v>
      </c>
      <c r="O89" s="411" t="str">
        <f>'Details PC'!J91</f>
        <v>MH6100165666</v>
      </c>
      <c r="P89" s="242">
        <f>'Details PC'!F91</f>
        <v>45800</v>
      </c>
      <c r="R89">
        <f>'Details PC'!T91</f>
        <v>78424.92</v>
      </c>
    </row>
    <row r="90" spans="1:18" x14ac:dyDescent="0.3">
      <c r="A90">
        <v>0</v>
      </c>
      <c r="B90">
        <f>'Details PC'!B92</f>
        <v>88</v>
      </c>
      <c r="E90" t="str">
        <f>'Details PC'!H92</f>
        <v>Tata Motors Passenger Vehicle Ltd</v>
      </c>
      <c r="G90" s="242" t="e">
        <f>'Details PC'!#REF!</f>
        <v>#REF!</v>
      </c>
      <c r="L90">
        <f>'Details PC'!R92</f>
        <v>3410</v>
      </c>
      <c r="N90">
        <f>'Details PC'!S92</f>
        <v>31.120999999999999</v>
      </c>
      <c r="O90" s="411" t="str">
        <f>'Details PC'!J92</f>
        <v>MH6100166138</v>
      </c>
      <c r="P90" s="242">
        <f>'Details PC'!F92</f>
        <v>45800</v>
      </c>
      <c r="R90">
        <f>'Details PC'!T92</f>
        <v>106122.61</v>
      </c>
    </row>
    <row r="91" spans="1:18" x14ac:dyDescent="0.3">
      <c r="A91">
        <v>0</v>
      </c>
      <c r="B91">
        <f>'Details PC'!B93</f>
        <v>89</v>
      </c>
      <c r="E91" t="str">
        <f>'Details PC'!H93</f>
        <v>Tata Motors Passenger Vehicle Ltd</v>
      </c>
      <c r="G91" s="242" t="e">
        <f>'Details PC'!#REF!</f>
        <v>#REF!</v>
      </c>
      <c r="L91">
        <f>'Details PC'!R93</f>
        <v>3290</v>
      </c>
      <c r="N91">
        <f>'Details PC'!S93</f>
        <v>31.120999999999999</v>
      </c>
      <c r="O91" s="411" t="str">
        <f>'Details PC'!J93</f>
        <v>MH6100174335</v>
      </c>
      <c r="P91" s="242">
        <f>'Details PC'!F93</f>
        <v>45803</v>
      </c>
      <c r="R91">
        <f>'Details PC'!T93</f>
        <v>102388.09</v>
      </c>
    </row>
    <row r="92" spans="1:18" x14ac:dyDescent="0.3">
      <c r="A92">
        <v>0</v>
      </c>
      <c r="B92">
        <f>'Details PC'!B94</f>
        <v>90</v>
      </c>
      <c r="E92" t="str">
        <f>'Details PC'!H94</f>
        <v>Tata Motors Passenger Vehicle Ltd</v>
      </c>
      <c r="G92" s="242" t="e">
        <f>'Details PC'!#REF!</f>
        <v>#REF!</v>
      </c>
      <c r="L92">
        <f>'Details PC'!R94</f>
        <v>2800</v>
      </c>
      <c r="N92">
        <f>'Details PC'!S94</f>
        <v>31.120999999999999</v>
      </c>
      <c r="O92" s="411" t="str">
        <f>'Details PC'!J94</f>
        <v>MH6100185373</v>
      </c>
      <c r="P92" s="242">
        <f>'Details PC'!F94</f>
        <v>45806</v>
      </c>
      <c r="R92">
        <f>'Details PC'!T94</f>
        <v>87138.8</v>
      </c>
    </row>
    <row r="93" spans="1:18" x14ac:dyDescent="0.3">
      <c r="A93">
        <v>0</v>
      </c>
      <c r="B93">
        <f>'Details PC'!B95</f>
        <v>91</v>
      </c>
      <c r="E93" t="str">
        <f>'Details PC'!H95</f>
        <v>Tata Motors Passenger Vehicle Ltd</v>
      </c>
      <c r="G93" s="242" t="e">
        <f>'Details PC'!#REF!</f>
        <v>#REF!</v>
      </c>
      <c r="L93">
        <f>'Details PC'!R95</f>
        <v>2600</v>
      </c>
      <c r="N93">
        <f>'Details PC'!S95</f>
        <v>31.120999999999999</v>
      </c>
      <c r="O93" s="411" t="str">
        <f>'Details PC'!J95</f>
        <v>MH6100185544</v>
      </c>
      <c r="P93" s="242">
        <f>'Details PC'!F95</f>
        <v>45806</v>
      </c>
      <c r="R93">
        <f>'Details PC'!T95</f>
        <v>80914.599999999991</v>
      </c>
    </row>
    <row r="94" spans="1:18" x14ac:dyDescent="0.3">
      <c r="A94">
        <v>0</v>
      </c>
      <c r="B94">
        <f>'Details PC'!B96</f>
        <v>92</v>
      </c>
      <c r="E94" t="str">
        <f>'Details PC'!H96</f>
        <v>Tata Motors Ltd</v>
      </c>
      <c r="G94" s="242" t="e">
        <f>'Details PC'!#REF!</f>
        <v>#REF!</v>
      </c>
      <c r="L94">
        <f>'Details PC'!R96</f>
        <v>3320</v>
      </c>
      <c r="N94">
        <f>'Details PC'!S96</f>
        <v>30.151</v>
      </c>
      <c r="O94" s="411" t="str">
        <f>'Details PC'!J96</f>
        <v>MH0100189081</v>
      </c>
      <c r="P94" s="242">
        <f>'Details PC'!F96</f>
        <v>45807</v>
      </c>
      <c r="R94">
        <f>'Details PC'!T96</f>
        <v>100101.31999999999</v>
      </c>
    </row>
    <row r="95" spans="1:18" x14ac:dyDescent="0.3">
      <c r="A95">
        <v>0</v>
      </c>
      <c r="B95">
        <f>'Details PC'!B97</f>
        <v>93</v>
      </c>
      <c r="E95" t="str">
        <f>'Details PC'!H97</f>
        <v>Tata Motors Ltd</v>
      </c>
      <c r="G95" s="242" t="e">
        <f>'Details PC'!#REF!</f>
        <v>#REF!</v>
      </c>
      <c r="L95">
        <f>'Details PC'!R97</f>
        <v>4240</v>
      </c>
      <c r="N95">
        <f>'Details PC'!S97</f>
        <v>30.151</v>
      </c>
      <c r="O95" s="411" t="str">
        <f>'Details PC'!J97</f>
        <v>MH0100190160</v>
      </c>
      <c r="P95" s="242">
        <f>'Details PC'!F97</f>
        <v>45807</v>
      </c>
      <c r="R95">
        <f>'Details PC'!T97</f>
        <v>127840.24</v>
      </c>
    </row>
    <row r="96" spans="1:18" x14ac:dyDescent="0.3">
      <c r="A96">
        <v>0</v>
      </c>
      <c r="B96">
        <f>'Details PC'!B98</f>
        <v>94</v>
      </c>
      <c r="E96" t="str">
        <f>'Details PC'!H98</f>
        <v>AUTOCOMP CORPORATION PANSE PVT LTD</v>
      </c>
      <c r="G96" s="242" t="e">
        <f>'Details PC'!#REF!</f>
        <v>#REF!</v>
      </c>
      <c r="L96">
        <f>'Details PC'!R98</f>
        <v>8540</v>
      </c>
      <c r="N96">
        <f>'Details PC'!S98</f>
        <v>34.200000000000003</v>
      </c>
      <c r="O96" s="411">
        <f>'Details PC'!J98</f>
        <v>6122503531</v>
      </c>
      <c r="P96" s="242">
        <f>'Details PC'!F98</f>
        <v>45811</v>
      </c>
      <c r="R96">
        <f>'Details PC'!T98</f>
        <v>292068</v>
      </c>
    </row>
    <row r="97" spans="1:18" x14ac:dyDescent="0.3">
      <c r="A97">
        <v>0</v>
      </c>
      <c r="B97">
        <f>'Details PC'!B99</f>
        <v>95</v>
      </c>
      <c r="E97" t="str">
        <f>'Details PC'!H99</f>
        <v>AUTOCOMP CORPORATION PANSE PVT LTD</v>
      </c>
      <c r="G97" s="242" t="e">
        <f>'Details PC'!#REF!</f>
        <v>#REF!</v>
      </c>
      <c r="L97">
        <f>'Details PC'!R99</f>
        <v>7535</v>
      </c>
      <c r="N97">
        <f>'Details PC'!S99</f>
        <v>34.200000000000003</v>
      </c>
      <c r="O97" s="411">
        <f>'Details PC'!J99</f>
        <v>6122503525</v>
      </c>
      <c r="P97" s="242">
        <f>'Details PC'!F99</f>
        <v>45811</v>
      </c>
      <c r="R97">
        <f>'Details PC'!T99</f>
        <v>257697.00000000003</v>
      </c>
    </row>
    <row r="98" spans="1:18" x14ac:dyDescent="0.3">
      <c r="A98">
        <v>0</v>
      </c>
      <c r="B98">
        <f>'Details PC'!B100</f>
        <v>96</v>
      </c>
      <c r="E98" t="str">
        <f>'Details PC'!H100</f>
        <v>AUTOCOMP CORPORATION PANSE PVT LTD</v>
      </c>
      <c r="G98" s="242" t="e">
        <f>'Details PC'!#REF!</f>
        <v>#REF!</v>
      </c>
      <c r="L98">
        <f>'Details PC'!R100</f>
        <v>7810</v>
      </c>
      <c r="N98">
        <f>'Details PC'!S100</f>
        <v>34.200000000000003</v>
      </c>
      <c r="O98" s="411">
        <f>'Details PC'!J100</f>
        <v>6122503528</v>
      </c>
      <c r="P98" s="242">
        <f>'Details PC'!F100</f>
        <v>45811</v>
      </c>
      <c r="R98">
        <f>'Details PC'!T100</f>
        <v>267102</v>
      </c>
    </row>
    <row r="99" spans="1:18" x14ac:dyDescent="0.3">
      <c r="A99">
        <v>0</v>
      </c>
      <c r="B99">
        <f>'Details PC'!B101</f>
        <v>97</v>
      </c>
      <c r="E99" t="str">
        <f>'Details PC'!H101</f>
        <v>AUTOCOMP CORPORATION PANSE PVT LTD</v>
      </c>
      <c r="G99" s="242" t="e">
        <f>'Details PC'!#REF!</f>
        <v>#REF!</v>
      </c>
      <c r="L99">
        <f>'Details PC'!R101</f>
        <v>10970</v>
      </c>
      <c r="N99">
        <f>'Details PC'!S101</f>
        <v>34.200000000000003</v>
      </c>
      <c r="O99" s="411">
        <f>'Details PC'!J101</f>
        <v>6122503572</v>
      </c>
      <c r="P99" s="242">
        <f>'Details PC'!F101</f>
        <v>45812</v>
      </c>
      <c r="R99">
        <f>'Details PC'!T101</f>
        <v>375174.00000000006</v>
      </c>
    </row>
    <row r="100" spans="1:18" x14ac:dyDescent="0.3">
      <c r="A100">
        <v>0</v>
      </c>
      <c r="B100">
        <f>'Details PC'!B102</f>
        <v>98</v>
      </c>
      <c r="E100" t="str">
        <f>'Details PC'!H102</f>
        <v>AUTOCOMP CORPORATION PANSE PVT LTD</v>
      </c>
      <c r="G100" s="242" t="e">
        <f>'Details PC'!#REF!</f>
        <v>#REF!</v>
      </c>
      <c r="L100">
        <f>'Details PC'!R102</f>
        <v>7995</v>
      </c>
      <c r="N100">
        <f>'Details PC'!S102</f>
        <v>34.200000000000003</v>
      </c>
      <c r="O100" s="411">
        <f>'Details PC'!J102</f>
        <v>6122503579</v>
      </c>
      <c r="P100" s="242">
        <f>'Details PC'!F102</f>
        <v>45812</v>
      </c>
      <c r="R100">
        <f>'Details PC'!T102</f>
        <v>273429</v>
      </c>
    </row>
    <row r="101" spans="1:18" x14ac:dyDescent="0.3">
      <c r="A101">
        <v>0</v>
      </c>
      <c r="B101">
        <f>'Details PC'!B103</f>
        <v>99</v>
      </c>
      <c r="E101" t="str">
        <f>'Details PC'!H103</f>
        <v>AUTOCOMP CORPORATION PANSE PVT LTD</v>
      </c>
      <c r="G101" s="242" t="e">
        <f>'Details PC'!#REF!</f>
        <v>#REF!</v>
      </c>
      <c r="L101">
        <f>'Details PC'!R103</f>
        <v>5990</v>
      </c>
      <c r="N101">
        <f>'Details PC'!S103</f>
        <v>34.200000000000003</v>
      </c>
      <c r="O101" s="411">
        <f>'Details PC'!J103</f>
        <v>6122503583</v>
      </c>
      <c r="P101" s="242">
        <f>'Details PC'!F103</f>
        <v>45812</v>
      </c>
      <c r="R101">
        <f>'Details PC'!T103</f>
        <v>204858.00000000003</v>
      </c>
    </row>
    <row r="102" spans="1:18" x14ac:dyDescent="0.3">
      <c r="A102">
        <v>0</v>
      </c>
      <c r="B102">
        <f>'Details PC'!B104</f>
        <v>100</v>
      </c>
      <c r="E102" t="str">
        <f>'Details PC'!H104</f>
        <v>AUTOCOMP CORPORATION PANSE PVT LTD</v>
      </c>
      <c r="G102" s="242" t="e">
        <f>'Details PC'!#REF!</f>
        <v>#REF!</v>
      </c>
      <c r="L102">
        <f>'Details PC'!R104</f>
        <v>9180</v>
      </c>
      <c r="N102">
        <f>'Details PC'!S104</f>
        <v>34.200000000000003</v>
      </c>
      <c r="O102" s="411">
        <f>'Details PC'!J104</f>
        <v>6122503641</v>
      </c>
      <c r="P102" s="242">
        <f>'Details PC'!F104</f>
        <v>45813</v>
      </c>
      <c r="R102">
        <f>'Details PC'!T104</f>
        <v>313956</v>
      </c>
    </row>
    <row r="103" spans="1:18" x14ac:dyDescent="0.3">
      <c r="A103">
        <v>0</v>
      </c>
      <c r="B103">
        <f>'Details PC'!B105</f>
        <v>101</v>
      </c>
      <c r="E103" t="str">
        <f>'Details PC'!H105</f>
        <v>AUTOCOMP CORPORATION PANSE PVT LTD</v>
      </c>
      <c r="G103" s="242" t="e">
        <f>'Details PC'!#REF!</f>
        <v>#REF!</v>
      </c>
      <c r="L103">
        <f>'Details PC'!R105</f>
        <v>6930</v>
      </c>
      <c r="N103">
        <f>'Details PC'!S105</f>
        <v>34.200000000000003</v>
      </c>
      <c r="O103" s="411">
        <f>'Details PC'!J105</f>
        <v>6122503640</v>
      </c>
      <c r="P103" s="242">
        <f>'Details PC'!F105</f>
        <v>45813</v>
      </c>
      <c r="R103">
        <f>'Details PC'!T105</f>
        <v>237006.00000000003</v>
      </c>
    </row>
    <row r="104" spans="1:18" x14ac:dyDescent="0.3">
      <c r="A104">
        <v>0</v>
      </c>
      <c r="B104">
        <f>'Details PC'!B106</f>
        <v>102</v>
      </c>
      <c r="E104" t="str">
        <f>'Details PC'!H106</f>
        <v>AUTOCOMP CORPORATION PANSE PVT LTD</v>
      </c>
      <c r="G104" s="242" t="e">
        <f>'Details PC'!#REF!</f>
        <v>#REF!</v>
      </c>
      <c r="L104">
        <f>'Details PC'!R106</f>
        <v>7545</v>
      </c>
      <c r="N104">
        <f>'Details PC'!S106</f>
        <v>34.200000000000003</v>
      </c>
      <c r="O104" s="411">
        <f>'Details PC'!J106</f>
        <v>6122503688</v>
      </c>
      <c r="P104" s="242">
        <f>'Details PC'!F106</f>
        <v>45814</v>
      </c>
      <c r="R104">
        <f>'Details PC'!T106</f>
        <v>258039.00000000003</v>
      </c>
    </row>
    <row r="105" spans="1:18" x14ac:dyDescent="0.3">
      <c r="A105">
        <v>0</v>
      </c>
      <c r="B105">
        <f>'Details PC'!B107</f>
        <v>103</v>
      </c>
      <c r="E105" t="str">
        <f>'Details PC'!H107</f>
        <v>AUTOCOMP CORPORATION PANSE PVT LTD</v>
      </c>
      <c r="G105" s="242" t="e">
        <f>'Details PC'!#REF!</f>
        <v>#REF!</v>
      </c>
      <c r="L105">
        <f>'Details PC'!R107</f>
        <v>7750</v>
      </c>
      <c r="N105">
        <f>'Details PC'!S107</f>
        <v>34.200000000000003</v>
      </c>
      <c r="O105" s="411">
        <f>'Details PC'!J107</f>
        <v>6122503689</v>
      </c>
      <c r="P105" s="242">
        <f>'Details PC'!F107</f>
        <v>45814</v>
      </c>
      <c r="R105">
        <f>'Details PC'!T107</f>
        <v>265050</v>
      </c>
    </row>
    <row r="106" spans="1:18" x14ac:dyDescent="0.3">
      <c r="A106">
        <v>0</v>
      </c>
      <c r="B106">
        <f>'Details PC'!B108</f>
        <v>104</v>
      </c>
      <c r="E106" t="str">
        <f>'Details PC'!H108</f>
        <v>AUTOCOMP CORPORATION PANSE PVT LTD</v>
      </c>
      <c r="G106" s="242" t="e">
        <f>'Details PC'!#REF!</f>
        <v>#REF!</v>
      </c>
      <c r="L106">
        <f>'Details PC'!R108</f>
        <v>6285</v>
      </c>
      <c r="N106">
        <f>'Details PC'!S108</f>
        <v>34.200000000000003</v>
      </c>
      <c r="O106" s="411">
        <f>'Details PC'!J108</f>
        <v>6122503738</v>
      </c>
      <c r="P106" s="242">
        <f>'Details PC'!F108</f>
        <v>45815</v>
      </c>
      <c r="R106">
        <f>'Details PC'!T108</f>
        <v>214947.00000000003</v>
      </c>
    </row>
    <row r="107" spans="1:18" x14ac:dyDescent="0.3">
      <c r="A107">
        <v>0</v>
      </c>
      <c r="B107">
        <f>'Details PC'!B109</f>
        <v>105</v>
      </c>
      <c r="E107" t="str">
        <f>'Details PC'!H109</f>
        <v>AUTOCOMP CORPORATION PANSE PVT LTD</v>
      </c>
      <c r="G107" s="242" t="e">
        <f>'Details PC'!#REF!</f>
        <v>#REF!</v>
      </c>
      <c r="L107">
        <f>'Details PC'!R109</f>
        <v>9635</v>
      </c>
      <c r="N107">
        <f>'Details PC'!S109</f>
        <v>34.200000000000003</v>
      </c>
      <c r="O107" s="411">
        <f>'Details PC'!J109</f>
        <v>6122503743</v>
      </c>
      <c r="P107" s="242">
        <f>'Details PC'!F109</f>
        <v>45815</v>
      </c>
      <c r="R107">
        <f>'Details PC'!T109</f>
        <v>329517</v>
      </c>
    </row>
    <row r="108" spans="1:18" x14ac:dyDescent="0.3">
      <c r="A108">
        <v>0</v>
      </c>
      <c r="B108">
        <f>'Details PC'!B110</f>
        <v>106</v>
      </c>
      <c r="E108" t="str">
        <f>'Details PC'!H110</f>
        <v>AUTOCOMP CORPORATION PANSE PVT LTD</v>
      </c>
      <c r="G108" s="242" t="e">
        <f>'Details PC'!#REF!</f>
        <v>#REF!</v>
      </c>
      <c r="L108">
        <f>'Details PC'!R110</f>
        <v>6640</v>
      </c>
      <c r="N108">
        <f>'Details PC'!S110</f>
        <v>34.200000000000003</v>
      </c>
      <c r="O108" s="411">
        <f>'Details PC'!J110</f>
        <v>6122503823</v>
      </c>
      <c r="P108" s="242">
        <f>'Details PC'!F110</f>
        <v>45817</v>
      </c>
      <c r="R108">
        <f>'Details PC'!T110</f>
        <v>227088.00000000003</v>
      </c>
    </row>
    <row r="109" spans="1:18" x14ac:dyDescent="0.3">
      <c r="A109">
        <v>0</v>
      </c>
      <c r="B109">
        <f>'Details PC'!B111</f>
        <v>107</v>
      </c>
      <c r="E109" t="str">
        <f>'Details PC'!H111</f>
        <v>AUTOCOMP CORPORATION PANSE PVT LTD</v>
      </c>
      <c r="G109" s="242" t="e">
        <f>'Details PC'!#REF!</f>
        <v>#REF!</v>
      </c>
      <c r="L109">
        <f>'Details PC'!R111</f>
        <v>6115</v>
      </c>
      <c r="N109">
        <f>'Details PC'!S111</f>
        <v>34.200000000000003</v>
      </c>
      <c r="O109" s="411">
        <f>'Details PC'!J111</f>
        <v>6122503882</v>
      </c>
      <c r="P109" s="242">
        <f>'Details PC'!F111</f>
        <v>45818</v>
      </c>
      <c r="R109">
        <f>'Details PC'!T111</f>
        <v>209133.00000000003</v>
      </c>
    </row>
    <row r="110" spans="1:18" x14ac:dyDescent="0.3">
      <c r="A110">
        <v>0</v>
      </c>
      <c r="B110">
        <f>'Details PC'!B112</f>
        <v>108</v>
      </c>
      <c r="E110" t="str">
        <f>'Details PC'!H112</f>
        <v>Tata Motors Ltd</v>
      </c>
      <c r="G110" s="242" t="e">
        <f>'Details PC'!#REF!</f>
        <v>#REF!</v>
      </c>
      <c r="L110">
        <f>'Details PC'!R112</f>
        <v>3140</v>
      </c>
      <c r="N110">
        <f>'Details PC'!S112</f>
        <v>30.151</v>
      </c>
      <c r="O110" s="411" t="str">
        <f>'Details PC'!J112</f>
        <v>MH0100229812</v>
      </c>
      <c r="P110" s="242">
        <f>'Details PC'!F112</f>
        <v>45819</v>
      </c>
      <c r="R110">
        <f>'Details PC'!T112</f>
        <v>94674.14</v>
      </c>
    </row>
    <row r="111" spans="1:18" x14ac:dyDescent="0.3">
      <c r="A111">
        <v>0</v>
      </c>
      <c r="B111">
        <f>'Details PC'!B113</f>
        <v>109</v>
      </c>
      <c r="E111" t="str">
        <f>'Details PC'!H113</f>
        <v>AUTOCOMP CORPORATION PANSE PVT LTD</v>
      </c>
      <c r="G111" s="242" t="e">
        <f>'Details PC'!#REF!</f>
        <v>#REF!</v>
      </c>
      <c r="L111">
        <f>'Details PC'!R113</f>
        <v>11350</v>
      </c>
      <c r="N111">
        <f>'Details PC'!S113</f>
        <v>34.200000000000003</v>
      </c>
      <c r="O111" s="411">
        <f>'Details PC'!J113</f>
        <v>6122503943</v>
      </c>
      <c r="P111" s="242">
        <f>'Details PC'!F113</f>
        <v>45819</v>
      </c>
      <c r="R111">
        <f>'Details PC'!T113</f>
        <v>388170.00000000006</v>
      </c>
    </row>
    <row r="112" spans="1:18" x14ac:dyDescent="0.3">
      <c r="A112">
        <v>0</v>
      </c>
      <c r="B112">
        <f>'Details PC'!B114</f>
        <v>110</v>
      </c>
      <c r="E112" t="str">
        <f>'Details PC'!H114</f>
        <v>AUTOCOMP CORPORATION PANSE PVT LTD</v>
      </c>
      <c r="G112" s="242" t="e">
        <f>'Details PC'!#REF!</f>
        <v>#REF!</v>
      </c>
      <c r="L112">
        <f>'Details PC'!R114</f>
        <v>6615</v>
      </c>
      <c r="N112">
        <f>'Details PC'!S114</f>
        <v>34.200000000000003</v>
      </c>
      <c r="O112" s="411">
        <f>'Details PC'!J114</f>
        <v>6122503949</v>
      </c>
      <c r="P112" s="242">
        <f>'Details PC'!F114</f>
        <v>45819</v>
      </c>
      <c r="R112">
        <f>'Details PC'!T114</f>
        <v>226233.00000000003</v>
      </c>
    </row>
    <row r="113" spans="1:18" x14ac:dyDescent="0.3">
      <c r="A113">
        <v>0</v>
      </c>
      <c r="B113">
        <f>'Details PC'!B115</f>
        <v>111</v>
      </c>
      <c r="E113" t="str">
        <f>'Details PC'!H115</f>
        <v>AUTOCOMP CORPORATION PANSE PVT LTD</v>
      </c>
      <c r="G113" s="242" t="e">
        <f>'Details PC'!#REF!</f>
        <v>#REF!</v>
      </c>
      <c r="L113">
        <f>'Details PC'!R115</f>
        <v>9765</v>
      </c>
      <c r="N113">
        <f>'Details PC'!S115</f>
        <v>34.200000000000003</v>
      </c>
      <c r="O113" s="411">
        <f>'Details PC'!J115</f>
        <v>6122503965</v>
      </c>
      <c r="P113" s="242">
        <f>'Details PC'!F115</f>
        <v>45819</v>
      </c>
      <c r="R113">
        <f>'Details PC'!T115</f>
        <v>333963</v>
      </c>
    </row>
    <row r="114" spans="1:18" x14ac:dyDescent="0.3">
      <c r="A114">
        <v>0</v>
      </c>
      <c r="B114">
        <f>'Details PC'!B116</f>
        <v>112</v>
      </c>
      <c r="E114" t="str">
        <f>'Details PC'!H116</f>
        <v>Tata Motors Passenger Vehicle Ltd</v>
      </c>
      <c r="G114" s="242" t="e">
        <f>'Details PC'!#REF!</f>
        <v>#REF!</v>
      </c>
      <c r="L114">
        <f>'Details PC'!R116</f>
        <v>2870</v>
      </c>
      <c r="N114">
        <f>'Details PC'!S116</f>
        <v>31.120999999999999</v>
      </c>
      <c r="O114" s="411" t="str">
        <f>'Details PC'!J116</f>
        <v>MH6100232271</v>
      </c>
      <c r="P114" s="242">
        <f>'Details PC'!F116</f>
        <v>45820</v>
      </c>
      <c r="R114">
        <f>'Details PC'!T116</f>
        <v>89317.26999999999</v>
      </c>
    </row>
    <row r="115" spans="1:18" x14ac:dyDescent="0.3">
      <c r="A115">
        <v>0</v>
      </c>
      <c r="B115">
        <f>'Details PC'!B117</f>
        <v>113</v>
      </c>
      <c r="E115" t="str">
        <f>'Details PC'!H117</f>
        <v>Yash Enterprises</v>
      </c>
      <c r="G115" s="242" t="e">
        <f>'Details PC'!#REF!</f>
        <v>#REF!</v>
      </c>
      <c r="L115">
        <f>'Details PC'!R117</f>
        <v>4710</v>
      </c>
      <c r="N115">
        <f>'Details PC'!S117</f>
        <v>36.5</v>
      </c>
      <c r="O115" s="411" t="str">
        <f>'Details PC'!J117</f>
        <v>GST/25-26/020</v>
      </c>
      <c r="P115" s="242">
        <f>'Details PC'!F117</f>
        <v>45820</v>
      </c>
      <c r="R115">
        <f>'Details PC'!T117</f>
        <v>171915</v>
      </c>
    </row>
    <row r="116" spans="1:18" x14ac:dyDescent="0.3">
      <c r="A116">
        <v>0</v>
      </c>
      <c r="B116">
        <f>'Details PC'!B118</f>
        <v>114</v>
      </c>
      <c r="E116" t="str">
        <f>'Details PC'!H118</f>
        <v>Yash Enterprises</v>
      </c>
      <c r="G116" s="242" t="e">
        <f>'Details PC'!#REF!</f>
        <v>#REF!</v>
      </c>
      <c r="L116">
        <f>'Details PC'!R118</f>
        <v>3960</v>
      </c>
      <c r="N116">
        <f>'Details PC'!S118</f>
        <v>36.5</v>
      </c>
      <c r="O116" s="411" t="str">
        <f>'Details PC'!J118</f>
        <v>GST/25-26/021</v>
      </c>
      <c r="P116" s="242">
        <f>'Details PC'!F118</f>
        <v>45820</v>
      </c>
      <c r="R116">
        <f>'Details PC'!T118</f>
        <v>144540</v>
      </c>
    </row>
    <row r="117" spans="1:18" x14ac:dyDescent="0.3">
      <c r="A117">
        <v>0</v>
      </c>
      <c r="B117">
        <f>'Details PC'!B119</f>
        <v>115</v>
      </c>
      <c r="E117" t="str">
        <f>'Details PC'!H119</f>
        <v>Yash Enterprises</v>
      </c>
      <c r="G117" s="242" t="e">
        <f>'Details PC'!#REF!</f>
        <v>#REF!</v>
      </c>
      <c r="L117">
        <f>'Details PC'!R119</f>
        <v>3900</v>
      </c>
      <c r="N117">
        <f>'Details PC'!S119</f>
        <v>36.5</v>
      </c>
      <c r="O117" s="411" t="str">
        <f>'Details PC'!J119</f>
        <v>GST/25-26/022</v>
      </c>
      <c r="P117" s="242">
        <f>'Details PC'!F119</f>
        <v>45820</v>
      </c>
      <c r="R117">
        <f>'Details PC'!T119</f>
        <v>142350</v>
      </c>
    </row>
    <row r="118" spans="1:18" x14ac:dyDescent="0.3">
      <c r="A118">
        <v>0</v>
      </c>
      <c r="B118">
        <f>'Details PC'!B120</f>
        <v>116</v>
      </c>
      <c r="E118" t="str">
        <f>'Details PC'!H120</f>
        <v>Yash Enterprises</v>
      </c>
      <c r="G118" s="242" t="e">
        <f>'Details PC'!#REF!</f>
        <v>#REF!</v>
      </c>
      <c r="L118">
        <f>'Details PC'!R120</f>
        <v>6360</v>
      </c>
      <c r="N118">
        <f>'Details PC'!S120</f>
        <v>36.5</v>
      </c>
      <c r="O118" s="411" t="str">
        <f>'Details PC'!J120</f>
        <v>GST/25-26/025</v>
      </c>
      <c r="P118" s="242">
        <f>'Details PC'!F120</f>
        <v>45820</v>
      </c>
      <c r="R118">
        <f>'Details PC'!T120</f>
        <v>232140</v>
      </c>
    </row>
    <row r="119" spans="1:18" x14ac:dyDescent="0.3">
      <c r="A119">
        <v>0</v>
      </c>
      <c r="B119">
        <f>'Details PC'!B121</f>
        <v>117</v>
      </c>
      <c r="E119" t="str">
        <f>'Details PC'!H121</f>
        <v>Yash Enterprises</v>
      </c>
      <c r="G119" s="242" t="e">
        <f>'Details PC'!#REF!</f>
        <v>#REF!</v>
      </c>
      <c r="L119">
        <f>'Details PC'!R121</f>
        <v>3960</v>
      </c>
      <c r="N119">
        <f>'Details PC'!S121</f>
        <v>36.5</v>
      </c>
      <c r="O119" s="411" t="str">
        <f>'Details PC'!J121</f>
        <v>GST/25-26/024</v>
      </c>
      <c r="P119" s="242">
        <f>'Details PC'!F121</f>
        <v>45820</v>
      </c>
      <c r="R119">
        <f>'Details PC'!T121</f>
        <v>144540</v>
      </c>
    </row>
    <row r="120" spans="1:18" x14ac:dyDescent="0.3">
      <c r="A120">
        <v>0</v>
      </c>
      <c r="B120">
        <f>'Details PC'!B122</f>
        <v>118</v>
      </c>
      <c r="E120" t="str">
        <f>'Details PC'!H122</f>
        <v>Yash Enterprises</v>
      </c>
      <c r="G120" s="242" t="e">
        <f>'Details PC'!#REF!</f>
        <v>#REF!</v>
      </c>
      <c r="L120">
        <f>'Details PC'!R122</f>
        <v>8960</v>
      </c>
      <c r="N120">
        <f>'Details PC'!S122</f>
        <v>36.5</v>
      </c>
      <c r="O120" s="411" t="str">
        <f>'Details PC'!J122</f>
        <v>GST/25-26/026</v>
      </c>
      <c r="P120" s="242">
        <f>'Details PC'!F122</f>
        <v>45820</v>
      </c>
      <c r="R120">
        <f>'Details PC'!T122</f>
        <v>327040</v>
      </c>
    </row>
    <row r="121" spans="1:18" x14ac:dyDescent="0.3">
      <c r="A121">
        <v>0</v>
      </c>
      <c r="B121">
        <f>'Details PC'!B123</f>
        <v>119</v>
      </c>
      <c r="E121" t="str">
        <f>'Details PC'!H123</f>
        <v>Yash Enterprises</v>
      </c>
      <c r="G121" s="242" t="e">
        <f>'Details PC'!#REF!</f>
        <v>#REF!</v>
      </c>
      <c r="L121">
        <f>'Details PC'!R123</f>
        <v>7590</v>
      </c>
      <c r="N121">
        <f>'Details PC'!S123</f>
        <v>36.5</v>
      </c>
      <c r="O121" s="411" t="str">
        <f>'Details PC'!J123</f>
        <v>GST/25-26/023</v>
      </c>
      <c r="P121" s="242">
        <f>'Details PC'!F123</f>
        <v>45820</v>
      </c>
      <c r="R121">
        <f>'Details PC'!T123</f>
        <v>277035</v>
      </c>
    </row>
    <row r="122" spans="1:18" x14ac:dyDescent="0.3">
      <c r="A122">
        <v>0</v>
      </c>
      <c r="B122">
        <f>'Details PC'!B124</f>
        <v>120</v>
      </c>
      <c r="E122" t="str">
        <f>'Details PC'!H124</f>
        <v>AUTOCOMP CORPORATION PANSE PVT LTD</v>
      </c>
      <c r="G122" s="242" t="e">
        <f>'Details PC'!#REF!</f>
        <v>#REF!</v>
      </c>
      <c r="L122">
        <f>'Details PC'!R124</f>
        <v>6550</v>
      </c>
      <c r="N122">
        <f>'Details PC'!S124</f>
        <v>34.200000000000003</v>
      </c>
      <c r="O122" s="411">
        <f>'Details PC'!J124</f>
        <v>6122504028</v>
      </c>
      <c r="P122" s="242">
        <f>'Details PC'!F124</f>
        <v>45820</v>
      </c>
      <c r="R122">
        <f>'Details PC'!T124</f>
        <v>224010.00000000003</v>
      </c>
    </row>
    <row r="123" spans="1:18" x14ac:dyDescent="0.3">
      <c r="A123">
        <v>0</v>
      </c>
      <c r="B123">
        <f>'Details PC'!B125</f>
        <v>121</v>
      </c>
      <c r="E123" t="str">
        <f>'Details PC'!H125</f>
        <v>AUTOCOMP CORPORATION PANSE PVT LTD</v>
      </c>
      <c r="G123" s="242" t="e">
        <f>'Details PC'!#REF!</f>
        <v>#REF!</v>
      </c>
      <c r="L123">
        <f>'Details PC'!R125</f>
        <v>9310</v>
      </c>
      <c r="N123">
        <f>'Details PC'!S125</f>
        <v>34.200000000000003</v>
      </c>
      <c r="O123" s="411">
        <f>'Details PC'!J125</f>
        <v>6122504025</v>
      </c>
      <c r="P123" s="242">
        <f>'Details PC'!F125</f>
        <v>45820</v>
      </c>
      <c r="R123">
        <f>'Details PC'!T125</f>
        <v>318402</v>
      </c>
    </row>
    <row r="124" spans="1:18" x14ac:dyDescent="0.3">
      <c r="A124">
        <v>0</v>
      </c>
      <c r="B124">
        <f>'Details PC'!B126</f>
        <v>122</v>
      </c>
      <c r="E124" t="str">
        <f>'Details PC'!H126</f>
        <v>AUTOCOMP CORPORATION PANSE PVT LTD</v>
      </c>
      <c r="G124" s="242" t="e">
        <f>'Details PC'!#REF!</f>
        <v>#REF!</v>
      </c>
      <c r="L124">
        <f>'Details PC'!R126</f>
        <v>6540</v>
      </c>
      <c r="N124">
        <f>'Details PC'!S126</f>
        <v>34.200000000000003</v>
      </c>
      <c r="O124" s="411">
        <f>'Details PC'!J126</f>
        <v>6122504103</v>
      </c>
      <c r="P124" s="242">
        <f>'Details PC'!F126</f>
        <v>45821</v>
      </c>
      <c r="R124">
        <f>'Details PC'!T126</f>
        <v>223668.00000000003</v>
      </c>
    </row>
    <row r="125" spans="1:18" x14ac:dyDescent="0.3">
      <c r="A125">
        <v>0</v>
      </c>
      <c r="B125">
        <f>'Details PC'!B127</f>
        <v>123</v>
      </c>
      <c r="E125" t="str">
        <f>'Details PC'!H127</f>
        <v>AUTOCOMP CORPORATION PANSE PVT LTD</v>
      </c>
      <c r="G125" s="242" t="e">
        <f>'Details PC'!#REF!</f>
        <v>#REF!</v>
      </c>
      <c r="L125">
        <f>'Details PC'!R127</f>
        <v>6285</v>
      </c>
      <c r="N125">
        <f>'Details PC'!S127</f>
        <v>34.200000000000003</v>
      </c>
      <c r="O125" s="411">
        <f>'Details PC'!J127</f>
        <v>6122504099</v>
      </c>
      <c r="P125" s="242">
        <f>'Details PC'!F127</f>
        <v>45821</v>
      </c>
      <c r="R125">
        <f>'Details PC'!T127</f>
        <v>214947.00000000003</v>
      </c>
    </row>
    <row r="126" spans="1:18" x14ac:dyDescent="0.3">
      <c r="A126">
        <v>0</v>
      </c>
      <c r="B126">
        <f>'Details PC'!B128</f>
        <v>124</v>
      </c>
      <c r="E126" t="str">
        <f>'Details PC'!H128</f>
        <v>AUTOCOMP CORPORATION PANSE PVT LTD</v>
      </c>
      <c r="G126" s="242" t="e">
        <f>'Details PC'!#REF!</f>
        <v>#REF!</v>
      </c>
      <c r="L126">
        <f>'Details PC'!R128</f>
        <v>7805</v>
      </c>
      <c r="N126">
        <f>'Details PC'!S128</f>
        <v>34.200000000000003</v>
      </c>
      <c r="O126" s="411">
        <f>'Details PC'!J128</f>
        <v>6122504158</v>
      </c>
      <c r="P126" s="242">
        <f>'Details PC'!F128</f>
        <v>45822</v>
      </c>
      <c r="R126">
        <f>'Details PC'!T128</f>
        <v>266931</v>
      </c>
    </row>
    <row r="127" spans="1:18" x14ac:dyDescent="0.3">
      <c r="A127">
        <v>0</v>
      </c>
      <c r="B127">
        <f>'Details PC'!B129</f>
        <v>125</v>
      </c>
      <c r="E127" t="str">
        <f>'Details PC'!H129</f>
        <v>Ultra Corpotech Pvt Ltd</v>
      </c>
      <c r="G127" s="242" t="e">
        <f>'Details PC'!#REF!</f>
        <v>#REF!</v>
      </c>
      <c r="L127">
        <f>'Details PC'!R129</f>
        <v>31700</v>
      </c>
      <c r="N127">
        <f>'Details PC'!S129</f>
        <v>34.299999999999997</v>
      </c>
      <c r="O127" s="411">
        <f>'Details PC'!J129</f>
        <v>8252000562</v>
      </c>
      <c r="P127" s="242">
        <f>'Details PC'!F129</f>
        <v>45823</v>
      </c>
      <c r="R127">
        <f>'Details PC'!T129</f>
        <v>1087310</v>
      </c>
    </row>
    <row r="128" spans="1:18" x14ac:dyDescent="0.3">
      <c r="A128">
        <v>0</v>
      </c>
      <c r="B128">
        <f>'Details PC'!B130</f>
        <v>126</v>
      </c>
      <c r="E128" t="str">
        <f>'Details PC'!H130</f>
        <v>Ultra Corpotech Pvt Ltd</v>
      </c>
      <c r="G128" s="242" t="e">
        <f>'Details PC'!#REF!</f>
        <v>#REF!</v>
      </c>
      <c r="L128">
        <f>'Details PC'!R130</f>
        <v>11820</v>
      </c>
      <c r="N128">
        <f>'Details PC'!S130</f>
        <v>34.299999999999997</v>
      </c>
      <c r="O128" s="411">
        <f>'Details PC'!J130</f>
        <v>5252000373</v>
      </c>
      <c r="P128" s="242">
        <f>'Details PC'!F130</f>
        <v>45823</v>
      </c>
      <c r="R128">
        <f>'Details PC'!T130</f>
        <v>405425.99999999994</v>
      </c>
    </row>
    <row r="129" spans="1:18" x14ac:dyDescent="0.3">
      <c r="A129">
        <v>0</v>
      </c>
      <c r="B129">
        <f>'Details PC'!B131</f>
        <v>127</v>
      </c>
      <c r="E129" t="str">
        <f>'Details PC'!H131</f>
        <v>Tata Motors Passenger Vehicle Ltd</v>
      </c>
      <c r="G129" s="242" t="e">
        <f>'Details PC'!#REF!</f>
        <v>#REF!</v>
      </c>
      <c r="L129">
        <f>'Details PC'!R131</f>
        <v>2980</v>
      </c>
      <c r="N129">
        <f>'Details PC'!S131</f>
        <v>31.120999999999999</v>
      </c>
      <c r="O129" s="411" t="str">
        <f>'Details PC'!J131</f>
        <v>MH6100244471</v>
      </c>
      <c r="P129" s="242">
        <f>'Details PC'!F131</f>
        <v>45824</v>
      </c>
      <c r="R129">
        <f>'Details PC'!T131</f>
        <v>92740.58</v>
      </c>
    </row>
    <row r="130" spans="1:18" x14ac:dyDescent="0.3">
      <c r="A130">
        <v>0</v>
      </c>
      <c r="B130">
        <f>'Details PC'!B132</f>
        <v>128</v>
      </c>
      <c r="E130" t="str">
        <f>'Details PC'!H132</f>
        <v>AUTOCOMP CORPORATION PANSE PVT LTD</v>
      </c>
      <c r="G130" s="242" t="e">
        <f>'Details PC'!#REF!</f>
        <v>#REF!</v>
      </c>
      <c r="L130">
        <f>'Details PC'!R132</f>
        <v>8940</v>
      </c>
      <c r="N130">
        <f>'Details PC'!S132</f>
        <v>34.200000000000003</v>
      </c>
      <c r="O130" s="411">
        <f>'Details PC'!J132</f>
        <v>6122504218</v>
      </c>
      <c r="P130" s="242">
        <f>'Details PC'!F132</f>
        <v>45824</v>
      </c>
      <c r="R130">
        <f>'Details PC'!T132</f>
        <v>305748</v>
      </c>
    </row>
    <row r="131" spans="1:18" x14ac:dyDescent="0.3">
      <c r="A131">
        <v>0</v>
      </c>
      <c r="B131">
        <f>'Details PC'!B133</f>
        <v>129</v>
      </c>
      <c r="E131" t="str">
        <f>'Details PC'!H133</f>
        <v>Ultra Corpotech Pvt Ltd</v>
      </c>
      <c r="G131" s="242" t="e">
        <f>'Details PC'!#REF!</f>
        <v>#REF!</v>
      </c>
      <c r="L131">
        <f>'Details PC'!R133</f>
        <v>30390</v>
      </c>
      <c r="N131">
        <f>'Details PC'!S133</f>
        <v>34.299999999999997</v>
      </c>
      <c r="O131" s="411">
        <f>'Details PC'!J133</f>
        <v>8252000579</v>
      </c>
      <c r="P131" s="242">
        <f>'Details PC'!F133</f>
        <v>45824</v>
      </c>
      <c r="R131">
        <f>'Details PC'!T133</f>
        <v>1042376.9999999999</v>
      </c>
    </row>
    <row r="132" spans="1:18" x14ac:dyDescent="0.3">
      <c r="A132">
        <v>0</v>
      </c>
      <c r="B132">
        <f>'Details PC'!B134</f>
        <v>130</v>
      </c>
      <c r="E132" t="str">
        <f>'Details PC'!H134</f>
        <v>Ultra Corpotech Pvt Ltd</v>
      </c>
      <c r="G132" s="242" t="e">
        <f>'Details PC'!#REF!</f>
        <v>#REF!</v>
      </c>
      <c r="L132">
        <f>'Details PC'!R134</f>
        <v>21080</v>
      </c>
      <c r="N132">
        <f>'Details PC'!S134</f>
        <v>34.299999999999997</v>
      </c>
      <c r="O132" s="411">
        <f>'Details PC'!J134</f>
        <v>8252000577</v>
      </c>
      <c r="P132" s="242">
        <f>'Details PC'!F134</f>
        <v>45824</v>
      </c>
      <c r="R132">
        <f>'Details PC'!T134</f>
        <v>723043.99999999988</v>
      </c>
    </row>
    <row r="133" spans="1:18" x14ac:dyDescent="0.3">
      <c r="A133">
        <v>0</v>
      </c>
      <c r="B133">
        <f>'Details PC'!B135</f>
        <v>131</v>
      </c>
      <c r="E133" t="str">
        <f>'Details PC'!H135</f>
        <v>AUTOCOMP CORPORATION PANSE PVT LTD</v>
      </c>
      <c r="G133" s="242" t="e">
        <f>'Details PC'!#REF!</f>
        <v>#REF!</v>
      </c>
      <c r="L133">
        <f>'Details PC'!R135</f>
        <v>5360</v>
      </c>
      <c r="N133">
        <f>'Details PC'!S135</f>
        <v>34.200000000000003</v>
      </c>
      <c r="O133" s="411">
        <f>'Details PC'!J135</f>
        <v>6122504268</v>
      </c>
      <c r="P133" s="242">
        <f>'Details PC'!F135</f>
        <v>45825</v>
      </c>
      <c r="R133">
        <f>'Details PC'!T135</f>
        <v>183312.00000000003</v>
      </c>
    </row>
    <row r="134" spans="1:18" x14ac:dyDescent="0.3">
      <c r="A134">
        <v>0</v>
      </c>
      <c r="B134">
        <f>'Details PC'!B136</f>
        <v>132</v>
      </c>
      <c r="E134" t="str">
        <f>'Details PC'!H136</f>
        <v>AUTOCOMP CORPORATION PANSE PVT LTD</v>
      </c>
      <c r="G134" s="242" t="e">
        <f>'Details PC'!#REF!</f>
        <v>#REF!</v>
      </c>
      <c r="L134">
        <f>'Details PC'!R136</f>
        <v>4835</v>
      </c>
      <c r="N134">
        <f>'Details PC'!S136</f>
        <v>34.200000000000003</v>
      </c>
      <c r="O134" s="411">
        <f>'Details PC'!J136</f>
        <v>6122504275</v>
      </c>
      <c r="P134" s="242">
        <f>'Details PC'!F136</f>
        <v>45825</v>
      </c>
      <c r="R134">
        <f>'Details PC'!T136</f>
        <v>165357</v>
      </c>
    </row>
    <row r="135" spans="1:18" x14ac:dyDescent="0.3">
      <c r="A135">
        <v>0</v>
      </c>
      <c r="B135">
        <f>'Details PC'!B137</f>
        <v>133</v>
      </c>
      <c r="E135" t="str">
        <f>'Details PC'!H137</f>
        <v>ULTRA CORPOTECH PRIVATE LIMITED</v>
      </c>
      <c r="G135" s="242" t="e">
        <f>'Details PC'!#REF!</f>
        <v>#REF!</v>
      </c>
      <c r="L135">
        <f>'Details PC'!R137</f>
        <v>15990</v>
      </c>
      <c r="N135">
        <f>'Details PC'!S137</f>
        <v>34.299999999999997</v>
      </c>
      <c r="O135" s="411">
        <f>'Details PC'!J137</f>
        <v>5252000385</v>
      </c>
      <c r="P135" s="242">
        <f>'Details PC'!F137</f>
        <v>45825</v>
      </c>
      <c r="R135">
        <f>'Details PC'!T137</f>
        <v>548457</v>
      </c>
    </row>
    <row r="136" spans="1:18" x14ac:dyDescent="0.3">
      <c r="A136">
        <v>0</v>
      </c>
      <c r="B136">
        <f>'Details PC'!B138</f>
        <v>134</v>
      </c>
      <c r="E136" t="str">
        <f>'Details PC'!H138</f>
        <v>Ultra Corpotech Pvt Ltd</v>
      </c>
      <c r="G136" s="242" t="e">
        <f>'Details PC'!#REF!</f>
        <v>#REF!</v>
      </c>
      <c r="L136">
        <f>'Details PC'!R138</f>
        <v>34510</v>
      </c>
      <c r="N136">
        <f>'Details PC'!S138</f>
        <v>34.299999999999997</v>
      </c>
      <c r="O136" s="411">
        <f>'Details PC'!J138</f>
        <v>8252000585</v>
      </c>
      <c r="P136" s="242">
        <f>'Details PC'!F138</f>
        <v>45825</v>
      </c>
      <c r="R136">
        <f>'Details PC'!T138</f>
        <v>1183693</v>
      </c>
    </row>
    <row r="137" spans="1:18" x14ac:dyDescent="0.3">
      <c r="A137">
        <v>0</v>
      </c>
      <c r="B137">
        <f>'Details PC'!B139</f>
        <v>135</v>
      </c>
      <c r="E137" t="str">
        <f>'Details PC'!H139</f>
        <v>Ultra Corpotech Pvt Ltd</v>
      </c>
      <c r="G137" s="242" t="e">
        <f>'Details PC'!#REF!</f>
        <v>#REF!</v>
      </c>
      <c r="L137">
        <f>'Details PC'!R139</f>
        <v>29760</v>
      </c>
      <c r="N137">
        <f>'Details PC'!S139</f>
        <v>34.299999999999997</v>
      </c>
      <c r="O137" s="411">
        <f>'Details PC'!J139</f>
        <v>8252000595</v>
      </c>
      <c r="P137" s="242">
        <f>'Details PC'!F139</f>
        <v>45826</v>
      </c>
      <c r="R137">
        <f>'Details PC'!T139</f>
        <v>1020767.9999999999</v>
      </c>
    </row>
    <row r="138" spans="1:18" x14ac:dyDescent="0.3">
      <c r="A138">
        <v>0</v>
      </c>
      <c r="B138">
        <f>'Details PC'!B140</f>
        <v>136</v>
      </c>
      <c r="E138" t="str">
        <f>'Details PC'!H140</f>
        <v>Tata Motors Passenger Vehicle Ltd</v>
      </c>
      <c r="G138" s="242" t="e">
        <f>'Details PC'!#REF!</f>
        <v>#REF!</v>
      </c>
      <c r="L138">
        <f>'Details PC'!R140</f>
        <v>5070</v>
      </c>
      <c r="N138">
        <f>'Details PC'!S140</f>
        <v>31.120999999999999</v>
      </c>
      <c r="O138" s="411" t="str">
        <f>'Details PC'!J140</f>
        <v>MH6100261361</v>
      </c>
      <c r="P138" s="242">
        <f>'Details PC'!F140</f>
        <v>45828</v>
      </c>
      <c r="R138">
        <f>'Details PC'!T140</f>
        <v>157783.47</v>
      </c>
    </row>
    <row r="139" spans="1:18" x14ac:dyDescent="0.3">
      <c r="A139">
        <v>0</v>
      </c>
      <c r="B139">
        <f>'Details PC'!B141</f>
        <v>137</v>
      </c>
      <c r="E139" t="str">
        <f>'Details PC'!H141</f>
        <v>Tata Motors Passenger Vehicle Ltd</v>
      </c>
      <c r="G139" s="242" t="e">
        <f>'Details PC'!#REF!</f>
        <v>#REF!</v>
      </c>
      <c r="L139">
        <f>'Details PC'!R141</f>
        <v>2740</v>
      </c>
      <c r="N139">
        <f>'Details PC'!S141</f>
        <v>31.120999999999999</v>
      </c>
      <c r="O139" s="411" t="str">
        <f>'Details PC'!J141</f>
        <v>MH6100262168</v>
      </c>
      <c r="P139" s="242">
        <f>'Details PC'!F141</f>
        <v>45828</v>
      </c>
      <c r="R139">
        <f>'Details PC'!T141</f>
        <v>85271.54</v>
      </c>
    </row>
    <row r="140" spans="1:18" x14ac:dyDescent="0.3">
      <c r="A140">
        <v>0</v>
      </c>
      <c r="B140">
        <f>'Details PC'!B142</f>
        <v>138</v>
      </c>
      <c r="E140" t="str">
        <f>'Details PC'!H142</f>
        <v>AUTOCOMP CORPORATION PANSE PVT LTD</v>
      </c>
      <c r="G140" s="242" t="e">
        <f>'Details PC'!#REF!</f>
        <v>#REF!</v>
      </c>
      <c r="L140">
        <f>'Details PC'!R142</f>
        <v>9115</v>
      </c>
      <c r="N140">
        <f>'Details PC'!S142</f>
        <v>34.200000000000003</v>
      </c>
      <c r="O140" s="411">
        <f>'Details PC'!J142</f>
        <v>6122504467</v>
      </c>
      <c r="P140" s="242">
        <f>'Details PC'!F142</f>
        <v>45828</v>
      </c>
      <c r="R140">
        <f>'Details PC'!T142</f>
        <v>311733</v>
      </c>
    </row>
    <row r="141" spans="1:18" x14ac:dyDescent="0.3">
      <c r="A141">
        <v>0</v>
      </c>
      <c r="B141">
        <f>'Details PC'!B143</f>
        <v>139</v>
      </c>
      <c r="E141" t="str">
        <f>'Details PC'!H143</f>
        <v>AUTOCOMP CORPORATION PANSE PVT LTD</v>
      </c>
      <c r="G141" s="242" t="e">
        <f>'Details PC'!#REF!</f>
        <v>#REF!</v>
      </c>
      <c r="L141">
        <f>'Details PC'!R143</f>
        <v>7995</v>
      </c>
      <c r="N141">
        <f>'Details PC'!S143</f>
        <v>34.200000000000003</v>
      </c>
      <c r="O141" s="411">
        <f>'Details PC'!J143</f>
        <v>6122504485</v>
      </c>
      <c r="P141" s="242">
        <f>'Details PC'!F143</f>
        <v>45828</v>
      </c>
      <c r="R141">
        <f>'Details PC'!T143</f>
        <v>273429</v>
      </c>
    </row>
    <row r="142" spans="1:18" x14ac:dyDescent="0.3">
      <c r="A142">
        <v>0</v>
      </c>
      <c r="B142">
        <f>'Details PC'!B144</f>
        <v>140</v>
      </c>
      <c r="E142" t="str">
        <f>'Details PC'!H144</f>
        <v>Ultra Corpotech Pvt Ltd</v>
      </c>
      <c r="G142" s="242" t="e">
        <f>'Details PC'!#REF!</f>
        <v>#REF!</v>
      </c>
      <c r="L142">
        <f>'Details PC'!R144</f>
        <v>16250</v>
      </c>
      <c r="N142">
        <f>'Details PC'!S144</f>
        <v>34.299999999999997</v>
      </c>
      <c r="O142" s="411">
        <f>'Details PC'!J144</f>
        <v>8252000610</v>
      </c>
      <c r="P142" s="242">
        <f>'Details PC'!F144</f>
        <v>45828</v>
      </c>
      <c r="R142">
        <f>'Details PC'!T144</f>
        <v>557375</v>
      </c>
    </row>
    <row r="143" spans="1:18" x14ac:dyDescent="0.3">
      <c r="A143">
        <v>0</v>
      </c>
      <c r="B143">
        <f>'Details PC'!B145</f>
        <v>141</v>
      </c>
      <c r="E143" t="str">
        <f>'Details PC'!H145</f>
        <v>Tata Motors Ltd</v>
      </c>
      <c r="G143" s="242" t="e">
        <f>'Details PC'!#REF!</f>
        <v>#REF!</v>
      </c>
      <c r="L143">
        <f>'Details PC'!R145</f>
        <v>3240</v>
      </c>
      <c r="N143">
        <f>'Details PC'!S145</f>
        <v>30.151</v>
      </c>
      <c r="O143" s="411" t="str">
        <f>'Details PC'!J145</f>
        <v>MH0100261957</v>
      </c>
      <c r="P143" s="242">
        <f>'Details PC'!F145</f>
        <v>45829</v>
      </c>
      <c r="R143">
        <f>'Details PC'!T145</f>
        <v>97689.24</v>
      </c>
    </row>
    <row r="144" spans="1:18" x14ac:dyDescent="0.3">
      <c r="A144">
        <v>0</v>
      </c>
      <c r="B144">
        <f>'Details PC'!B146</f>
        <v>142</v>
      </c>
      <c r="E144" t="str">
        <f>'Details PC'!H146</f>
        <v>Ultra Corpotech Pvt Ltd</v>
      </c>
      <c r="G144" s="242" t="e">
        <f>'Details PC'!#REF!</f>
        <v>#REF!</v>
      </c>
      <c r="L144">
        <f>'Details PC'!R146</f>
        <v>13150</v>
      </c>
      <c r="N144">
        <f>'Details PC'!S146</f>
        <v>34.299999999999997</v>
      </c>
      <c r="O144" s="411">
        <f>'Details PC'!J146</f>
        <v>5252000413</v>
      </c>
      <c r="P144" s="242">
        <f>'Details PC'!F146</f>
        <v>45830</v>
      </c>
      <c r="R144">
        <f>'Details PC'!T146</f>
        <v>451044.99999999994</v>
      </c>
    </row>
    <row r="145" spans="1:18" x14ac:dyDescent="0.3">
      <c r="A145">
        <v>0</v>
      </c>
      <c r="B145">
        <f>'Details PC'!B147</f>
        <v>143</v>
      </c>
      <c r="E145" t="str">
        <f>'Details PC'!H147</f>
        <v>Ultra Corpotech Pvt Ltd</v>
      </c>
      <c r="G145" s="242" t="e">
        <f>'Details PC'!#REF!</f>
        <v>#REF!</v>
      </c>
      <c r="L145">
        <f>'Details PC'!R147</f>
        <v>27050</v>
      </c>
      <c r="N145">
        <f>'Details PC'!S147</f>
        <v>34.299999999999997</v>
      </c>
      <c r="O145" s="411">
        <f>'Details PC'!J147</f>
        <v>4252001124</v>
      </c>
      <c r="P145" s="242">
        <f>'Details PC'!F147</f>
        <v>45830</v>
      </c>
      <c r="R145">
        <f>'Details PC'!T147</f>
        <v>927814.99999999988</v>
      </c>
    </row>
    <row r="146" spans="1:18" x14ac:dyDescent="0.3">
      <c r="A146">
        <v>0</v>
      </c>
      <c r="B146">
        <f>'Details PC'!B148</f>
        <v>144</v>
      </c>
      <c r="E146" t="str">
        <f>'Details PC'!H148</f>
        <v>AUTOCOMP CORPORATION PANSE PVT LTD</v>
      </c>
      <c r="G146" s="242" t="e">
        <f>'Details PC'!#REF!</f>
        <v>#REF!</v>
      </c>
      <c r="L146">
        <f>'Details PC'!R148</f>
        <v>7760</v>
      </c>
      <c r="N146">
        <f>'Details PC'!S148</f>
        <v>34.200000000000003</v>
      </c>
      <c r="O146" s="411">
        <f>'Details PC'!J148</f>
        <v>6122504614</v>
      </c>
      <c r="P146" s="242">
        <f>'Details PC'!F148</f>
        <v>45831</v>
      </c>
      <c r="R146">
        <f>'Details PC'!T148</f>
        <v>265392</v>
      </c>
    </row>
    <row r="147" spans="1:18" x14ac:dyDescent="0.3">
      <c r="A147">
        <v>0</v>
      </c>
      <c r="B147">
        <f>'Details PC'!B149</f>
        <v>145</v>
      </c>
      <c r="E147" t="str">
        <f>'Details PC'!H149</f>
        <v>AUTOCOMP CORPORATION PANSE PVT LTD</v>
      </c>
      <c r="G147" s="242" t="e">
        <f>'Details PC'!#REF!</f>
        <v>#REF!</v>
      </c>
      <c r="L147">
        <f>'Details PC'!R149</f>
        <v>8625</v>
      </c>
      <c r="N147">
        <f>'Details PC'!S149</f>
        <v>34.200000000000003</v>
      </c>
      <c r="O147" s="411">
        <f>'Details PC'!J149</f>
        <v>6122504615</v>
      </c>
      <c r="P147" s="242">
        <f>'Details PC'!F149</f>
        <v>45831</v>
      </c>
      <c r="R147">
        <f>'Details PC'!T149</f>
        <v>294975</v>
      </c>
    </row>
    <row r="148" spans="1:18" x14ac:dyDescent="0.3">
      <c r="A148">
        <v>0</v>
      </c>
      <c r="B148">
        <f>'Details PC'!B150</f>
        <v>146</v>
      </c>
      <c r="E148" t="str">
        <f>'Details PC'!H150</f>
        <v>Ultra Corpotech Pvt Ltd</v>
      </c>
      <c r="G148" s="242" t="e">
        <f>'Details PC'!#REF!</f>
        <v>#REF!</v>
      </c>
      <c r="L148">
        <f>'Details PC'!R150</f>
        <v>18490</v>
      </c>
      <c r="N148">
        <f>'Details PC'!S150</f>
        <v>34.299999999999997</v>
      </c>
      <c r="O148" s="411">
        <f>'Details PC'!J150</f>
        <v>8252000641</v>
      </c>
      <c r="P148" s="242">
        <f>'Details PC'!F150</f>
        <v>45831</v>
      </c>
      <c r="R148">
        <f>'Details PC'!T150</f>
        <v>634207</v>
      </c>
    </row>
    <row r="149" spans="1:18" x14ac:dyDescent="0.3">
      <c r="A149">
        <v>0</v>
      </c>
      <c r="B149">
        <f>'Details PC'!B151</f>
        <v>147</v>
      </c>
      <c r="E149" t="str">
        <f>'Details PC'!H151</f>
        <v>AUTOCOMP CORPORATION PANSE PVT LTD</v>
      </c>
      <c r="G149" s="242" t="e">
        <f>'Details PC'!#REF!</f>
        <v>#REF!</v>
      </c>
      <c r="L149">
        <f>'Details PC'!R151</f>
        <v>7170</v>
      </c>
      <c r="N149">
        <f>'Details PC'!S151</f>
        <v>34.200000000000003</v>
      </c>
      <c r="O149" s="411">
        <f>'Details PC'!J151</f>
        <v>6122504679</v>
      </c>
      <c r="P149" s="242">
        <f>'Details PC'!F151</f>
        <v>45832</v>
      </c>
      <c r="R149">
        <f>'Details PC'!T151</f>
        <v>245214.00000000003</v>
      </c>
    </row>
    <row r="150" spans="1:18" x14ac:dyDescent="0.3">
      <c r="A150">
        <v>0</v>
      </c>
      <c r="B150">
        <f>'Details PC'!B152</f>
        <v>148</v>
      </c>
      <c r="E150" t="str">
        <f>'Details PC'!H152</f>
        <v>AUTOCOMP CORPORATION PANSE PVT LTD</v>
      </c>
      <c r="G150" s="242" t="e">
        <f>'Details PC'!#REF!</f>
        <v>#REF!</v>
      </c>
      <c r="L150">
        <f>'Details PC'!R152</f>
        <v>8065</v>
      </c>
      <c r="N150">
        <f>'Details PC'!S152</f>
        <v>34.200000000000003</v>
      </c>
      <c r="O150" s="411">
        <f>'Details PC'!J152</f>
        <v>6122504678</v>
      </c>
      <c r="P150" s="242">
        <f>'Details PC'!F152</f>
        <v>45832</v>
      </c>
      <c r="R150">
        <f>'Details PC'!T152</f>
        <v>275823</v>
      </c>
    </row>
    <row r="151" spans="1:18" x14ac:dyDescent="0.3">
      <c r="A151">
        <v>0</v>
      </c>
      <c r="B151">
        <f>'Details PC'!B153</f>
        <v>149</v>
      </c>
      <c r="E151" t="str">
        <f>'Details PC'!H153</f>
        <v>AUTOCOMP CORPORATION PANSE PVT LTD</v>
      </c>
      <c r="G151" s="242" t="e">
        <f>'Details PC'!#REF!</f>
        <v>#REF!</v>
      </c>
      <c r="L151">
        <f>'Details PC'!R153</f>
        <v>5660</v>
      </c>
      <c r="N151">
        <f>'Details PC'!S153</f>
        <v>34.200000000000003</v>
      </c>
      <c r="O151" s="411">
        <f>'Details PC'!J153</f>
        <v>6122504739</v>
      </c>
      <c r="P151" s="242">
        <f>'Details PC'!F153</f>
        <v>45833</v>
      </c>
      <c r="R151">
        <f>'Details PC'!T153</f>
        <v>193572.00000000003</v>
      </c>
    </row>
    <row r="152" spans="1:18" x14ac:dyDescent="0.3">
      <c r="A152">
        <v>0</v>
      </c>
      <c r="B152">
        <f>'Details PC'!B154</f>
        <v>150</v>
      </c>
      <c r="E152" t="str">
        <f>'Details PC'!H154</f>
        <v>AUTOCOMP CORPORATION PANSE PVT LTD</v>
      </c>
      <c r="G152" s="242" t="e">
        <f>'Details PC'!#REF!</f>
        <v>#REF!</v>
      </c>
      <c r="L152">
        <f>'Details PC'!R154</f>
        <v>14530</v>
      </c>
      <c r="N152">
        <f>'Details PC'!S154</f>
        <v>34.200000000000003</v>
      </c>
      <c r="O152" s="411">
        <f>'Details PC'!J154</f>
        <v>6122504742</v>
      </c>
      <c r="P152" s="242">
        <f>'Details PC'!F154</f>
        <v>45833</v>
      </c>
      <c r="R152">
        <f>'Details PC'!T154</f>
        <v>496926.00000000006</v>
      </c>
    </row>
    <row r="153" spans="1:18" x14ac:dyDescent="0.3">
      <c r="A153">
        <v>0</v>
      </c>
      <c r="B153">
        <f>'Details PC'!B155</f>
        <v>151</v>
      </c>
      <c r="E153" t="str">
        <f>'Details PC'!H155</f>
        <v>Ultra Corpotech Pvt Ltd</v>
      </c>
      <c r="G153" s="242" t="e">
        <f>'Details PC'!#REF!</f>
        <v>#REF!</v>
      </c>
      <c r="L153">
        <f>'Details PC'!R155</f>
        <v>8360</v>
      </c>
      <c r="N153">
        <f>'Details PC'!S155</f>
        <v>34.299999999999997</v>
      </c>
      <c r="O153" s="411">
        <f>'Details PC'!J155</f>
        <v>5252000432</v>
      </c>
      <c r="P153" s="242">
        <f>'Details PC'!F155</f>
        <v>45833</v>
      </c>
      <c r="R153">
        <f>'Details PC'!T155</f>
        <v>286748</v>
      </c>
    </row>
    <row r="154" spans="1:18" x14ac:dyDescent="0.3">
      <c r="A154">
        <v>0</v>
      </c>
      <c r="B154">
        <f>'Details PC'!B156</f>
        <v>152</v>
      </c>
      <c r="E154" t="str">
        <f>'Details PC'!H156</f>
        <v>Ultra Corpotech Pvt Ltd</v>
      </c>
      <c r="G154" s="242" t="e">
        <f>'Details PC'!#REF!</f>
        <v>#REF!</v>
      </c>
      <c r="L154">
        <f>'Details PC'!R156</f>
        <v>27490</v>
      </c>
      <c r="N154">
        <f>'Details PC'!S156</f>
        <v>34.299999999999997</v>
      </c>
      <c r="O154" s="411">
        <f>'Details PC'!J156</f>
        <v>8252000645</v>
      </c>
      <c r="P154" s="242">
        <f>'Details PC'!F156</f>
        <v>45833</v>
      </c>
      <c r="R154">
        <f>'Details PC'!T156</f>
        <v>942906.99999999988</v>
      </c>
    </row>
    <row r="155" spans="1:18" x14ac:dyDescent="0.3">
      <c r="A155">
        <v>0</v>
      </c>
      <c r="B155">
        <f>'Details PC'!B157</f>
        <v>153</v>
      </c>
      <c r="E155" t="str">
        <f>'Details PC'!H157</f>
        <v>AUTOCOMP CORPORATION PANSE PVT LTD</v>
      </c>
      <c r="G155" s="242" t="e">
        <f>'Details PC'!#REF!</f>
        <v>#REF!</v>
      </c>
      <c r="L155">
        <f>'Details PC'!R157</f>
        <v>7595</v>
      </c>
      <c r="N155">
        <f>'Details PC'!S157</f>
        <v>34.200000000000003</v>
      </c>
      <c r="O155" s="411">
        <f>'Details PC'!J157</f>
        <v>6122504804</v>
      </c>
      <c r="P155" s="242">
        <f>'Details PC'!F157</f>
        <v>45834</v>
      </c>
      <c r="R155">
        <f>'Details PC'!T157</f>
        <v>259749.00000000003</v>
      </c>
    </row>
    <row r="156" spans="1:18" x14ac:dyDescent="0.3">
      <c r="A156">
        <v>0</v>
      </c>
      <c r="B156">
        <f>'Details PC'!B158</f>
        <v>154</v>
      </c>
      <c r="E156" t="str">
        <f>'Details PC'!H158</f>
        <v>AUTOCOMP CORPORATION PANSE PVT LTD</v>
      </c>
      <c r="G156" s="242" t="e">
        <f>'Details PC'!#REF!</f>
        <v>#REF!</v>
      </c>
      <c r="L156">
        <f>'Details PC'!R158</f>
        <v>11505</v>
      </c>
      <c r="N156">
        <f>'Details PC'!S158</f>
        <v>34.200000000000003</v>
      </c>
      <c r="O156" s="411">
        <f>'Details PC'!J158</f>
        <v>6122504808</v>
      </c>
      <c r="P156" s="242">
        <f>'Details PC'!F158</f>
        <v>45834</v>
      </c>
      <c r="R156">
        <f>'Details PC'!T158</f>
        <v>393471.00000000006</v>
      </c>
    </row>
    <row r="157" spans="1:18" x14ac:dyDescent="0.3">
      <c r="A157">
        <v>0</v>
      </c>
      <c r="B157">
        <f>'Details PC'!B159</f>
        <v>155</v>
      </c>
      <c r="E157" t="str">
        <f>'Details PC'!H159</f>
        <v>AUTOCOMP CORPORATION PANSE PVT LTD</v>
      </c>
      <c r="G157" s="242" t="e">
        <f>'Details PC'!#REF!</f>
        <v>#REF!</v>
      </c>
      <c r="L157">
        <f>'Details PC'!R159</f>
        <v>9485</v>
      </c>
      <c r="N157">
        <f>'Details PC'!S159</f>
        <v>34.200000000000003</v>
      </c>
      <c r="O157" s="411">
        <f>'Details PC'!J159</f>
        <v>6122504805</v>
      </c>
      <c r="P157" s="242">
        <f>'Details PC'!F159</f>
        <v>45834</v>
      </c>
      <c r="R157">
        <f>'Details PC'!T159</f>
        <v>324387</v>
      </c>
    </row>
    <row r="158" spans="1:18" x14ac:dyDescent="0.3">
      <c r="A158">
        <v>0</v>
      </c>
      <c r="B158">
        <f>'Details PC'!B160</f>
        <v>156</v>
      </c>
      <c r="E158" t="str">
        <f>'Details PC'!H160</f>
        <v>AUTOCOMP CORPORATION PANSE PVT LTD</v>
      </c>
      <c r="G158" s="242" t="e">
        <f>'Details PC'!#REF!</f>
        <v>#REF!</v>
      </c>
      <c r="L158">
        <f>'Details PC'!R160</f>
        <v>8675</v>
      </c>
      <c r="N158">
        <f>'Details PC'!S160</f>
        <v>34.200000000000003</v>
      </c>
      <c r="O158" s="411">
        <f>'Details PC'!J160</f>
        <v>6122504827</v>
      </c>
      <c r="P158" s="242">
        <f>'Details PC'!F160</f>
        <v>45834</v>
      </c>
      <c r="R158">
        <f>'Details PC'!T160</f>
        <v>296685</v>
      </c>
    </row>
    <row r="159" spans="1:18" x14ac:dyDescent="0.3">
      <c r="A159">
        <v>0</v>
      </c>
      <c r="B159">
        <f>'Details PC'!B161</f>
        <v>157</v>
      </c>
      <c r="E159" t="str">
        <f>'Details PC'!H161</f>
        <v>Tata Motors Passenger Vehicle Ltd</v>
      </c>
      <c r="G159" s="242" t="e">
        <f>'Details PC'!#REF!</f>
        <v>#REF!</v>
      </c>
      <c r="L159">
        <f>'Details PC'!R161</f>
        <v>4640</v>
      </c>
      <c r="N159">
        <f>'Details PC'!S161</f>
        <v>31.120999999999999</v>
      </c>
      <c r="O159" s="411" t="str">
        <f>'Details PC'!J161</f>
        <v>MH6100292004</v>
      </c>
      <c r="P159" s="242">
        <f>'Details PC'!F161</f>
        <v>45835</v>
      </c>
      <c r="R159">
        <f>'Details PC'!T161</f>
        <v>144401.44</v>
      </c>
    </row>
    <row r="160" spans="1:18" x14ac:dyDescent="0.3">
      <c r="A160">
        <v>0</v>
      </c>
      <c r="B160">
        <f>'Details PC'!B162</f>
        <v>158</v>
      </c>
      <c r="E160" t="str">
        <f>'Details PC'!H162</f>
        <v>Tata Motors Passenger Vehicle Ltd</v>
      </c>
      <c r="G160" s="242" t="e">
        <f>'Details PC'!#REF!</f>
        <v>#REF!</v>
      </c>
      <c r="L160">
        <f>'Details PC'!R162</f>
        <v>3900</v>
      </c>
      <c r="N160">
        <f>'Details PC'!S162</f>
        <v>31.120999999999999</v>
      </c>
      <c r="O160" s="411" t="str">
        <f>'Details PC'!J162</f>
        <v>MH6100293309</v>
      </c>
      <c r="P160" s="242">
        <f>'Details PC'!F162</f>
        <v>45835</v>
      </c>
      <c r="R160">
        <f>'Details PC'!T162</f>
        <v>121371.9</v>
      </c>
    </row>
    <row r="161" spans="1:18" x14ac:dyDescent="0.3">
      <c r="A161">
        <v>0</v>
      </c>
      <c r="B161">
        <f>'Details PC'!B163</f>
        <v>159</v>
      </c>
      <c r="E161" t="str">
        <f>'Details PC'!H163</f>
        <v>AUTOCOMP CORPORATION PANSE PVT LTD</v>
      </c>
      <c r="G161" s="242" t="e">
        <f>'Details PC'!#REF!</f>
        <v>#REF!</v>
      </c>
      <c r="L161">
        <f>'Details PC'!R163</f>
        <v>8060</v>
      </c>
      <c r="N161">
        <f>'Details PC'!S163</f>
        <v>34.200000000000003</v>
      </c>
      <c r="O161" s="411">
        <f>'Details PC'!J163</f>
        <v>6122504858</v>
      </c>
      <c r="P161" s="242">
        <f>'Details PC'!F163</f>
        <v>45835</v>
      </c>
      <c r="R161">
        <f>'Details PC'!T163</f>
        <v>275652</v>
      </c>
    </row>
    <row r="162" spans="1:18" x14ac:dyDescent="0.3">
      <c r="A162">
        <v>0</v>
      </c>
      <c r="B162">
        <f>'Details PC'!B164</f>
        <v>160</v>
      </c>
      <c r="E162" t="str">
        <f>'Details PC'!H164</f>
        <v>AUTOCOMP CORPORATION PANSE PVT LTD</v>
      </c>
      <c r="G162" s="242" t="e">
        <f>'Details PC'!#REF!</f>
        <v>#REF!</v>
      </c>
      <c r="L162">
        <f>'Details PC'!R164</f>
        <v>8280</v>
      </c>
      <c r="N162">
        <f>'Details PC'!S164</f>
        <v>34.200000000000003</v>
      </c>
      <c r="O162" s="411">
        <f>'Details PC'!J164</f>
        <v>6122504864</v>
      </c>
      <c r="P162" s="242">
        <f>'Details PC'!F164</f>
        <v>45835</v>
      </c>
      <c r="R162">
        <f>'Details PC'!T164</f>
        <v>283176</v>
      </c>
    </row>
    <row r="163" spans="1:18" x14ac:dyDescent="0.3">
      <c r="A163">
        <v>0</v>
      </c>
      <c r="B163">
        <f>'Details PC'!B165</f>
        <v>161</v>
      </c>
      <c r="E163" t="str">
        <f>'Details PC'!H165</f>
        <v>Ultra Corpotech Pvt Ltd</v>
      </c>
      <c r="G163" s="242" t="e">
        <f>'Details PC'!#REF!</f>
        <v>#REF!</v>
      </c>
      <c r="L163">
        <f>'Details PC'!R165</f>
        <v>26060</v>
      </c>
      <c r="N163">
        <f>'Details PC'!S165</f>
        <v>34.299999999999997</v>
      </c>
      <c r="O163" s="411">
        <f>'Details PC'!J165</f>
        <v>8252000667</v>
      </c>
      <c r="P163" s="242">
        <f>'Details PC'!F165</f>
        <v>45835</v>
      </c>
      <c r="R163">
        <f>'Details PC'!T165</f>
        <v>893857.99999999988</v>
      </c>
    </row>
    <row r="164" spans="1:18" x14ac:dyDescent="0.3">
      <c r="A164">
        <v>0</v>
      </c>
      <c r="B164">
        <f>'Details PC'!B166</f>
        <v>162</v>
      </c>
      <c r="E164" t="str">
        <f>'Details PC'!H166</f>
        <v>AUTOCOMP CORPORATION PANSE PVT LTD</v>
      </c>
      <c r="G164" s="242" t="e">
        <f>'Details PC'!#REF!</f>
        <v>#REF!</v>
      </c>
      <c r="L164">
        <f>'Details PC'!R166</f>
        <v>5225</v>
      </c>
      <c r="N164">
        <f>'Details PC'!S166</f>
        <v>34.200000000000003</v>
      </c>
      <c r="O164" s="411">
        <f>'Details PC'!J166</f>
        <v>6122504912</v>
      </c>
      <c r="P164" s="242">
        <f>'Details PC'!F166</f>
        <v>45836</v>
      </c>
      <c r="R164">
        <f>'Details PC'!T166</f>
        <v>178695.00000000003</v>
      </c>
    </row>
    <row r="165" spans="1:18" x14ac:dyDescent="0.3">
      <c r="A165">
        <v>0</v>
      </c>
      <c r="B165">
        <f>'Details PC'!B167</f>
        <v>163</v>
      </c>
      <c r="E165" t="str">
        <f>'Details PC'!H167</f>
        <v>AUTOCOMP CORPORATION PANSE PVT LTD</v>
      </c>
      <c r="G165" s="242" t="e">
        <f>'Details PC'!#REF!</f>
        <v>#REF!</v>
      </c>
      <c r="L165">
        <f>'Details PC'!R167</f>
        <v>5665</v>
      </c>
      <c r="N165">
        <f>'Details PC'!S167</f>
        <v>34.200000000000003</v>
      </c>
      <c r="O165" s="411">
        <f>'Details PC'!J167</f>
        <v>6122504905</v>
      </c>
      <c r="P165" s="242">
        <f>'Details PC'!F167</f>
        <v>45836</v>
      </c>
      <c r="R165">
        <f>'Details PC'!T167</f>
        <v>193743.00000000003</v>
      </c>
    </row>
    <row r="166" spans="1:18" x14ac:dyDescent="0.3">
      <c r="A166">
        <v>0</v>
      </c>
      <c r="B166">
        <f>'Details PC'!B168</f>
        <v>164</v>
      </c>
      <c r="E166" t="str">
        <f>'Details PC'!H168</f>
        <v>AUTOCOMP CORPORATION PANSE PVT LTD</v>
      </c>
      <c r="G166" s="242" t="e">
        <f>'Details PC'!#REF!</f>
        <v>#REF!</v>
      </c>
      <c r="L166">
        <f>'Details PC'!R168</f>
        <v>7170</v>
      </c>
      <c r="N166">
        <f>'Details PC'!S168</f>
        <v>34.200000000000003</v>
      </c>
      <c r="O166" s="411">
        <f>'Details PC'!J168</f>
        <v>6122504915</v>
      </c>
      <c r="P166" s="242">
        <f>'Details PC'!F168</f>
        <v>45836</v>
      </c>
      <c r="R166">
        <f>'Details PC'!T168</f>
        <v>245214.00000000003</v>
      </c>
    </row>
    <row r="167" spans="1:18" x14ac:dyDescent="0.3">
      <c r="A167">
        <v>0</v>
      </c>
      <c r="B167">
        <f>'Details PC'!B169</f>
        <v>165</v>
      </c>
      <c r="E167" t="str">
        <f>'Details PC'!H169</f>
        <v>Ultra Corpotech Pvt Ltd</v>
      </c>
      <c r="G167" s="242" t="e">
        <f>'Details PC'!#REF!</f>
        <v>#REF!</v>
      </c>
      <c r="L167">
        <f>'Details PC'!R169</f>
        <v>31550</v>
      </c>
      <c r="N167">
        <f>'Details PC'!S169</f>
        <v>34.299999999999997</v>
      </c>
      <c r="O167" s="411">
        <f>'Details PC'!J169</f>
        <v>8252000683</v>
      </c>
      <c r="P167" s="242">
        <f>'Details PC'!F169</f>
        <v>45836</v>
      </c>
      <c r="R167">
        <f>'Details PC'!T169</f>
        <v>1082165</v>
      </c>
    </row>
    <row r="168" spans="1:18" x14ac:dyDescent="0.3">
      <c r="A168">
        <v>0</v>
      </c>
      <c r="B168">
        <f>'Details PC'!B170</f>
        <v>166</v>
      </c>
      <c r="E168" t="str">
        <f>'Details PC'!H170</f>
        <v>Ultra Corpotech Pvt Ltd</v>
      </c>
      <c r="G168" s="242" t="e">
        <f>'Details PC'!#REF!</f>
        <v>#REF!</v>
      </c>
      <c r="L168">
        <f>'Details PC'!R170</f>
        <v>7140</v>
      </c>
      <c r="N168">
        <f>'Details PC'!S170</f>
        <v>34.299999999999997</v>
      </c>
      <c r="O168" s="411">
        <f>'Details PC'!J170</f>
        <v>4252001199</v>
      </c>
      <c r="P168" s="242">
        <f>'Details PC'!F170</f>
        <v>45837</v>
      </c>
      <c r="R168">
        <f>'Details PC'!T170</f>
        <v>244901.99999999997</v>
      </c>
    </row>
    <row r="169" spans="1:18" x14ac:dyDescent="0.3">
      <c r="A169">
        <v>0</v>
      </c>
      <c r="B169">
        <f>'Details PC'!B171</f>
        <v>167</v>
      </c>
      <c r="E169" t="str">
        <f>'Details PC'!H171</f>
        <v>Ultra Corpotech Pvt Ltd</v>
      </c>
      <c r="G169" s="242" t="e">
        <f>'Details PC'!#REF!</f>
        <v>#REF!</v>
      </c>
      <c r="L169">
        <f>'Details PC'!R171</f>
        <v>15970</v>
      </c>
      <c r="N169">
        <f>'Details PC'!S171</f>
        <v>34.299999999999997</v>
      </c>
      <c r="O169" s="411">
        <f>'Details PC'!J171</f>
        <v>8252000693</v>
      </c>
      <c r="P169" s="242">
        <f>'Details PC'!F171</f>
        <v>45837</v>
      </c>
      <c r="R169">
        <f>'Details PC'!T171</f>
        <v>547771</v>
      </c>
    </row>
    <row r="170" spans="1:18" x14ac:dyDescent="0.3">
      <c r="A170">
        <v>0</v>
      </c>
      <c r="B170">
        <f>'Details PC'!B172</f>
        <v>168</v>
      </c>
      <c r="E170" t="str">
        <f>'Details PC'!H172</f>
        <v>Tata Motors Passenger Vehicle Ltd</v>
      </c>
      <c r="G170" s="242" t="e">
        <f>'Details PC'!#REF!</f>
        <v>#REF!</v>
      </c>
      <c r="L170">
        <f>'Details PC'!R172</f>
        <v>3190</v>
      </c>
      <c r="N170">
        <f>'Details PC'!S172</f>
        <v>31.120999999999999</v>
      </c>
      <c r="O170" s="411" t="str">
        <f>'Details PC'!J172</f>
        <v>MH6100304043</v>
      </c>
      <c r="P170" s="242">
        <f>'Details PC'!F172</f>
        <v>45838</v>
      </c>
      <c r="R170">
        <f>'Details PC'!T172</f>
        <v>99275.989999999991</v>
      </c>
    </row>
    <row r="171" spans="1:18" x14ac:dyDescent="0.3">
      <c r="A171">
        <v>0</v>
      </c>
      <c r="B171">
        <f>'Details PC'!B173</f>
        <v>169</v>
      </c>
      <c r="E171" t="str">
        <f>'Details PC'!H173</f>
        <v>AUTOCOMP CORPORATION PANSE PRIVATE LIMITED</v>
      </c>
      <c r="G171" s="242" t="e">
        <f>'Details PC'!#REF!</f>
        <v>#REF!</v>
      </c>
      <c r="L171">
        <f>'Details PC'!R173</f>
        <v>11005</v>
      </c>
      <c r="N171">
        <f>'Details PC'!S173</f>
        <v>34.200000000000003</v>
      </c>
      <c r="O171" s="411">
        <f>'Details PC'!J173</f>
        <v>6122504982</v>
      </c>
      <c r="P171" s="242">
        <f>'Details PC'!F173</f>
        <v>45838</v>
      </c>
      <c r="R171">
        <f>'Details PC'!T173</f>
        <v>376371.00000000006</v>
      </c>
    </row>
    <row r="172" spans="1:18" x14ac:dyDescent="0.3">
      <c r="A172">
        <v>0</v>
      </c>
      <c r="B172">
        <f>'Details PC'!B174</f>
        <v>170</v>
      </c>
      <c r="E172" t="str">
        <f>'Details PC'!H174</f>
        <v>AUTOCOMP CORPORATION PANSE PVT LTD</v>
      </c>
      <c r="G172" s="242" t="e">
        <f>'Details PC'!#REF!</f>
        <v>#REF!</v>
      </c>
      <c r="L172">
        <f>'Details PC'!R174</f>
        <v>8395</v>
      </c>
      <c r="N172">
        <f>'Details PC'!S174</f>
        <v>34.200000000000003</v>
      </c>
      <c r="O172" s="411">
        <f>'Details PC'!J174</f>
        <v>6122505005</v>
      </c>
      <c r="P172" s="242">
        <f>'Details PC'!F174</f>
        <v>45838</v>
      </c>
      <c r="R172">
        <f>'Details PC'!T174</f>
        <v>287109</v>
      </c>
    </row>
    <row r="173" spans="1:18" x14ac:dyDescent="0.3">
      <c r="A173">
        <v>0</v>
      </c>
      <c r="B173">
        <f>'Details PC'!B175</f>
        <v>171</v>
      </c>
      <c r="E173" t="str">
        <f>'Details PC'!H175</f>
        <v>AUTOCOMP CORPORATION PANSE PVT LTD</v>
      </c>
      <c r="G173" s="242" t="e">
        <f>'Details PC'!#REF!</f>
        <v>#REF!</v>
      </c>
      <c r="L173">
        <f>'Details PC'!R175</f>
        <v>6135</v>
      </c>
      <c r="N173">
        <f>'Details PC'!S175</f>
        <v>34.200000000000003</v>
      </c>
      <c r="O173" s="411">
        <f>'Details PC'!J175</f>
        <v>6122504981</v>
      </c>
      <c r="P173" s="242">
        <f>'Details PC'!F175</f>
        <v>45838</v>
      </c>
      <c r="R173">
        <f>'Details PC'!T175</f>
        <v>209817.00000000003</v>
      </c>
    </row>
    <row r="174" spans="1:18" x14ac:dyDescent="0.3">
      <c r="A174">
        <v>0</v>
      </c>
      <c r="B174">
        <f>'Details PC'!B176</f>
        <v>172</v>
      </c>
      <c r="E174" t="str">
        <f>'Details PC'!H176</f>
        <v>Ultra Corpotech Pvt Ltd</v>
      </c>
      <c r="G174" s="242" t="e">
        <f>'Details PC'!#REF!</f>
        <v>#REF!</v>
      </c>
      <c r="L174">
        <f>'Details PC'!R176</f>
        <v>17530</v>
      </c>
      <c r="N174">
        <f>'Details PC'!S176</f>
        <v>34.299999999999997</v>
      </c>
      <c r="O174" s="411">
        <f>'Details PC'!J176</f>
        <v>5252000468</v>
      </c>
      <c r="P174" s="242">
        <f>'Details PC'!F176</f>
        <v>45838</v>
      </c>
      <c r="R174">
        <f>'Details PC'!T176</f>
        <v>601279</v>
      </c>
    </row>
    <row r="175" spans="1:18" x14ac:dyDescent="0.3">
      <c r="A175">
        <v>0</v>
      </c>
      <c r="B175">
        <f>'Details PC'!B177</f>
        <v>173</v>
      </c>
      <c r="E175" t="str">
        <f>'Details PC'!H177</f>
        <v>Ultra Corpotech Pvt Ltd</v>
      </c>
      <c r="G175" s="242" t="e">
        <f>'Details PC'!#REF!</f>
        <v>#REF!</v>
      </c>
      <c r="L175">
        <f>'Details PC'!R177</f>
        <v>37510</v>
      </c>
      <c r="N175">
        <f>'Details PC'!S177</f>
        <v>34.299999999999997</v>
      </c>
      <c r="O175" s="411">
        <f>'Details PC'!J177</f>
        <v>8252000734</v>
      </c>
      <c r="P175" s="242">
        <f>'Details PC'!F177</f>
        <v>45838</v>
      </c>
      <c r="R175">
        <f>'Details PC'!T177</f>
        <v>1286593</v>
      </c>
    </row>
    <row r="176" spans="1:18" x14ac:dyDescent="0.3">
      <c r="A176">
        <v>0</v>
      </c>
      <c r="B176">
        <f>'Details PC'!B178</f>
        <v>174</v>
      </c>
      <c r="E176" t="str">
        <f>'Details PC'!H178</f>
        <v>Ultra Corpotech Pvt Ltd</v>
      </c>
      <c r="G176" s="242" t="e">
        <f>'Details PC'!#REF!</f>
        <v>#REF!</v>
      </c>
      <c r="L176">
        <f>'Details PC'!R178</f>
        <v>20250</v>
      </c>
      <c r="N176">
        <f>'Details PC'!S178</f>
        <v>33.1</v>
      </c>
      <c r="O176" s="411">
        <f>'Details PC'!J178</f>
        <v>6252000023</v>
      </c>
      <c r="P176" s="242">
        <f>'Details PC'!F178</f>
        <v>45841</v>
      </c>
      <c r="R176">
        <f>'Details PC'!T178</f>
        <v>670275</v>
      </c>
    </row>
    <row r="177" spans="1:18" x14ac:dyDescent="0.3">
      <c r="A177">
        <v>0</v>
      </c>
      <c r="B177">
        <f>'Details PC'!B179</f>
        <v>175</v>
      </c>
      <c r="E177" t="str">
        <f>'Details PC'!H179</f>
        <v>Ultra Corpotech Pvt Ltd</v>
      </c>
      <c r="G177" s="242" t="e">
        <f>'Details PC'!#REF!</f>
        <v>#REF!</v>
      </c>
      <c r="L177">
        <f>'Details PC'!R179</f>
        <v>25560</v>
      </c>
      <c r="N177">
        <f>'Details PC'!S179</f>
        <v>33.1</v>
      </c>
      <c r="O177" s="411">
        <f>'Details PC'!J179</f>
        <v>8252000751</v>
      </c>
      <c r="P177" s="242">
        <f>'Details PC'!F179</f>
        <v>45842</v>
      </c>
      <c r="R177">
        <f>'Details PC'!T179</f>
        <v>846036</v>
      </c>
    </row>
    <row r="178" spans="1:18" x14ac:dyDescent="0.3">
      <c r="A178">
        <v>0</v>
      </c>
      <c r="B178">
        <f>'Details PC'!B180</f>
        <v>176</v>
      </c>
      <c r="E178" t="str">
        <f>'Details PC'!H180</f>
        <v>Ultra Corpotech Pvt Ltd</v>
      </c>
      <c r="G178" s="242" t="e">
        <f>'Details PC'!#REF!</f>
        <v>#REF!</v>
      </c>
      <c r="L178">
        <f>'Details PC'!R180</f>
        <v>6560</v>
      </c>
      <c r="N178">
        <f>'Details PC'!S180</f>
        <v>33.1</v>
      </c>
      <c r="O178" s="411">
        <f>'Details PC'!J180</f>
        <v>5252000479</v>
      </c>
      <c r="P178" s="242">
        <f>'Details PC'!F180</f>
        <v>45842</v>
      </c>
      <c r="R178">
        <f>'Details PC'!T180</f>
        <v>217136</v>
      </c>
    </row>
    <row r="179" spans="1:18" x14ac:dyDescent="0.3">
      <c r="A179">
        <v>0</v>
      </c>
      <c r="B179">
        <f>'Details PC'!B181</f>
        <v>177</v>
      </c>
      <c r="E179" t="str">
        <f>'Details PC'!H181</f>
        <v>Ultra Corpotech Pvt Ltd</v>
      </c>
      <c r="G179" s="242" t="e">
        <f>'Details PC'!#REF!</f>
        <v>#REF!</v>
      </c>
      <c r="L179">
        <f>'Details PC'!R181</f>
        <v>11620</v>
      </c>
      <c r="N179">
        <f>'Details PC'!S181</f>
        <v>33.1</v>
      </c>
      <c r="O179" s="411">
        <f>'Details PC'!J181</f>
        <v>5252000481</v>
      </c>
      <c r="P179" s="242">
        <f>'Details PC'!F181</f>
        <v>45842</v>
      </c>
      <c r="R179">
        <f>'Details PC'!T181</f>
        <v>384622</v>
      </c>
    </row>
    <row r="180" spans="1:18" x14ac:dyDescent="0.3">
      <c r="A180">
        <v>0</v>
      </c>
      <c r="B180">
        <f>'Details PC'!B182</f>
        <v>178</v>
      </c>
      <c r="E180" t="str">
        <f>'Details PC'!H182</f>
        <v>Ultra Corpotech Pvt Ltd</v>
      </c>
      <c r="G180" s="242" t="e">
        <f>'Details PC'!#REF!</f>
        <v>#REF!</v>
      </c>
      <c r="L180">
        <f>'Details PC'!R182</f>
        <v>18280</v>
      </c>
      <c r="N180">
        <f>'Details PC'!S182</f>
        <v>33.1</v>
      </c>
      <c r="O180" s="411">
        <f>'Details PC'!J182</f>
        <v>6252000028</v>
      </c>
      <c r="P180" s="242">
        <f>'Details PC'!F182</f>
        <v>45846</v>
      </c>
      <c r="R180">
        <f>'Details PC'!T182</f>
        <v>605068</v>
      </c>
    </row>
    <row r="181" spans="1:18" x14ac:dyDescent="0.3">
      <c r="A181">
        <v>0</v>
      </c>
      <c r="B181">
        <f>'Details PC'!B183</f>
        <v>179</v>
      </c>
      <c r="E181" t="str">
        <f>'Details PC'!H183</f>
        <v>Ultra Corpotech Pvt Ltd</v>
      </c>
      <c r="G181" s="242" t="e">
        <f>'Details PC'!#REF!</f>
        <v>#REF!</v>
      </c>
      <c r="L181">
        <f>'Details PC'!R183</f>
        <v>14660</v>
      </c>
      <c r="N181">
        <f>'Details PC'!S183</f>
        <v>33.1</v>
      </c>
      <c r="O181" s="411">
        <f>'Details PC'!J183</f>
        <v>5252000506</v>
      </c>
      <c r="P181" s="242">
        <f>'Details PC'!F183</f>
        <v>45849</v>
      </c>
      <c r="R181">
        <f>'Details PC'!T183</f>
        <v>485246</v>
      </c>
    </row>
    <row r="182" spans="1:18" x14ac:dyDescent="0.3">
      <c r="A182">
        <v>0</v>
      </c>
      <c r="B182">
        <f>'Details PC'!B184</f>
        <v>180</v>
      </c>
      <c r="E182" t="str">
        <f>'Details PC'!H184</f>
        <v>Ultra Corpotech Pvt Ltd</v>
      </c>
      <c r="G182" s="242" t="e">
        <f>'Details PC'!#REF!</f>
        <v>#REF!</v>
      </c>
      <c r="L182">
        <f>'Details PC'!R184</f>
        <v>4870</v>
      </c>
      <c r="N182">
        <f>'Details PC'!S184</f>
        <v>33.1</v>
      </c>
      <c r="O182" s="411">
        <f>'Details PC'!J184</f>
        <v>7252000191</v>
      </c>
      <c r="P182" s="242">
        <f>'Details PC'!F184</f>
        <v>45850</v>
      </c>
      <c r="R182">
        <f>'Details PC'!T184</f>
        <v>161197</v>
      </c>
    </row>
    <row r="183" spans="1:18" x14ac:dyDescent="0.3">
      <c r="A183">
        <v>0</v>
      </c>
      <c r="B183">
        <f>'Details PC'!B185</f>
        <v>181</v>
      </c>
      <c r="E183" t="str">
        <f>'Details PC'!H185</f>
        <v>Ultra Corpotech Pvt Ltd</v>
      </c>
      <c r="G183" s="242" t="e">
        <f>'Details PC'!#REF!</f>
        <v>#REF!</v>
      </c>
      <c r="L183">
        <f>'Details PC'!R185</f>
        <v>16810</v>
      </c>
      <c r="N183">
        <f>'Details PC'!S185</f>
        <v>33.1</v>
      </c>
      <c r="O183" s="411">
        <f>'Details PC'!J185</f>
        <v>8252000871</v>
      </c>
      <c r="P183" s="242">
        <f>'Details PC'!F185</f>
        <v>45853</v>
      </c>
      <c r="R183">
        <f>'Details PC'!T185</f>
        <v>556411</v>
      </c>
    </row>
    <row r="184" spans="1:18" x14ac:dyDescent="0.3">
      <c r="A184">
        <v>0</v>
      </c>
      <c r="B184">
        <f>'Details PC'!B186</f>
        <v>182</v>
      </c>
      <c r="E184" t="str">
        <f>'Details PC'!H186</f>
        <v>Ultra Corpotech Pvt Ltd</v>
      </c>
      <c r="G184" s="242" t="e">
        <f>'Details PC'!#REF!</f>
        <v>#REF!</v>
      </c>
      <c r="L184">
        <f>'Details PC'!R186</f>
        <v>7870</v>
      </c>
      <c r="N184">
        <f>'Details PC'!S186</f>
        <v>33.1</v>
      </c>
      <c r="O184" s="411">
        <f>'Details PC'!J186</f>
        <v>5252000530</v>
      </c>
      <c r="P184" s="242">
        <f>'Details PC'!F186</f>
        <v>45854</v>
      </c>
      <c r="R184">
        <f>'Details PC'!T186</f>
        <v>260497</v>
      </c>
    </row>
    <row r="185" spans="1:18" x14ac:dyDescent="0.3">
      <c r="A185">
        <v>0</v>
      </c>
      <c r="B185">
        <f>'Details PC'!B187</f>
        <v>183</v>
      </c>
      <c r="E185" t="str">
        <f>'Details PC'!H187</f>
        <v>Ultra Corpotech Pvt Ltd</v>
      </c>
      <c r="G185" s="242" t="e">
        <f>'Details PC'!#REF!</f>
        <v>#REF!</v>
      </c>
      <c r="L185">
        <f>'Details PC'!R187</f>
        <v>3950</v>
      </c>
      <c r="N185">
        <f>'Details PC'!S187</f>
        <v>33.1</v>
      </c>
      <c r="O185" s="411">
        <f>'Details PC'!J187</f>
        <v>7252000200</v>
      </c>
      <c r="P185" s="242">
        <f>'Details PC'!F187</f>
        <v>45856</v>
      </c>
      <c r="R185">
        <f>'Details PC'!T187</f>
        <v>130745</v>
      </c>
    </row>
    <row r="186" spans="1:18" x14ac:dyDescent="0.3">
      <c r="A186">
        <v>0</v>
      </c>
      <c r="B186">
        <f>'Details PC'!B188</f>
        <v>184</v>
      </c>
      <c r="E186" t="str">
        <f>'Details PC'!H188</f>
        <v>Ultra Corpotech Pvt Ltd</v>
      </c>
      <c r="G186" s="242" t="e">
        <f>'Details PC'!#REF!</f>
        <v>#REF!</v>
      </c>
      <c r="L186">
        <f>'Details PC'!R188</f>
        <v>19420</v>
      </c>
      <c r="N186">
        <f>'Details PC'!S188</f>
        <v>33.1</v>
      </c>
      <c r="O186" s="411">
        <f>'Details PC'!J188</f>
        <v>6252000029</v>
      </c>
      <c r="P186" s="242">
        <f>'Details PC'!F188</f>
        <v>45857</v>
      </c>
      <c r="R186">
        <f>'Details PC'!T188</f>
        <v>642802</v>
      </c>
    </row>
    <row r="187" spans="1:18" x14ac:dyDescent="0.3">
      <c r="A187">
        <v>0</v>
      </c>
      <c r="B187">
        <f>'Details PC'!B189</f>
        <v>185</v>
      </c>
      <c r="E187" t="str">
        <f>'Details PC'!H189</f>
        <v>Ultra Corpotech Pvt Ltd</v>
      </c>
      <c r="G187" s="242" t="e">
        <f>'Details PC'!#REF!</f>
        <v>#REF!</v>
      </c>
      <c r="L187">
        <f>'Details PC'!R189</f>
        <v>7190</v>
      </c>
      <c r="N187">
        <f>'Details PC'!S189</f>
        <v>33.1</v>
      </c>
      <c r="O187" s="411">
        <f>'Details PC'!J189</f>
        <v>5252000544</v>
      </c>
      <c r="P187" s="242">
        <f>'Details PC'!F189</f>
        <v>45859</v>
      </c>
      <c r="R187">
        <f>'Details PC'!T189</f>
        <v>237989</v>
      </c>
    </row>
    <row r="188" spans="1:18" x14ac:dyDescent="0.3">
      <c r="A188">
        <v>0</v>
      </c>
      <c r="B188">
        <f>'Details PC'!B190</f>
        <v>186</v>
      </c>
      <c r="E188" t="str">
        <f>'Details PC'!H190</f>
        <v>Ultra Corpotech Pvt Ltd</v>
      </c>
      <c r="G188" s="242" t="e">
        <f>'Details PC'!#REF!</f>
        <v>#REF!</v>
      </c>
      <c r="L188">
        <f>'Details PC'!R190</f>
        <v>6120</v>
      </c>
      <c r="N188">
        <f>'Details PC'!S190</f>
        <v>33.1</v>
      </c>
      <c r="O188" s="411">
        <f>'Details PC'!J190</f>
        <v>5252000545</v>
      </c>
      <c r="P188" s="242">
        <f>'Details PC'!F190</f>
        <v>45859</v>
      </c>
      <c r="R188">
        <f>'Details PC'!T190</f>
        <v>202572</v>
      </c>
    </row>
    <row r="189" spans="1:18" x14ac:dyDescent="0.3">
      <c r="A189">
        <v>0</v>
      </c>
      <c r="B189">
        <f>'Details PC'!B191</f>
        <v>187</v>
      </c>
      <c r="E189" t="str">
        <f>'Details PC'!H191</f>
        <v>Ultra Corpotech Pvt Ltd</v>
      </c>
      <c r="G189" s="242" t="e">
        <f>'Details PC'!#REF!</f>
        <v>#REF!</v>
      </c>
      <c r="L189">
        <f>'Details PC'!R191</f>
        <v>19450</v>
      </c>
      <c r="N189">
        <f>'Details PC'!S191</f>
        <v>33.1</v>
      </c>
      <c r="O189" s="411">
        <f>'Details PC'!J191</f>
        <v>6252000030</v>
      </c>
      <c r="P189" s="242">
        <f>'Details PC'!F191</f>
        <v>45861</v>
      </c>
      <c r="R189">
        <f>'Details PC'!T191</f>
        <v>643795</v>
      </c>
    </row>
    <row r="190" spans="1:18" x14ac:dyDescent="0.3">
      <c r="A190">
        <v>0</v>
      </c>
      <c r="B190">
        <f>'Details PC'!B192</f>
        <v>188</v>
      </c>
      <c r="E190" t="str">
        <f>'Details PC'!H192</f>
        <v>Ultra Corpotech Pvt Ltd</v>
      </c>
      <c r="G190" s="242" t="e">
        <f>'Details PC'!#REF!</f>
        <v>#REF!</v>
      </c>
      <c r="L190">
        <f>'Details PC'!R192</f>
        <v>20340</v>
      </c>
      <c r="N190">
        <f>'Details PC'!S192</f>
        <v>33.1</v>
      </c>
      <c r="O190" s="411">
        <f>'Details PC'!J192</f>
        <v>8252000971</v>
      </c>
      <c r="P190" s="242">
        <f>'Details PC'!F192</f>
        <v>45863</v>
      </c>
      <c r="R190">
        <f>'Details PC'!T192</f>
        <v>673254</v>
      </c>
    </row>
    <row r="191" spans="1:18" x14ac:dyDescent="0.3">
      <c r="A191">
        <v>0</v>
      </c>
      <c r="B191">
        <f>'Details PC'!B193</f>
        <v>189</v>
      </c>
      <c r="E191" t="str">
        <f>'Details PC'!H193</f>
        <v>Ultra Corpotech Pvt Ltd</v>
      </c>
      <c r="G191" s="242" t="e">
        <f>'Details PC'!#REF!</f>
        <v>#REF!</v>
      </c>
      <c r="L191">
        <f>'Details PC'!R193</f>
        <v>33330</v>
      </c>
      <c r="N191">
        <f>'Details PC'!S193</f>
        <v>33.1</v>
      </c>
      <c r="O191" s="411">
        <f>'Details PC'!J193</f>
        <v>42522001600</v>
      </c>
      <c r="P191" s="242">
        <f>'Details PC'!F193</f>
        <v>45865</v>
      </c>
      <c r="R191">
        <f>'Details PC'!T193</f>
        <v>1103223</v>
      </c>
    </row>
    <row r="192" spans="1:18" x14ac:dyDescent="0.3">
      <c r="A192">
        <v>0</v>
      </c>
      <c r="B192">
        <f>'Details PC'!B194</f>
        <v>190</v>
      </c>
      <c r="E192" t="str">
        <f>'Details PC'!H194</f>
        <v>Ultra Corpotech Pvt Ltd</v>
      </c>
      <c r="G192" s="242" t="e">
        <f>'Details PC'!#REF!</f>
        <v>#REF!</v>
      </c>
      <c r="L192">
        <f>'Details PC'!R194</f>
        <v>25260</v>
      </c>
      <c r="N192">
        <f>'Details PC'!S194</f>
        <v>33.1</v>
      </c>
      <c r="O192" s="411">
        <f>'Details PC'!J194</f>
        <v>5252000598</v>
      </c>
      <c r="P192" s="242">
        <f>'Details PC'!F194</f>
        <v>45867</v>
      </c>
      <c r="R192">
        <f>'Details PC'!T194</f>
        <v>836106</v>
      </c>
    </row>
    <row r="193" spans="1:18" x14ac:dyDescent="0.3">
      <c r="A193">
        <v>0</v>
      </c>
      <c r="B193">
        <f>'Details PC'!B195</f>
        <v>191</v>
      </c>
      <c r="E193" t="str">
        <f>'Details PC'!H195</f>
        <v>Ultra Corpotech Pvt Ltd</v>
      </c>
      <c r="G193" s="242" t="e">
        <f>'Details PC'!#REF!</f>
        <v>#REF!</v>
      </c>
      <c r="L193">
        <f>'Details PC'!R195</f>
        <v>20350</v>
      </c>
      <c r="N193">
        <f>'Details PC'!S195</f>
        <v>33.1</v>
      </c>
      <c r="O193" s="411">
        <f>'Details PC'!J195</f>
        <v>8252001042</v>
      </c>
      <c r="P193" s="242">
        <f>'Details PC'!F195</f>
        <v>45868</v>
      </c>
      <c r="R193">
        <f>'Details PC'!T195</f>
        <v>673585</v>
      </c>
    </row>
    <row r="194" spans="1:18" x14ac:dyDescent="0.3">
      <c r="A194">
        <v>0</v>
      </c>
      <c r="B194">
        <f>'Details PC'!B196</f>
        <v>192</v>
      </c>
      <c r="E194" t="str">
        <f>'Details PC'!H196</f>
        <v>Ultra Corpotech Pvt Ltd</v>
      </c>
      <c r="G194" s="242" t="e">
        <f>'Details PC'!#REF!</f>
        <v>#REF!</v>
      </c>
      <c r="L194">
        <f>'Details PC'!R196</f>
        <v>20480</v>
      </c>
      <c r="N194">
        <f>'Details PC'!S196</f>
        <v>33.1</v>
      </c>
      <c r="O194" s="411">
        <f>'Details PC'!J196</f>
        <v>8252001034</v>
      </c>
      <c r="P194" s="242">
        <f>'Details PC'!F196</f>
        <v>45868</v>
      </c>
      <c r="R194">
        <f>'Details PC'!T196</f>
        <v>677888</v>
      </c>
    </row>
    <row r="195" spans="1:18" x14ac:dyDescent="0.3">
      <c r="A195">
        <v>0</v>
      </c>
      <c r="B195">
        <f>'Details PC'!B197</f>
        <v>193</v>
      </c>
      <c r="E195" t="str">
        <f>'Details PC'!H197</f>
        <v>Ultra Corpotech Pvt Ltd</v>
      </c>
      <c r="G195" s="242" t="e">
        <f>'Details PC'!#REF!</f>
        <v>#REF!</v>
      </c>
      <c r="L195">
        <f>'Details PC'!R197</f>
        <v>21260</v>
      </c>
      <c r="N195">
        <f>'Details PC'!S197</f>
        <v>33.1</v>
      </c>
      <c r="O195" s="411">
        <f>'Details PC'!J197</f>
        <v>5252000604</v>
      </c>
      <c r="P195" s="242">
        <f>'Details PC'!F197</f>
        <v>45868</v>
      </c>
      <c r="R195">
        <f>'Details PC'!T197</f>
        <v>703706</v>
      </c>
    </row>
    <row r="196" spans="1:18" x14ac:dyDescent="0.3">
      <c r="A196">
        <v>0</v>
      </c>
      <c r="B196">
        <f>'Details PC'!B198</f>
        <v>194</v>
      </c>
      <c r="E196" t="str">
        <f>'Details PC'!H198</f>
        <v>Ultra Corpotech Pvt Ltd</v>
      </c>
      <c r="G196" s="242" t="e">
        <f>'Details PC'!#REF!</f>
        <v>#REF!</v>
      </c>
      <c r="L196">
        <f>'Details PC'!R198</f>
        <v>11950</v>
      </c>
      <c r="N196">
        <f>'Details PC'!S198</f>
        <v>33.1</v>
      </c>
      <c r="O196" s="411">
        <f>'Details PC'!J198</f>
        <v>5252000605</v>
      </c>
      <c r="P196" s="242">
        <f>'Details PC'!F198</f>
        <v>45868</v>
      </c>
      <c r="R196">
        <f>'Details PC'!T198</f>
        <v>395545</v>
      </c>
    </row>
    <row r="197" spans="1:18" x14ac:dyDescent="0.3">
      <c r="A197">
        <v>0</v>
      </c>
      <c r="B197">
        <f>'Details PC'!B199</f>
        <v>195</v>
      </c>
      <c r="E197" t="str">
        <f>'Details PC'!H199</f>
        <v>Yash Enterprises</v>
      </c>
      <c r="G197" s="242" t="e">
        <f>'Details PC'!#REF!</f>
        <v>#REF!</v>
      </c>
      <c r="L197">
        <f>'Details PC'!R199</f>
        <v>7920</v>
      </c>
      <c r="N197">
        <f>'Details PC'!S199</f>
        <v>34</v>
      </c>
      <c r="O197" s="411" t="str">
        <f>'Details PC'!J199</f>
        <v>GST/25-26/099</v>
      </c>
      <c r="P197" s="242">
        <f>'Details PC'!F199</f>
        <v>45876</v>
      </c>
      <c r="R197">
        <f>'Details PC'!T199</f>
        <v>269280</v>
      </c>
    </row>
    <row r="198" spans="1:18" x14ac:dyDescent="0.3">
      <c r="A198">
        <v>0</v>
      </c>
      <c r="B198">
        <f>'Details PC'!B200</f>
        <v>196</v>
      </c>
      <c r="E198" t="str">
        <f>'Details PC'!H200</f>
        <v>Yash Enterprises</v>
      </c>
      <c r="G198" s="242" t="e">
        <f>'Details PC'!#REF!</f>
        <v>#REF!</v>
      </c>
      <c r="L198">
        <f>'Details PC'!R200</f>
        <v>4990</v>
      </c>
      <c r="N198">
        <f>'Details PC'!S200</f>
        <v>34</v>
      </c>
      <c r="O198" s="411" t="str">
        <f>'Details PC'!J200</f>
        <v>GST/25-26/098</v>
      </c>
      <c r="P198" s="242">
        <f>'Details PC'!F200</f>
        <v>45876</v>
      </c>
      <c r="R198">
        <f>'Details PC'!T200</f>
        <v>169660</v>
      </c>
    </row>
    <row r="199" spans="1:18" x14ac:dyDescent="0.3">
      <c r="A199">
        <v>0</v>
      </c>
      <c r="B199">
        <f>'Details PC'!B201</f>
        <v>197</v>
      </c>
      <c r="E199" t="str">
        <f>'Details PC'!H201</f>
        <v>Yash Enterprises</v>
      </c>
      <c r="G199" s="242" t="e">
        <f>'Details PC'!#REF!</f>
        <v>#REF!</v>
      </c>
      <c r="L199">
        <f>'Details PC'!R201</f>
        <v>6740</v>
      </c>
      <c r="N199">
        <f>'Details PC'!S201</f>
        <v>34</v>
      </c>
      <c r="O199" s="411" t="str">
        <f>'Details PC'!J201</f>
        <v>GST/25-26/101</v>
      </c>
      <c r="P199" s="242">
        <f>'Details PC'!F201</f>
        <v>45877</v>
      </c>
      <c r="R199">
        <f>'Details PC'!T201</f>
        <v>229160</v>
      </c>
    </row>
    <row r="200" spans="1:18" x14ac:dyDescent="0.3">
      <c r="A200">
        <v>0</v>
      </c>
      <c r="B200">
        <f>'Details PC'!B202</f>
        <v>198</v>
      </c>
      <c r="E200" t="str">
        <f>'Details PC'!H202</f>
        <v>Yash Enterprises</v>
      </c>
      <c r="G200" s="242" t="e">
        <f>'Details PC'!#REF!</f>
        <v>#REF!</v>
      </c>
      <c r="L200">
        <f>'Details PC'!R202</f>
        <v>13110</v>
      </c>
      <c r="N200">
        <f>'Details PC'!S202</f>
        <v>33.5</v>
      </c>
      <c r="O200" s="411" t="str">
        <f>'Details PC'!J202</f>
        <v>GST/25-26/104</v>
      </c>
      <c r="P200" s="242">
        <f>'Details PC'!F202</f>
        <v>45882</v>
      </c>
      <c r="R200">
        <f>'Details PC'!T202</f>
        <v>439185</v>
      </c>
    </row>
    <row r="201" spans="1:18" x14ac:dyDescent="0.3">
      <c r="A201">
        <v>0</v>
      </c>
      <c r="B201">
        <f>'Details PC'!B203</f>
        <v>199</v>
      </c>
      <c r="E201" t="str">
        <f>'Details PC'!H203</f>
        <v>Yash Enterprises</v>
      </c>
      <c r="G201" s="242" t="e">
        <f>'Details PC'!#REF!</f>
        <v>#REF!</v>
      </c>
      <c r="L201">
        <f>'Details PC'!R203</f>
        <v>9500</v>
      </c>
      <c r="N201">
        <f>'Details PC'!S203</f>
        <v>33.5</v>
      </c>
      <c r="O201" s="411" t="str">
        <f>'Details PC'!J203</f>
        <v>GST/25-26/106</v>
      </c>
      <c r="P201" s="242">
        <f>'Details PC'!F203</f>
        <v>45885</v>
      </c>
      <c r="R201">
        <f>'Details PC'!T203</f>
        <v>318250</v>
      </c>
    </row>
    <row r="202" spans="1:18" x14ac:dyDescent="0.3">
      <c r="A202">
        <v>0</v>
      </c>
      <c r="B202">
        <f>'Details PC'!B204</f>
        <v>200</v>
      </c>
      <c r="E202" t="str">
        <f>'Details PC'!H204</f>
        <v>Yash Enterprises</v>
      </c>
      <c r="G202" s="242" t="e">
        <f>'Details PC'!#REF!</f>
        <v>#REF!</v>
      </c>
      <c r="L202">
        <f>'Details PC'!R204</f>
        <v>6660</v>
      </c>
      <c r="N202">
        <f>'Details PC'!S204</f>
        <v>33.5</v>
      </c>
      <c r="O202" s="411" t="str">
        <f>'Details PC'!J204</f>
        <v>GST/25-26/110</v>
      </c>
      <c r="P202" s="242">
        <f>'Details PC'!F204</f>
        <v>45886</v>
      </c>
      <c r="R202">
        <f>'Details PC'!T204</f>
        <v>223110</v>
      </c>
    </row>
    <row r="203" spans="1:18" x14ac:dyDescent="0.3">
      <c r="A203">
        <v>0</v>
      </c>
      <c r="B203">
        <f>'Details PC'!B205</f>
        <v>201</v>
      </c>
      <c r="E203" t="str">
        <f>'Details PC'!H205</f>
        <v>Yash Enterprises</v>
      </c>
      <c r="G203" s="242" t="e">
        <f>'Details PC'!#REF!</f>
        <v>#REF!</v>
      </c>
      <c r="L203">
        <f>'Details PC'!R205</f>
        <v>14900</v>
      </c>
      <c r="N203">
        <f>'Details PC'!S205</f>
        <v>33.5</v>
      </c>
      <c r="O203" s="411" t="str">
        <f>'Details PC'!J205</f>
        <v>GST/25-26/115</v>
      </c>
      <c r="P203" s="242">
        <f>'Details PC'!F205</f>
        <v>45889</v>
      </c>
      <c r="R203">
        <f>'Details PC'!T205</f>
        <v>499150</v>
      </c>
    </row>
    <row r="204" spans="1:18" x14ac:dyDescent="0.3">
      <c r="A204">
        <v>0</v>
      </c>
      <c r="B204">
        <f>'Details PC'!B206</f>
        <v>202</v>
      </c>
      <c r="E204" t="str">
        <f>'Details PC'!H206</f>
        <v>Ultra Corpotech Pvt Ltd</v>
      </c>
      <c r="G204" s="242" t="e">
        <f>'Details PC'!#REF!</f>
        <v>#REF!</v>
      </c>
      <c r="L204">
        <f>'Details PC'!R206</f>
        <v>24020</v>
      </c>
      <c r="N204">
        <f>'Details PC'!S206</f>
        <v>32.65</v>
      </c>
      <c r="O204" s="411">
        <f>'Details PC'!J206</f>
        <v>6252000050</v>
      </c>
      <c r="P204" s="242">
        <f>'Details PC'!F206</f>
        <v>45903</v>
      </c>
      <c r="R204">
        <f>'Details PC'!T206</f>
        <v>784253</v>
      </c>
    </row>
    <row r="205" spans="1:18" x14ac:dyDescent="0.3">
      <c r="A205">
        <v>0</v>
      </c>
      <c r="B205">
        <f>'Details PC'!B207</f>
        <v>203</v>
      </c>
      <c r="E205" t="str">
        <f>'Details PC'!H207</f>
        <v>Anusaya Auto Press Parts Pvt Ltd</v>
      </c>
      <c r="G205" s="242" t="e">
        <f>'Details PC'!#REF!</f>
        <v>#REF!</v>
      </c>
      <c r="L205">
        <f>'Details PC'!R207</f>
        <v>6980</v>
      </c>
      <c r="N205">
        <f>'Details PC'!S207</f>
        <v>32.9</v>
      </c>
      <c r="O205" s="411">
        <f>'Details PC'!J207</f>
        <v>2526026655</v>
      </c>
      <c r="P205" s="242">
        <f>'Details PC'!F207</f>
        <v>45904</v>
      </c>
      <c r="R205">
        <f>'Details PC'!T207</f>
        <v>229642</v>
      </c>
    </row>
    <row r="206" spans="1:18" x14ac:dyDescent="0.3">
      <c r="A206">
        <v>0</v>
      </c>
      <c r="B206">
        <f>'Details PC'!B208</f>
        <v>204</v>
      </c>
      <c r="E206" t="str">
        <f>'Details PC'!H208</f>
        <v>Anusaya Auto Press Parts Pvt Ltd</v>
      </c>
      <c r="G206" s="242" t="e">
        <f>'Details PC'!#REF!</f>
        <v>#REF!</v>
      </c>
      <c r="L206">
        <f>'Details PC'!R208</f>
        <v>9240</v>
      </c>
      <c r="N206">
        <f>'Details PC'!S208</f>
        <v>32.9</v>
      </c>
      <c r="O206" s="411">
        <f>'Details PC'!J208</f>
        <v>2526026917</v>
      </c>
      <c r="P206" s="242">
        <f>'Details PC'!F208</f>
        <v>45905</v>
      </c>
      <c r="R206">
        <f>'Details PC'!T208</f>
        <v>303996</v>
      </c>
    </row>
    <row r="207" spans="1:18" x14ac:dyDescent="0.3">
      <c r="A207">
        <v>0</v>
      </c>
      <c r="B207">
        <f>'Details PC'!B209</f>
        <v>205</v>
      </c>
      <c r="E207" t="str">
        <f>'Details PC'!H209</f>
        <v>Ultra Corpotech Pvt Ltd</v>
      </c>
      <c r="G207" s="242" t="e">
        <f>'Details PC'!#REF!</f>
        <v>#REF!</v>
      </c>
      <c r="L207">
        <f>'Details PC'!R209</f>
        <v>25250</v>
      </c>
      <c r="N207">
        <f>'Details PC'!S209</f>
        <v>32.65</v>
      </c>
      <c r="O207" s="411">
        <f>'Details PC'!J209</f>
        <v>8252001502</v>
      </c>
      <c r="P207" s="242">
        <f>'Details PC'!F209</f>
        <v>45906</v>
      </c>
      <c r="R207">
        <f>'Details PC'!T209</f>
        <v>824412.5</v>
      </c>
    </row>
    <row r="208" spans="1:18" x14ac:dyDescent="0.3">
      <c r="A208">
        <v>0</v>
      </c>
      <c r="B208">
        <f>'Details PC'!B210</f>
        <v>206</v>
      </c>
      <c r="E208" t="str">
        <f>'Details PC'!H210</f>
        <v>Ultra Corpotech Pvt Ltd</v>
      </c>
      <c r="G208" s="242" t="e">
        <f>'Details PC'!#REF!</f>
        <v>#REF!</v>
      </c>
      <c r="L208">
        <f>'Details PC'!R210</f>
        <v>20010</v>
      </c>
      <c r="N208">
        <f>'Details PC'!S210</f>
        <v>32.65</v>
      </c>
      <c r="O208" s="411">
        <f>'Details PC'!J210</f>
        <v>8252001503</v>
      </c>
      <c r="P208" s="242">
        <f>'Details PC'!F210</f>
        <v>45906</v>
      </c>
      <c r="R208">
        <f>'Details PC'!T210</f>
        <v>653326.5</v>
      </c>
    </row>
    <row r="209" spans="1:18" x14ac:dyDescent="0.3">
      <c r="A209">
        <v>0</v>
      </c>
      <c r="B209">
        <f>'Details PC'!B211</f>
        <v>207</v>
      </c>
      <c r="E209" t="str">
        <f>'Details PC'!H211</f>
        <v>Ultra Corpotech Pvt Ltd</v>
      </c>
      <c r="G209" s="242" t="e">
        <f>'Details PC'!#REF!</f>
        <v>#REF!</v>
      </c>
      <c r="L209">
        <f>'Details PC'!R211</f>
        <v>24790</v>
      </c>
      <c r="N209">
        <f>'Details PC'!S211</f>
        <v>32.65</v>
      </c>
      <c r="O209" s="411">
        <f>'Details PC'!J211</f>
        <v>8252001504</v>
      </c>
      <c r="P209" s="242">
        <f>'Details PC'!F211</f>
        <v>45907</v>
      </c>
      <c r="R209">
        <f>'Details PC'!T211</f>
        <v>809393.5</v>
      </c>
    </row>
    <row r="210" spans="1:18" x14ac:dyDescent="0.3">
      <c r="A210">
        <v>0</v>
      </c>
      <c r="B210">
        <f>'Details PC'!B212</f>
        <v>208</v>
      </c>
      <c r="E210" t="str">
        <f>'Details PC'!H212</f>
        <v>Anusaya Auto Press Parts Pvt Ltd</v>
      </c>
      <c r="G210" s="242" t="e">
        <f>'Details PC'!#REF!</f>
        <v>#REF!</v>
      </c>
      <c r="L210">
        <f>'Details PC'!R212</f>
        <v>6210</v>
      </c>
      <c r="N210">
        <f>'Details PC'!S212</f>
        <v>32.9</v>
      </c>
      <c r="O210" s="411">
        <f>'Details PC'!J212</f>
        <v>2526027299</v>
      </c>
      <c r="P210" s="242">
        <f>'Details PC'!F212</f>
        <v>45908</v>
      </c>
      <c r="R210">
        <f>'Details PC'!T212</f>
        <v>204309</v>
      </c>
    </row>
    <row r="211" spans="1:18" x14ac:dyDescent="0.3">
      <c r="A211">
        <v>0</v>
      </c>
      <c r="B211">
        <f>'Details PC'!B213</f>
        <v>209</v>
      </c>
      <c r="E211" t="str">
        <f>'Details PC'!H213</f>
        <v>Ultra Corpotech Pvt Ltd</v>
      </c>
      <c r="G211" s="242" t="e">
        <f>'Details PC'!#REF!</f>
        <v>#REF!</v>
      </c>
      <c r="L211">
        <f>'Details PC'!R213</f>
        <v>19260</v>
      </c>
      <c r="N211">
        <f>'Details PC'!S213</f>
        <v>32.65</v>
      </c>
      <c r="O211" s="411">
        <f>'Details PC'!J213</f>
        <v>6252000052</v>
      </c>
      <c r="P211" s="242">
        <f>'Details PC'!F213</f>
        <v>45908</v>
      </c>
      <c r="R211">
        <f>'Details PC'!T213</f>
        <v>628839</v>
      </c>
    </row>
    <row r="212" spans="1:18" x14ac:dyDescent="0.3">
      <c r="A212">
        <v>0</v>
      </c>
      <c r="B212">
        <f>'Details PC'!B214</f>
        <v>210</v>
      </c>
      <c r="E212" t="str">
        <f>'Details PC'!H214</f>
        <v>Ultra Corpotech Pvt Ltd</v>
      </c>
      <c r="G212" s="242" t="e">
        <f>'Details PC'!#REF!</f>
        <v>#REF!</v>
      </c>
      <c r="L212">
        <f>'Details PC'!R214</f>
        <v>16880</v>
      </c>
      <c r="N212">
        <f>'Details PC'!S214</f>
        <v>32.65</v>
      </c>
      <c r="O212" s="411">
        <f>'Details PC'!J214</f>
        <v>8252001534</v>
      </c>
      <c r="P212" s="242">
        <f>'Details PC'!F214</f>
        <v>45908</v>
      </c>
      <c r="R212">
        <f>'Details PC'!T214</f>
        <v>551132</v>
      </c>
    </row>
    <row r="213" spans="1:18" x14ac:dyDescent="0.3">
      <c r="A213">
        <v>0</v>
      </c>
      <c r="B213">
        <f>'Details PC'!B218</f>
        <v>214</v>
      </c>
      <c r="E213" t="str">
        <f>'Details PC'!H218</f>
        <v>Anusaya Auto Press Parts Pvt Ltd</v>
      </c>
      <c r="G213" s="242" t="e">
        <f>'Details PC'!#REF!</f>
        <v>#REF!</v>
      </c>
      <c r="L213">
        <f>'Details PC'!R218</f>
        <v>6460</v>
      </c>
      <c r="N213">
        <f>'Details PC'!S218</f>
        <v>32.9</v>
      </c>
      <c r="O213" s="411">
        <f>'Details PC'!J218</f>
        <v>2526027456</v>
      </c>
      <c r="P213" s="242">
        <f>'Details PC'!F218</f>
        <v>45909</v>
      </c>
      <c r="R213">
        <f>'Details PC'!T218</f>
        <v>212534</v>
      </c>
    </row>
    <row r="214" spans="1:18" x14ac:dyDescent="0.3">
      <c r="A214">
        <v>0</v>
      </c>
      <c r="B214">
        <f>'Details PC'!B215</f>
        <v>211</v>
      </c>
      <c r="E214" t="str">
        <f>'Details PC'!H215</f>
        <v>Ultra Corpotech Pvt Ltd</v>
      </c>
      <c r="G214" s="242" t="e">
        <f>'Details PC'!#REF!</f>
        <v>#REF!</v>
      </c>
      <c r="L214">
        <f>'Details PC'!R215</f>
        <v>18130</v>
      </c>
      <c r="N214">
        <f>'Details PC'!S215</f>
        <v>32.65</v>
      </c>
      <c r="O214" s="411">
        <f>'Details PC'!J215</f>
        <v>8252001553</v>
      </c>
      <c r="P214" s="242">
        <f>'Details PC'!F215</f>
        <v>45909</v>
      </c>
      <c r="R214">
        <f>'Details PC'!T215</f>
        <v>591944.5</v>
      </c>
    </row>
    <row r="215" spans="1:18" x14ac:dyDescent="0.3">
      <c r="A215">
        <v>0</v>
      </c>
      <c r="B215">
        <f>'Details PC'!B219</f>
        <v>215</v>
      </c>
      <c r="E215" t="str">
        <f>'Details PC'!H219</f>
        <v>Yash Enterprises</v>
      </c>
      <c r="G215" s="242" t="e">
        <f>'Details PC'!#REF!</f>
        <v>#REF!</v>
      </c>
      <c r="L215">
        <f>'Details PC'!R219</f>
        <v>5060</v>
      </c>
      <c r="N215">
        <f>'Details PC'!S219</f>
        <v>32</v>
      </c>
      <c r="O215" s="411" t="str">
        <f>'Details PC'!J219</f>
        <v>GST/25-26/156</v>
      </c>
      <c r="P215" s="242">
        <f>'Details PC'!F219</f>
        <v>45910</v>
      </c>
      <c r="R215">
        <f>'Details PC'!T219</f>
        <v>161920</v>
      </c>
    </row>
    <row r="216" spans="1:18" x14ac:dyDescent="0.3">
      <c r="A216">
        <v>0</v>
      </c>
      <c r="B216">
        <f>'Details PC'!B220</f>
        <v>216</v>
      </c>
      <c r="E216" t="str">
        <f>'Details PC'!H220</f>
        <v>Anusaya Auto Press Parts Pvt Ltd</v>
      </c>
      <c r="G216" s="242" t="e">
        <f>'Details PC'!#REF!</f>
        <v>#REF!</v>
      </c>
      <c r="L216">
        <f>'Details PC'!R220</f>
        <v>3980</v>
      </c>
      <c r="N216">
        <f>'Details PC'!S220</f>
        <v>32.9</v>
      </c>
      <c r="O216" s="411">
        <f>'Details PC'!J220</f>
        <v>2526027633</v>
      </c>
      <c r="P216" s="242">
        <f>'Details PC'!F220</f>
        <v>45910</v>
      </c>
      <c r="R216">
        <f>'Details PC'!T220</f>
        <v>130942</v>
      </c>
    </row>
    <row r="217" spans="1:18" x14ac:dyDescent="0.3">
      <c r="A217">
        <v>0</v>
      </c>
      <c r="B217">
        <f>'Details PC'!B216</f>
        <v>212</v>
      </c>
      <c r="E217" t="str">
        <f>'Details PC'!H216</f>
        <v>Ultra Corpotech Pvt Ltd</v>
      </c>
      <c r="G217" s="242" t="e">
        <f>'Details PC'!#REF!</f>
        <v>#REF!</v>
      </c>
      <c r="L217">
        <f>'Details PC'!R216</f>
        <v>11560</v>
      </c>
      <c r="N217">
        <f>'Details PC'!S216</f>
        <v>32.65</v>
      </c>
      <c r="O217" s="411">
        <f>'Details PC'!J216</f>
        <v>5252000831</v>
      </c>
      <c r="P217" s="242">
        <f>'Details PC'!F216</f>
        <v>45910</v>
      </c>
      <c r="R217">
        <f>'Details PC'!T216</f>
        <v>377434</v>
      </c>
    </row>
    <row r="218" spans="1:18" x14ac:dyDescent="0.3">
      <c r="A218">
        <v>0</v>
      </c>
      <c r="B218">
        <f>'Details PC'!B217</f>
        <v>213</v>
      </c>
      <c r="E218" t="str">
        <f>'Details PC'!H217</f>
        <v>Ultra Corpotech Pvt Ltd</v>
      </c>
      <c r="G218" s="242" t="e">
        <f>'Details PC'!#REF!</f>
        <v>#REF!</v>
      </c>
      <c r="L218">
        <f>'Details PC'!R217</f>
        <v>20730</v>
      </c>
      <c r="N218">
        <f>'Details PC'!S217</f>
        <v>32.65</v>
      </c>
      <c r="O218" s="411">
        <f>'Details PC'!J217</f>
        <v>8252001555</v>
      </c>
      <c r="P218" s="242">
        <f>'Details PC'!F217</f>
        <v>45910</v>
      </c>
      <c r="R218">
        <f>'Details PC'!T217</f>
        <v>676834.5</v>
      </c>
    </row>
    <row r="219" spans="1:18" x14ac:dyDescent="0.3">
      <c r="A219">
        <v>0</v>
      </c>
      <c r="B219">
        <f>'Details PC'!B221</f>
        <v>217</v>
      </c>
      <c r="E219" t="str">
        <f>'Details PC'!H221</f>
        <v>Anusaya Auto Press Parts Pvt Ltd</v>
      </c>
      <c r="G219" s="242" t="e">
        <f>'Details PC'!#REF!</f>
        <v>#REF!</v>
      </c>
      <c r="L219">
        <f>'Details PC'!R221</f>
        <v>6470</v>
      </c>
      <c r="N219">
        <f>'Details PC'!S221</f>
        <v>32.9</v>
      </c>
      <c r="O219" s="411">
        <f>'Details PC'!J221</f>
        <v>2526027835</v>
      </c>
      <c r="P219" s="242">
        <f>'Details PC'!F221</f>
        <v>45911</v>
      </c>
      <c r="R219">
        <f>'Details PC'!T221</f>
        <v>212863</v>
      </c>
    </row>
    <row r="220" spans="1:18" x14ac:dyDescent="0.3">
      <c r="A220">
        <v>0</v>
      </c>
      <c r="B220">
        <f>'Details PC'!B222</f>
        <v>218</v>
      </c>
      <c r="E220" t="str">
        <f>'Details PC'!H222</f>
        <v>Anusaya Auto Press Parts Pvt Ltd</v>
      </c>
      <c r="G220" s="242" t="e">
        <f>'Details PC'!#REF!</f>
        <v>#REF!</v>
      </c>
      <c r="L220">
        <f>'Details PC'!R222</f>
        <v>5970</v>
      </c>
      <c r="N220">
        <f>'Details PC'!S222</f>
        <v>32.9</v>
      </c>
      <c r="O220" s="411">
        <f>'Details PC'!J222</f>
        <v>2526028016</v>
      </c>
      <c r="P220" s="242">
        <f>'Details PC'!F222</f>
        <v>45912</v>
      </c>
      <c r="R220">
        <f>'Details PC'!T222</f>
        <v>196413</v>
      </c>
    </row>
    <row r="221" spans="1:18" x14ac:dyDescent="0.3">
      <c r="A221">
        <v>0</v>
      </c>
      <c r="B221">
        <f>'Details PC'!B223</f>
        <v>219</v>
      </c>
      <c r="E221" t="str">
        <f>'Details PC'!H223</f>
        <v>Ultra Corpotech Pvt Ltd</v>
      </c>
      <c r="G221" s="242" t="e">
        <f>'Details PC'!#REF!</f>
        <v>#REF!</v>
      </c>
      <c r="L221">
        <f>'Details PC'!R223</f>
        <v>20620</v>
      </c>
      <c r="N221">
        <f>'Details PC'!S223</f>
        <v>32.65</v>
      </c>
      <c r="O221" s="411">
        <f>'Details PC'!J223</f>
        <v>8252001585</v>
      </c>
      <c r="P221" s="242">
        <f>'Details PC'!F223</f>
        <v>45912</v>
      </c>
      <c r="R221">
        <f>'Details PC'!T223</f>
        <v>673243</v>
      </c>
    </row>
    <row r="222" spans="1:18" x14ac:dyDescent="0.3">
      <c r="A222">
        <v>0</v>
      </c>
      <c r="B222">
        <f>'Details PC'!B224</f>
        <v>220</v>
      </c>
      <c r="E222" t="str">
        <f>'Details PC'!H224</f>
        <v>Anusaya Auto Press Parts Pvt Ltd</v>
      </c>
      <c r="G222" s="242" t="e">
        <f>'Details PC'!#REF!</f>
        <v>#REF!</v>
      </c>
      <c r="L222">
        <f>'Details PC'!R224</f>
        <v>5930</v>
      </c>
      <c r="N222">
        <f>'Details PC'!S224</f>
        <v>32.9</v>
      </c>
      <c r="O222" s="411">
        <f>'Details PC'!J224</f>
        <v>2526028218</v>
      </c>
      <c r="P222" s="242">
        <f>'Details PC'!F224</f>
        <v>45913</v>
      </c>
      <c r="R222">
        <f>'Details PC'!T224</f>
        <v>195097</v>
      </c>
    </row>
    <row r="223" spans="1:18" x14ac:dyDescent="0.3">
      <c r="A223">
        <v>0</v>
      </c>
      <c r="B223">
        <f>'Details PC'!B225</f>
        <v>221</v>
      </c>
      <c r="E223" t="str">
        <f>'Details PC'!H225</f>
        <v>Ultra Corpotech Pvt Ltd</v>
      </c>
      <c r="G223" s="242" t="e">
        <f>'Details PC'!#REF!</f>
        <v>#REF!</v>
      </c>
      <c r="L223">
        <f>'Details PC'!R225</f>
        <v>22410</v>
      </c>
      <c r="N223">
        <f>'Details PC'!S225</f>
        <v>32.65</v>
      </c>
      <c r="O223" s="411">
        <f>'Details PC'!J225</f>
        <v>5252000841</v>
      </c>
      <c r="P223" s="242">
        <f>'Details PC'!F225</f>
        <v>45913</v>
      </c>
      <c r="R223">
        <f>'Details PC'!T225</f>
        <v>731686.5</v>
      </c>
    </row>
    <row r="224" spans="1:18" x14ac:dyDescent="0.3">
      <c r="A224">
        <v>0</v>
      </c>
      <c r="B224">
        <f>'Details PC'!B226</f>
        <v>222</v>
      </c>
      <c r="E224" t="str">
        <f>'Details PC'!H226</f>
        <v>Anusaya Auto Press Parts Pvt Ltd</v>
      </c>
      <c r="G224" s="242" t="e">
        <f>'Details PC'!#REF!</f>
        <v>#REF!</v>
      </c>
      <c r="L224">
        <f>'Details PC'!R226</f>
        <v>7310</v>
      </c>
      <c r="N224">
        <f>'Details PC'!S226</f>
        <v>32.9</v>
      </c>
      <c r="O224" s="411">
        <f>'Details PC'!J226</f>
        <v>2526028440</v>
      </c>
      <c r="P224" s="242">
        <f>'Details PC'!F226</f>
        <v>45915</v>
      </c>
      <c r="R224">
        <f>'Details PC'!T226</f>
        <v>240499</v>
      </c>
    </row>
    <row r="225" spans="1:18" x14ac:dyDescent="0.3">
      <c r="A225">
        <v>0</v>
      </c>
      <c r="B225">
        <f>'Details PC'!B227</f>
        <v>223</v>
      </c>
      <c r="E225" t="str">
        <f>'Details PC'!H227</f>
        <v>Anusaya Auto Press Parts Pvt Ltd</v>
      </c>
      <c r="G225" s="242" t="e">
        <f>'Details PC'!#REF!</f>
        <v>#REF!</v>
      </c>
      <c r="L225">
        <f>'Details PC'!R227</f>
        <v>5850</v>
      </c>
      <c r="N225">
        <f>'Details PC'!S227</f>
        <v>32.9</v>
      </c>
      <c r="O225" s="411">
        <f>'Details PC'!J227</f>
        <v>2526028655</v>
      </c>
      <c r="P225" s="242">
        <f>'Details PC'!F227</f>
        <v>45916</v>
      </c>
      <c r="R225">
        <f>'Details PC'!T227</f>
        <v>192465</v>
      </c>
    </row>
    <row r="226" spans="1:18" x14ac:dyDescent="0.3">
      <c r="A226">
        <v>0</v>
      </c>
      <c r="B226">
        <f>'Details PC'!B228</f>
        <v>224</v>
      </c>
      <c r="E226" t="str">
        <f>'Details PC'!H228</f>
        <v>Ultra Corpotech Pvt Ltd</v>
      </c>
      <c r="G226" s="242" t="e">
        <f>'Details PC'!#REF!</f>
        <v>#REF!</v>
      </c>
      <c r="L226">
        <f>'Details PC'!R228</f>
        <v>14120</v>
      </c>
      <c r="N226">
        <f>'Details PC'!S228</f>
        <v>32.65</v>
      </c>
      <c r="O226" s="411">
        <f>'Details PC'!J228</f>
        <v>5252000851</v>
      </c>
      <c r="P226" s="242">
        <f>'Details PC'!F228</f>
        <v>45916</v>
      </c>
      <c r="R226">
        <f>'Details PC'!T228</f>
        <v>461018</v>
      </c>
    </row>
    <row r="227" spans="1:18" x14ac:dyDescent="0.3">
      <c r="A227">
        <v>0</v>
      </c>
      <c r="B227">
        <f>'Details PC'!B229</f>
        <v>225</v>
      </c>
      <c r="E227" t="str">
        <f>'Details PC'!H229</f>
        <v>ANUSAYA AUTO PRESS P P LTD</v>
      </c>
      <c r="G227" s="242" t="e">
        <f>'Details PC'!#REF!</f>
        <v>#REF!</v>
      </c>
      <c r="L227">
        <f>'Details PC'!R229</f>
        <v>6530</v>
      </c>
      <c r="N227">
        <f>'Details PC'!S229</f>
        <v>32.9</v>
      </c>
      <c r="O227" s="411">
        <f>'Details PC'!J229</f>
        <v>2526028874</v>
      </c>
      <c r="P227" s="242">
        <f>'Details PC'!F229</f>
        <v>45917</v>
      </c>
      <c r="R227">
        <f>'Details PC'!T229</f>
        <v>214837</v>
      </c>
    </row>
    <row r="228" spans="1:18" x14ac:dyDescent="0.3">
      <c r="A228">
        <v>0</v>
      </c>
      <c r="B228">
        <f>'Details PC'!B230</f>
        <v>226</v>
      </c>
      <c r="E228" t="str">
        <f>'Details PC'!H230</f>
        <v>Ultra Corpotech Pvt Ltd</v>
      </c>
      <c r="G228" s="242" t="e">
        <f>'Details PC'!#REF!</f>
        <v>#REF!</v>
      </c>
      <c r="L228">
        <f>'Details PC'!R230</f>
        <v>16640</v>
      </c>
      <c r="N228">
        <f>'Details PC'!S230</f>
        <v>32.65</v>
      </c>
      <c r="O228" s="411">
        <f>'Details PC'!J230</f>
        <v>5252000861</v>
      </c>
      <c r="P228" s="242">
        <f>'Details PC'!F230</f>
        <v>45917</v>
      </c>
      <c r="R228">
        <f>'Details PC'!T230</f>
        <v>543296</v>
      </c>
    </row>
    <row r="229" spans="1:18" x14ac:dyDescent="0.3">
      <c r="A229">
        <v>0</v>
      </c>
      <c r="B229">
        <f>'Details PC'!B231</f>
        <v>227</v>
      </c>
      <c r="E229" t="str">
        <f>'Details PC'!H231</f>
        <v>Yash Enterprises</v>
      </c>
      <c r="G229" s="242" t="e">
        <f>'Details PC'!#REF!</f>
        <v>#REF!</v>
      </c>
      <c r="L229">
        <f>'Details PC'!R231</f>
        <v>1880</v>
      </c>
      <c r="N229">
        <f>'Details PC'!S231</f>
        <v>36</v>
      </c>
      <c r="O229" s="411" t="str">
        <f>'Details PC'!J231</f>
        <v>GST/25-26/166</v>
      </c>
      <c r="P229" s="242">
        <f>'Details PC'!F231</f>
        <v>45918</v>
      </c>
      <c r="R229">
        <f>'Details PC'!T231</f>
        <v>67680</v>
      </c>
    </row>
    <row r="230" spans="1:18" x14ac:dyDescent="0.3">
      <c r="A230">
        <v>0</v>
      </c>
      <c r="B230">
        <f>'Details PC'!B232</f>
        <v>228</v>
      </c>
      <c r="E230" t="str">
        <f>'Details PC'!H232</f>
        <v>Yash Enterprises</v>
      </c>
      <c r="G230" s="242" t="e">
        <f>'Details PC'!#REF!</f>
        <v>#REF!</v>
      </c>
      <c r="L230">
        <f>'Details PC'!R232</f>
        <v>2830</v>
      </c>
      <c r="N230">
        <f>'Details PC'!S232</f>
        <v>34</v>
      </c>
      <c r="O230" s="411" t="str">
        <f>'Details PC'!J232</f>
        <v>GST/25-26/167</v>
      </c>
      <c r="P230" s="242">
        <f>'Details PC'!F232</f>
        <v>45918</v>
      </c>
      <c r="R230">
        <f>'Details PC'!T232</f>
        <v>96220</v>
      </c>
    </row>
    <row r="231" spans="1:18" x14ac:dyDescent="0.3">
      <c r="A231">
        <v>0</v>
      </c>
      <c r="B231">
        <f>'Details PC'!B233</f>
        <v>229</v>
      </c>
      <c r="E231" t="str">
        <f>'Details PC'!H233</f>
        <v>Anusaya Auto Press Parts Pvt Ltd</v>
      </c>
      <c r="G231" s="242" t="e">
        <f>'Details PC'!#REF!</f>
        <v>#REF!</v>
      </c>
      <c r="L231">
        <f>'Details PC'!R233</f>
        <v>7000</v>
      </c>
      <c r="N231">
        <f>'Details PC'!S233</f>
        <v>32.9</v>
      </c>
      <c r="O231" s="411">
        <f>'Details PC'!J233</f>
        <v>2526029291</v>
      </c>
      <c r="P231" s="242">
        <f>'Details PC'!F233</f>
        <v>45919</v>
      </c>
      <c r="R231">
        <f>'Details PC'!T233</f>
        <v>230300</v>
      </c>
    </row>
    <row r="232" spans="1:18" x14ac:dyDescent="0.3">
      <c r="A232">
        <v>0</v>
      </c>
      <c r="B232">
        <f>'Details PC'!B234</f>
        <v>230</v>
      </c>
      <c r="E232" t="str">
        <f>'Details PC'!H234</f>
        <v>Yash Enterprises</v>
      </c>
      <c r="G232" s="242" t="e">
        <f>'Details PC'!#REF!</f>
        <v>#REF!</v>
      </c>
      <c r="L232">
        <f>'Details PC'!R234</f>
        <v>6890</v>
      </c>
      <c r="N232">
        <f>'Details PC'!S234</f>
        <v>36</v>
      </c>
      <c r="O232" s="411" t="str">
        <f>'Details PC'!J234</f>
        <v>GST/25-26/172</v>
      </c>
      <c r="P232" s="242">
        <f>'Details PC'!F234</f>
        <v>45920</v>
      </c>
      <c r="R232">
        <f>'Details PC'!T234</f>
        <v>248040</v>
      </c>
    </row>
    <row r="233" spans="1:18" x14ac:dyDescent="0.3">
      <c r="A233">
        <v>0</v>
      </c>
      <c r="B233">
        <f>'Details PC'!B235</f>
        <v>231</v>
      </c>
      <c r="E233" t="str">
        <f>'Details PC'!H235</f>
        <v>Ultra Corpotech Pvt Ltd</v>
      </c>
      <c r="G233" s="242" t="e">
        <f>'Details PC'!#REF!</f>
        <v>#REF!</v>
      </c>
      <c r="L233">
        <f>'Details PC'!R235</f>
        <v>29060</v>
      </c>
      <c r="N233">
        <f>'Details PC'!S235</f>
        <v>32.65</v>
      </c>
      <c r="O233" s="411">
        <f>'Details PC'!J235</f>
        <v>6252000057</v>
      </c>
      <c r="P233" s="242">
        <f>'Details PC'!F235</f>
        <v>45920</v>
      </c>
      <c r="R233">
        <f>'Details PC'!T235</f>
        <v>948809</v>
      </c>
    </row>
    <row r="234" spans="1:18" x14ac:dyDescent="0.3">
      <c r="A234">
        <v>0</v>
      </c>
      <c r="B234">
        <f>'Details PC'!B236</f>
        <v>232</v>
      </c>
      <c r="E234" t="str">
        <f>'Details PC'!H236</f>
        <v>Ultra Corpotech Pvt Ltd</v>
      </c>
      <c r="G234" s="242" t="e">
        <f>'Details PC'!#REF!</f>
        <v>#REF!</v>
      </c>
      <c r="L234">
        <f>'Details PC'!R236</f>
        <v>26730</v>
      </c>
      <c r="N234">
        <f>'Details PC'!S236</f>
        <v>32.65</v>
      </c>
      <c r="O234" s="411">
        <f>'Details PC'!J236</f>
        <v>8252001676</v>
      </c>
      <c r="P234" s="242">
        <f>'Details PC'!F236</f>
        <v>45921</v>
      </c>
      <c r="R234">
        <f>'Details PC'!T236</f>
        <v>872734.5</v>
      </c>
    </row>
    <row r="235" spans="1:18" x14ac:dyDescent="0.3">
      <c r="A235">
        <v>0</v>
      </c>
      <c r="B235">
        <f>'Details PC'!B237</f>
        <v>233</v>
      </c>
      <c r="E235" t="str">
        <f>'Details PC'!H237</f>
        <v>Yash Enterprises</v>
      </c>
      <c r="G235" s="242" t="e">
        <f>'Details PC'!#REF!</f>
        <v>#REF!</v>
      </c>
      <c r="L235">
        <f>'Details PC'!R237</f>
        <v>6590</v>
      </c>
      <c r="N235">
        <f>'Details PC'!S237</f>
        <v>36</v>
      </c>
      <c r="O235" s="411" t="str">
        <f>'Details PC'!J237</f>
        <v>GST/25-26/175</v>
      </c>
      <c r="P235" s="242">
        <f>'Details PC'!F237</f>
        <v>45922</v>
      </c>
      <c r="R235">
        <f>'Details PC'!T237</f>
        <v>237240</v>
      </c>
    </row>
    <row r="236" spans="1:18" x14ac:dyDescent="0.3">
      <c r="A236">
        <v>0</v>
      </c>
      <c r="B236">
        <f>'Details PC'!B238</f>
        <v>234</v>
      </c>
      <c r="E236" t="str">
        <f>'Details PC'!H238</f>
        <v>Ultra Corpotech Pvt Ltd</v>
      </c>
      <c r="G236" s="242" t="e">
        <f>'Details PC'!#REF!</f>
        <v>#REF!</v>
      </c>
      <c r="L236">
        <f>'Details PC'!R238</f>
        <v>23510</v>
      </c>
      <c r="N236">
        <f>'Details PC'!S238</f>
        <v>32.65</v>
      </c>
      <c r="O236" s="411">
        <f>'Details PC'!J238</f>
        <v>6252000060</v>
      </c>
      <c r="P236" s="242">
        <f>'Details PC'!F238</f>
        <v>45922</v>
      </c>
      <c r="R236">
        <f>'Details PC'!T238</f>
        <v>767601.5</v>
      </c>
    </row>
    <row r="237" spans="1:18" x14ac:dyDescent="0.3">
      <c r="A237">
        <v>0</v>
      </c>
      <c r="B237">
        <f>'Details PC'!B239</f>
        <v>235</v>
      </c>
      <c r="E237" t="str">
        <f>'Details PC'!H239</f>
        <v>Yash Enterprises</v>
      </c>
      <c r="G237" s="242" t="e">
        <f>'Details PC'!#REF!</f>
        <v>#REF!</v>
      </c>
      <c r="L237">
        <f>'Details PC'!R239</f>
        <v>9750</v>
      </c>
      <c r="N237">
        <f>'Details PC'!S239</f>
        <v>36</v>
      </c>
      <c r="O237" s="411" t="str">
        <f>'Details PC'!J239</f>
        <v>GST/25-26/176</v>
      </c>
      <c r="P237" s="242">
        <f>'Details PC'!F239</f>
        <v>45923</v>
      </c>
      <c r="R237">
        <f>'Details PC'!T239</f>
        <v>351000</v>
      </c>
    </row>
    <row r="238" spans="1:18" x14ac:dyDescent="0.3">
      <c r="A238">
        <v>0</v>
      </c>
      <c r="B238">
        <f>'Details PC'!B240</f>
        <v>236</v>
      </c>
      <c r="E238" t="str">
        <f>'Details PC'!H240</f>
        <v>Yash Enterprises</v>
      </c>
      <c r="G238" s="242" t="e">
        <f>'Details PC'!#REF!</f>
        <v>#REF!</v>
      </c>
      <c r="L238">
        <f>'Details PC'!R240</f>
        <v>5090</v>
      </c>
      <c r="N238">
        <f>'Details PC'!S240</f>
        <v>32.5</v>
      </c>
      <c r="O238" s="411" t="str">
        <f>'Details PC'!J240</f>
        <v>GST/25-26/177</v>
      </c>
      <c r="P238" s="242">
        <f>'Details PC'!F240</f>
        <v>45923</v>
      </c>
      <c r="R238">
        <f>'Details PC'!T240</f>
        <v>165425</v>
      </c>
    </row>
    <row r="239" spans="1:18" x14ac:dyDescent="0.3">
      <c r="A239">
        <v>0</v>
      </c>
      <c r="B239">
        <f>'Details PC'!B241</f>
        <v>237</v>
      </c>
      <c r="E239" t="str">
        <f>'Details PC'!H241</f>
        <v>Ultra Corpotech Pvt Ltd</v>
      </c>
      <c r="G239" s="242" t="e">
        <f>'Details PC'!#REF!</f>
        <v>#REF!</v>
      </c>
      <c r="L239">
        <f>'Details PC'!R241</f>
        <v>15170</v>
      </c>
      <c r="N239">
        <f>'Details PC'!S241</f>
        <v>32.65</v>
      </c>
      <c r="O239" s="411">
        <f>'Details PC'!J241</f>
        <v>8252001725</v>
      </c>
      <c r="P239" s="242">
        <f>'Details PC'!F241</f>
        <v>45924</v>
      </c>
      <c r="R239">
        <f>'Details PC'!T241</f>
        <v>495300.5</v>
      </c>
    </row>
    <row r="240" spans="1:18" x14ac:dyDescent="0.3">
      <c r="A240">
        <v>0</v>
      </c>
      <c r="B240">
        <f>'Details PC'!B242</f>
        <v>238</v>
      </c>
      <c r="E240" t="str">
        <f>'Details PC'!H242</f>
        <v>Ultra Corpotech Pvt Ltd</v>
      </c>
      <c r="G240" s="242" t="e">
        <f>'Details PC'!#REF!</f>
        <v>#REF!</v>
      </c>
      <c r="L240">
        <f>'Details PC'!R242</f>
        <v>6330</v>
      </c>
      <c r="N240">
        <f>'Details PC'!S242</f>
        <v>32.65</v>
      </c>
      <c r="O240" s="411">
        <f>'Details PC'!J242</f>
        <v>5252000909</v>
      </c>
      <c r="P240" s="242">
        <f>'Details PC'!F242</f>
        <v>45924</v>
      </c>
      <c r="R240">
        <f>'Details PC'!T242</f>
        <v>206674.5</v>
      </c>
    </row>
    <row r="241" spans="1:18" x14ac:dyDescent="0.3">
      <c r="A241">
        <v>0</v>
      </c>
      <c r="B241">
        <f>'Details PC'!B243</f>
        <v>239</v>
      </c>
      <c r="E241" t="str">
        <f>'Details PC'!H243</f>
        <v>Ultra Corpotech Pvt Ltd</v>
      </c>
      <c r="G241" s="242" t="e">
        <f>'Details PC'!#REF!</f>
        <v>#REF!</v>
      </c>
      <c r="L241">
        <f>'Details PC'!R243</f>
        <v>7940</v>
      </c>
      <c r="N241">
        <f>'Details PC'!S243</f>
        <v>32.65</v>
      </c>
      <c r="O241" s="411">
        <f>'Details PC'!J243</f>
        <v>5252000911</v>
      </c>
      <c r="P241" s="242">
        <f>'Details PC'!F243</f>
        <v>45924</v>
      </c>
      <c r="R241">
        <f>'Details PC'!T243</f>
        <v>259241</v>
      </c>
    </row>
    <row r="242" spans="1:18" x14ac:dyDescent="0.3">
      <c r="A242">
        <v>0</v>
      </c>
      <c r="B242">
        <f>'Details PC'!B244</f>
        <v>240</v>
      </c>
      <c r="E242" t="str">
        <f>'Details PC'!H244</f>
        <v>Anusaya Auto Press Parts Pvt Ltd</v>
      </c>
      <c r="G242" s="242" t="e">
        <f>'Details PC'!#REF!</f>
        <v>#REF!</v>
      </c>
      <c r="L242">
        <f>'Details PC'!R244</f>
        <v>6050</v>
      </c>
      <c r="N242">
        <f>'Details PC'!S244</f>
        <v>32.299999999999997</v>
      </c>
      <c r="O242" s="411">
        <f>'Details PC'!J244</f>
        <v>2526030169</v>
      </c>
      <c r="P242" s="242">
        <f>'Details PC'!F244</f>
        <v>45925</v>
      </c>
      <c r="R242">
        <f>'Details PC'!T244</f>
        <v>195414.99999999997</v>
      </c>
    </row>
    <row r="243" spans="1:18" x14ac:dyDescent="0.3">
      <c r="A243">
        <v>0</v>
      </c>
      <c r="B243">
        <f>'Details PC'!B245</f>
        <v>241</v>
      </c>
      <c r="E243" t="str">
        <f>'Details PC'!H245</f>
        <v>Yash Enterprises</v>
      </c>
      <c r="G243" s="242" t="e">
        <f>'Details PC'!#REF!</f>
        <v>#REF!</v>
      </c>
      <c r="L243">
        <f>'Details PC'!R245</f>
        <v>12680</v>
      </c>
      <c r="N243">
        <f>'Details PC'!S245</f>
        <v>34.25</v>
      </c>
      <c r="O243" s="411" t="str">
        <f>'Details PC'!J245</f>
        <v>GST/25-26/180</v>
      </c>
      <c r="P243" s="242">
        <f>'Details PC'!F245</f>
        <v>45926</v>
      </c>
      <c r="R243">
        <f>'Details PC'!T245</f>
        <v>434290</v>
      </c>
    </row>
    <row r="244" spans="1:18" x14ac:dyDescent="0.3">
      <c r="A244">
        <v>0</v>
      </c>
      <c r="B244">
        <f>'Details PC'!B246</f>
        <v>242</v>
      </c>
      <c r="E244" t="str">
        <f>'Details PC'!H246</f>
        <v>Ultra Corpotech Pvt Ltd</v>
      </c>
      <c r="G244" s="242" t="e">
        <f>'Details PC'!#REF!</f>
        <v>#REF!</v>
      </c>
      <c r="L244">
        <f>'Details PC'!R246</f>
        <v>25980</v>
      </c>
      <c r="N244">
        <f>'Details PC'!S246</f>
        <v>32.65</v>
      </c>
      <c r="O244" s="411">
        <f>'Details PC'!J246</f>
        <v>6252000066</v>
      </c>
      <c r="P244" s="242">
        <f>'Details PC'!F246</f>
        <v>45926</v>
      </c>
      <c r="R244">
        <f>'Details PC'!T246</f>
        <v>848247</v>
      </c>
    </row>
    <row r="245" spans="1:18" x14ac:dyDescent="0.3">
      <c r="A245">
        <v>0</v>
      </c>
      <c r="B245">
        <f>'Details PC'!B247</f>
        <v>243</v>
      </c>
      <c r="E245" t="str">
        <f>'Details PC'!H247</f>
        <v>Yash Enterprises</v>
      </c>
      <c r="G245" s="242" t="e">
        <f>'Details PC'!#REF!</f>
        <v>#REF!</v>
      </c>
      <c r="L245">
        <f>'Details PC'!R247</f>
        <v>5900</v>
      </c>
      <c r="N245">
        <f>'Details PC'!S247</f>
        <v>36</v>
      </c>
      <c r="O245" s="411" t="str">
        <f>'Details PC'!J247</f>
        <v>GST/25-26/181</v>
      </c>
      <c r="P245" s="242">
        <f>'Details PC'!F247</f>
        <v>45927</v>
      </c>
      <c r="R245">
        <f>'Details PC'!T247</f>
        <v>212400</v>
      </c>
    </row>
    <row r="246" spans="1:18" x14ac:dyDescent="0.3">
      <c r="A246">
        <v>0</v>
      </c>
      <c r="B246">
        <f>'Details PC'!B248</f>
        <v>244</v>
      </c>
      <c r="E246" t="str">
        <f>'Details PC'!H248</f>
        <v>Anusaya Auto Press Parts Pvt Ltd</v>
      </c>
      <c r="G246" s="242" t="e">
        <f>'Details PC'!#REF!</f>
        <v>#REF!</v>
      </c>
      <c r="L246">
        <f>'Details PC'!R248</f>
        <v>6290</v>
      </c>
      <c r="N246">
        <f>'Details PC'!S248</f>
        <v>32.299999999999997</v>
      </c>
      <c r="O246" s="411">
        <f>'Details PC'!J248</f>
        <v>2526030517</v>
      </c>
      <c r="P246" s="242">
        <f>'Details PC'!F248</f>
        <v>45927</v>
      </c>
      <c r="R246">
        <f>'Details PC'!T248</f>
        <v>203166.99999999997</v>
      </c>
    </row>
    <row r="247" spans="1:18" x14ac:dyDescent="0.3">
      <c r="A247">
        <v>0</v>
      </c>
      <c r="B247">
        <f>'Details PC'!B249</f>
        <v>245</v>
      </c>
      <c r="E247" t="str">
        <f>'Details PC'!H249</f>
        <v>Ultra Corpotech Pvt Ltd</v>
      </c>
      <c r="G247" s="242" t="e">
        <f>'Details PC'!#REF!</f>
        <v>#REF!</v>
      </c>
      <c r="L247">
        <f>'Details PC'!R249</f>
        <v>11720</v>
      </c>
      <c r="N247">
        <f>'Details PC'!S249</f>
        <v>32.65</v>
      </c>
      <c r="O247" s="411">
        <f>'Details PC'!J249</f>
        <v>5252000932</v>
      </c>
      <c r="P247" s="242">
        <f>'Details PC'!F249</f>
        <v>45927</v>
      </c>
      <c r="R247">
        <f>'Details PC'!T249</f>
        <v>382658</v>
      </c>
    </row>
    <row r="248" spans="1:18" x14ac:dyDescent="0.3">
      <c r="A248">
        <v>0</v>
      </c>
      <c r="B248">
        <f>'Details PC'!B250</f>
        <v>246</v>
      </c>
      <c r="E248" t="str">
        <f>'Details PC'!H250</f>
        <v>Ultra Corpotech Pvt Ltd</v>
      </c>
      <c r="G248" s="242" t="e">
        <f>'Details PC'!#REF!</f>
        <v>#REF!</v>
      </c>
      <c r="L248">
        <f>'Details PC'!R250</f>
        <v>10530</v>
      </c>
      <c r="N248">
        <f>'Details PC'!S250</f>
        <v>32.65</v>
      </c>
      <c r="O248" s="411">
        <f>'Details PC'!J250</f>
        <v>4252002533</v>
      </c>
      <c r="P248" s="242">
        <f>'Details PC'!F250</f>
        <v>45927</v>
      </c>
      <c r="R248">
        <f>'Details PC'!T250</f>
        <v>343804.5</v>
      </c>
    </row>
    <row r="249" spans="1:18" x14ac:dyDescent="0.3">
      <c r="A249">
        <v>0</v>
      </c>
      <c r="B249">
        <f>'Details PC'!B251</f>
        <v>247</v>
      </c>
      <c r="E249" t="str">
        <f>'Details PC'!H251</f>
        <v>Yash Enterprises</v>
      </c>
      <c r="G249" s="242" t="e">
        <f>'Details PC'!#REF!</f>
        <v>#REF!</v>
      </c>
      <c r="L249">
        <f>'Details PC'!R251</f>
        <v>6370</v>
      </c>
      <c r="N249">
        <f>'Details PC'!S251</f>
        <v>36</v>
      </c>
      <c r="O249" s="411" t="str">
        <f>'Details PC'!J251</f>
        <v>GST/25-26/183</v>
      </c>
      <c r="P249" s="242">
        <f>'Details PC'!F251</f>
        <v>45928</v>
      </c>
      <c r="R249">
        <f>'Details PC'!T251</f>
        <v>229320</v>
      </c>
    </row>
    <row r="250" spans="1:18" x14ac:dyDescent="0.3">
      <c r="A250">
        <v>0</v>
      </c>
      <c r="B250">
        <f>'Details PC'!B252</f>
        <v>248</v>
      </c>
      <c r="E250" t="str">
        <f>'Details PC'!H252</f>
        <v>Anusaya Auto Press Parts Pvt Ltd</v>
      </c>
      <c r="G250" s="242" t="e">
        <f>'Details PC'!#REF!</f>
        <v>#REF!</v>
      </c>
      <c r="L250">
        <f>'Details PC'!R252</f>
        <v>7640</v>
      </c>
      <c r="N250">
        <f>'Details PC'!S252</f>
        <v>32.299999999999997</v>
      </c>
      <c r="O250" s="411">
        <f>'Details PC'!J252</f>
        <v>2526030710</v>
      </c>
      <c r="P250" s="242">
        <f>'Details PC'!F252</f>
        <v>45929</v>
      </c>
      <c r="R250">
        <f>'Details PC'!T252</f>
        <v>246771.99999999997</v>
      </c>
    </row>
    <row r="251" spans="1:18" x14ac:dyDescent="0.3">
      <c r="A251">
        <v>0</v>
      </c>
      <c r="B251">
        <f>'Details PC'!B253</f>
        <v>249</v>
      </c>
      <c r="E251" t="str">
        <f>'Details PC'!H253</f>
        <v>Ultra Corpotech Pvt Ltd</v>
      </c>
      <c r="G251" s="242" t="e">
        <f>'Details PC'!#REF!</f>
        <v>#REF!</v>
      </c>
      <c r="L251">
        <f>'Details PC'!R253</f>
        <v>20230</v>
      </c>
      <c r="N251">
        <f>'Details PC'!S253</f>
        <v>32.65</v>
      </c>
      <c r="O251" s="411">
        <f>'Details PC'!J253</f>
        <v>4252002564</v>
      </c>
      <c r="P251" s="242">
        <f>'Details PC'!F253</f>
        <v>45929</v>
      </c>
      <c r="R251">
        <f>'Details PC'!T253</f>
        <v>660509.5</v>
      </c>
    </row>
    <row r="252" spans="1:18" x14ac:dyDescent="0.3">
      <c r="A252">
        <v>0</v>
      </c>
      <c r="B252">
        <f>'Details PC'!B254</f>
        <v>250</v>
      </c>
      <c r="E252" t="str">
        <f>'Details PC'!H254</f>
        <v>Yash Enterprises</v>
      </c>
      <c r="G252" s="242" t="e">
        <f>'Details PC'!#REF!</f>
        <v>#REF!</v>
      </c>
      <c r="L252">
        <f>'Details PC'!R254</f>
        <v>7700</v>
      </c>
      <c r="N252">
        <f>'Details PC'!S254</f>
        <v>34.799999999999997</v>
      </c>
      <c r="O252" s="411" t="str">
        <f>'Details PC'!J254</f>
        <v>GST/25-26/186</v>
      </c>
      <c r="P252" s="242">
        <f>'Details PC'!F254</f>
        <v>45930</v>
      </c>
      <c r="R252">
        <f>'Details PC'!T254</f>
        <v>267960</v>
      </c>
    </row>
    <row r="253" spans="1:18" x14ac:dyDescent="0.3">
      <c r="A253">
        <v>0</v>
      </c>
      <c r="B253">
        <f>'Details PC'!B255</f>
        <v>251</v>
      </c>
      <c r="E253" t="str">
        <f>'Details PC'!H255</f>
        <v>Yash Enterprises</v>
      </c>
      <c r="G253" s="242" t="e">
        <f>'Details PC'!#REF!</f>
        <v>#REF!</v>
      </c>
      <c r="L253">
        <f>'Details PC'!R255</f>
        <v>8270</v>
      </c>
      <c r="N253">
        <f>'Details PC'!S255</f>
        <v>36</v>
      </c>
      <c r="O253" s="411" t="str">
        <f>'Details PC'!J255</f>
        <v>GST/25-26/187</v>
      </c>
      <c r="P253" s="242">
        <f>'Details PC'!F255</f>
        <v>45930</v>
      </c>
      <c r="R253">
        <f>'Details PC'!T255</f>
        <v>297720</v>
      </c>
    </row>
    <row r="254" spans="1:18" x14ac:dyDescent="0.3">
      <c r="A254">
        <v>0</v>
      </c>
      <c r="B254">
        <f>'Details PC'!B256</f>
        <v>252</v>
      </c>
      <c r="E254" t="str">
        <f>'Details PC'!H256</f>
        <v>Anusaya Auto Press Parts Pvt Ltd</v>
      </c>
      <c r="G254" s="242" t="e">
        <f>'Details PC'!#REF!</f>
        <v>#REF!</v>
      </c>
      <c r="L254">
        <f>'Details PC'!R256</f>
        <v>7610</v>
      </c>
      <c r="N254">
        <f>'Details PC'!S256</f>
        <v>32.299999999999997</v>
      </c>
      <c r="O254" s="411">
        <f>'Details PC'!J256</f>
        <v>2526030777</v>
      </c>
      <c r="P254" s="242">
        <f>'Details PC'!F256</f>
        <v>45930</v>
      </c>
      <c r="R254">
        <f>'Details PC'!T256</f>
        <v>245802.99999999997</v>
      </c>
    </row>
    <row r="255" spans="1:18" x14ac:dyDescent="0.3">
      <c r="A255">
        <v>0</v>
      </c>
      <c r="B255">
        <f>'Details PC'!B257</f>
        <v>253</v>
      </c>
      <c r="E255" t="str">
        <f>'Details PC'!H257</f>
        <v>Ultra Corpotech Pvt Ltd</v>
      </c>
      <c r="G255" s="242" t="e">
        <f>'Details PC'!#REF!</f>
        <v>#REF!</v>
      </c>
      <c r="L255">
        <f>'Details PC'!R257</f>
        <v>24100</v>
      </c>
      <c r="N255">
        <f>'Details PC'!S257</f>
        <v>32.65</v>
      </c>
      <c r="O255" s="411">
        <f>'Details PC'!J257</f>
        <v>8252001754</v>
      </c>
      <c r="P255" s="242">
        <f>'Details PC'!F257</f>
        <v>45930</v>
      </c>
      <c r="R255">
        <f>'Details PC'!T257</f>
        <v>786865</v>
      </c>
    </row>
    <row r="256" spans="1:18" x14ac:dyDescent="0.3">
      <c r="A256">
        <v>0</v>
      </c>
      <c r="B256">
        <f>'Details PC'!B258</f>
        <v>254</v>
      </c>
      <c r="E256" t="str">
        <f>'Details PC'!H258</f>
        <v>Ultra Corpotech Pvt Ltd</v>
      </c>
      <c r="G256" s="242" t="e">
        <f>'Details PC'!#REF!</f>
        <v>#REF!</v>
      </c>
      <c r="L256">
        <f>'Details PC'!R258</f>
        <v>15570</v>
      </c>
      <c r="N256">
        <f>'Details PC'!S258</f>
        <v>32.65</v>
      </c>
      <c r="O256" s="411">
        <f>'Details PC'!J258</f>
        <v>6252000069</v>
      </c>
      <c r="P256" s="242">
        <f>'Details PC'!F258</f>
        <v>45930</v>
      </c>
      <c r="R256">
        <f>'Details PC'!T258</f>
        <v>508360.5</v>
      </c>
    </row>
    <row r="257" spans="1:18" x14ac:dyDescent="0.3">
      <c r="A257">
        <v>0</v>
      </c>
      <c r="B257">
        <f>'Details PC'!B259</f>
        <v>255</v>
      </c>
      <c r="E257" t="str">
        <f>'Details PC'!H259</f>
        <v>Yash Enterprises</v>
      </c>
      <c r="G257" s="242" t="e">
        <f>'Details PC'!#REF!</f>
        <v>#REF!</v>
      </c>
      <c r="L257">
        <f>'Details PC'!R259</f>
        <v>4270</v>
      </c>
      <c r="N257">
        <f>'Details PC'!S259</f>
        <v>36</v>
      </c>
      <c r="O257" s="411" t="str">
        <f>'Details PC'!J259</f>
        <v>GST/25-26/189</v>
      </c>
      <c r="P257" s="242">
        <f>'Details PC'!F259</f>
        <v>45931</v>
      </c>
      <c r="R257">
        <f>'Details PC'!T259</f>
        <v>153720</v>
      </c>
    </row>
    <row r="258" spans="1:18" x14ac:dyDescent="0.3">
      <c r="A258">
        <v>0</v>
      </c>
      <c r="B258">
        <f>'Details PC'!B260</f>
        <v>256</v>
      </c>
      <c r="E258" t="str">
        <f>'Details PC'!H260</f>
        <v>Yash Enterprises</v>
      </c>
      <c r="G258" s="242" t="e">
        <f>'Details PC'!#REF!</f>
        <v>#REF!</v>
      </c>
      <c r="L258">
        <f>'Details PC'!R260</f>
        <v>6010</v>
      </c>
      <c r="N258">
        <f>'Details PC'!S260</f>
        <v>32.5</v>
      </c>
      <c r="O258" s="411" t="str">
        <f>'Details PC'!J260</f>
        <v>GST/25-26/190</v>
      </c>
      <c r="P258" s="242">
        <f>'Details PC'!F260</f>
        <v>45931</v>
      </c>
      <c r="R258">
        <f>'Details PC'!T260</f>
        <v>195325</v>
      </c>
    </row>
    <row r="259" spans="1:18" x14ac:dyDescent="0.3">
      <c r="A259">
        <v>0</v>
      </c>
      <c r="B259">
        <f>'Details PC'!B261</f>
        <v>257</v>
      </c>
      <c r="E259" t="str">
        <f>'Details PC'!H261</f>
        <v>Yash Enterprises</v>
      </c>
      <c r="G259" s="242" t="e">
        <f>'Details PC'!#REF!</f>
        <v>#REF!</v>
      </c>
      <c r="L259">
        <f>'Details PC'!R261</f>
        <v>5060</v>
      </c>
      <c r="N259">
        <f>'Details PC'!S261</f>
        <v>36</v>
      </c>
      <c r="O259" s="411" t="str">
        <f>'Details PC'!J261</f>
        <v>GST/25-26/191</v>
      </c>
      <c r="P259" s="242">
        <f>'Details PC'!F261</f>
        <v>45931</v>
      </c>
      <c r="R259">
        <f>'Details PC'!T261</f>
        <v>182160</v>
      </c>
    </row>
    <row r="260" spans="1:18" x14ac:dyDescent="0.3">
      <c r="A260">
        <v>0</v>
      </c>
      <c r="B260">
        <f>'Details PC'!B262</f>
        <v>258</v>
      </c>
      <c r="E260" t="str">
        <f>'Details PC'!H262</f>
        <v>Track Components Limited</v>
      </c>
      <c r="G260" s="242" t="e">
        <f>'Details PC'!#REF!</f>
        <v>#REF!</v>
      </c>
      <c r="L260">
        <f>'Details PC'!R262</f>
        <v>6940</v>
      </c>
      <c r="N260">
        <f>'Details PC'!S262</f>
        <v>32.1</v>
      </c>
      <c r="O260" s="411">
        <f>'Details PC'!J262</f>
        <v>122511101484</v>
      </c>
      <c r="P260" s="242">
        <f>'Details PC'!F262</f>
        <v>45933</v>
      </c>
      <c r="R260">
        <f>'Details PC'!T262</f>
        <v>222774</v>
      </c>
    </row>
    <row r="261" spans="1:18" x14ac:dyDescent="0.3">
      <c r="A261">
        <v>0</v>
      </c>
      <c r="B261">
        <f>'Details PC'!B263</f>
        <v>259</v>
      </c>
      <c r="E261" t="str">
        <f>'Details PC'!H263</f>
        <v>Track Components Limited</v>
      </c>
      <c r="G261" s="242" t="e">
        <f>'Details PC'!#REF!</f>
        <v>#REF!</v>
      </c>
      <c r="L261">
        <f>'Details PC'!R263</f>
        <v>7670</v>
      </c>
      <c r="N261">
        <f>'Details PC'!S263</f>
        <v>32.1</v>
      </c>
      <c r="O261" s="411">
        <f>'Details PC'!J263</f>
        <v>122511101490</v>
      </c>
      <c r="P261" s="242">
        <f>'Details PC'!F263</f>
        <v>45933</v>
      </c>
      <c r="R261">
        <f>'Details PC'!T263</f>
        <v>246207</v>
      </c>
    </row>
    <row r="262" spans="1:18" x14ac:dyDescent="0.3">
      <c r="A262">
        <v>0</v>
      </c>
      <c r="B262">
        <f>'Details PC'!B264</f>
        <v>260</v>
      </c>
      <c r="E262" t="str">
        <f>'Details PC'!H264</f>
        <v>Anusaya Auto Press Parts Pvt Ltd</v>
      </c>
      <c r="G262" s="242" t="e">
        <f>'Details PC'!#REF!</f>
        <v>#REF!</v>
      </c>
      <c r="L262">
        <f>'Details PC'!R264</f>
        <v>7560</v>
      </c>
      <c r="N262">
        <f>'Details PC'!S264</f>
        <v>32.299999999999997</v>
      </c>
      <c r="O262" s="411">
        <f>'Details PC'!J264</f>
        <v>2526031026</v>
      </c>
      <c r="P262" s="242">
        <f>'Details PC'!F264</f>
        <v>45933</v>
      </c>
      <c r="R262">
        <f>'Details PC'!T264</f>
        <v>244187.99999999997</v>
      </c>
    </row>
    <row r="263" spans="1:18" x14ac:dyDescent="0.3">
      <c r="A263">
        <v>0</v>
      </c>
      <c r="B263">
        <f>'Details PC'!B265</f>
        <v>261</v>
      </c>
      <c r="E263" t="str">
        <f>'Details PC'!H265</f>
        <v>Track Components Limited</v>
      </c>
      <c r="G263" s="242" t="e">
        <f>'Details PC'!#REF!</f>
        <v>#REF!</v>
      </c>
      <c r="L263">
        <f>'Details PC'!R265</f>
        <v>8920</v>
      </c>
      <c r="N263">
        <f>'Details PC'!S265</f>
        <v>32.1</v>
      </c>
      <c r="O263" s="411">
        <f>'Details PC'!J265</f>
        <v>122511102199</v>
      </c>
      <c r="P263" s="242">
        <f>'Details PC'!F265</f>
        <v>45934</v>
      </c>
      <c r="R263">
        <f>'Details PC'!T265</f>
        <v>286332</v>
      </c>
    </row>
    <row r="264" spans="1:18" x14ac:dyDescent="0.3">
      <c r="A264">
        <v>0</v>
      </c>
      <c r="B264">
        <f>'Details PC'!B266</f>
        <v>262</v>
      </c>
      <c r="E264" t="str">
        <f>'Details PC'!H266</f>
        <v>Track Components Limited</v>
      </c>
      <c r="G264" s="242" t="e">
        <f>'Details PC'!#REF!</f>
        <v>#REF!</v>
      </c>
      <c r="L264">
        <f>'Details PC'!R266</f>
        <v>7430</v>
      </c>
      <c r="N264">
        <f>'Details PC'!S266</f>
        <v>32.1</v>
      </c>
      <c r="O264" s="411">
        <f>'Details PC'!J266</f>
        <v>122511102164</v>
      </c>
      <c r="P264" s="242">
        <f>'Details PC'!F266</f>
        <v>45934</v>
      </c>
      <c r="R264">
        <f>'Details PC'!T266</f>
        <v>238503</v>
      </c>
    </row>
    <row r="265" spans="1:18" x14ac:dyDescent="0.3">
      <c r="A265">
        <v>0</v>
      </c>
      <c r="B265">
        <f>'Details PC'!B267</f>
        <v>263</v>
      </c>
      <c r="E265" t="str">
        <f>'Details PC'!H267</f>
        <v>Track Components Limited</v>
      </c>
      <c r="G265" s="242" t="e">
        <f>'Details PC'!#REF!</f>
        <v>#REF!</v>
      </c>
      <c r="L265">
        <f>'Details PC'!R267</f>
        <v>8690</v>
      </c>
      <c r="N265">
        <f>'Details PC'!S267</f>
        <v>32.1</v>
      </c>
      <c r="O265" s="411">
        <f>'Details PC'!J267</f>
        <v>122511102149</v>
      </c>
      <c r="P265" s="242">
        <f>'Details PC'!F267</f>
        <v>45934</v>
      </c>
      <c r="R265">
        <f>'Details PC'!T267</f>
        <v>278949</v>
      </c>
    </row>
    <row r="266" spans="1:18" x14ac:dyDescent="0.3">
      <c r="A266">
        <v>0</v>
      </c>
      <c r="B266">
        <f>'Details PC'!B268</f>
        <v>264</v>
      </c>
      <c r="E266" t="str">
        <f>'Details PC'!H268</f>
        <v>Track Components Limited</v>
      </c>
      <c r="G266" s="242" t="e">
        <f>'Details PC'!#REF!</f>
        <v>#REF!</v>
      </c>
      <c r="L266">
        <f>'Details PC'!R268</f>
        <v>8150</v>
      </c>
      <c r="N266">
        <f>'Details PC'!S268</f>
        <v>32.1</v>
      </c>
      <c r="O266" s="411">
        <f>'Details PC'!J268</f>
        <v>122511102225</v>
      </c>
      <c r="P266" s="242">
        <f>'Details PC'!F268</f>
        <v>45934</v>
      </c>
      <c r="R266">
        <f>'Details PC'!T268</f>
        <v>261615</v>
      </c>
    </row>
    <row r="267" spans="1:18" x14ac:dyDescent="0.3">
      <c r="A267">
        <v>0</v>
      </c>
      <c r="B267">
        <f>'Details PC'!B269</f>
        <v>265</v>
      </c>
      <c r="E267" t="str">
        <f>'Details PC'!H269</f>
        <v>Track Components Limited</v>
      </c>
      <c r="G267" s="242" t="e">
        <f>'Details PC'!#REF!</f>
        <v>#REF!</v>
      </c>
      <c r="L267">
        <f>'Details PC'!R269</f>
        <v>8830</v>
      </c>
      <c r="N267">
        <f>'Details PC'!S269</f>
        <v>32.1</v>
      </c>
      <c r="O267" s="411">
        <f>'Details PC'!J269</f>
        <v>122511102252</v>
      </c>
      <c r="P267" s="242">
        <f>'Details PC'!F269</f>
        <v>45934</v>
      </c>
      <c r="R267">
        <f>'Details PC'!T269</f>
        <v>283443</v>
      </c>
    </row>
    <row r="268" spans="1:18" x14ac:dyDescent="0.3">
      <c r="A268">
        <v>0</v>
      </c>
      <c r="B268">
        <f>'Details PC'!B270</f>
        <v>266</v>
      </c>
      <c r="E268" t="str">
        <f>'Details PC'!H270</f>
        <v>Yash Enterprises</v>
      </c>
      <c r="G268" s="242" t="e">
        <f>'Details PC'!#REF!</f>
        <v>#REF!</v>
      </c>
      <c r="L268">
        <f>'Details PC'!R270</f>
        <v>6410</v>
      </c>
      <c r="N268">
        <f>'Details PC'!S270</f>
        <v>33</v>
      </c>
      <c r="O268" s="411" t="str">
        <f>'Details PC'!J270</f>
        <v>GST/25-26/194</v>
      </c>
      <c r="P268" s="242">
        <f>'Details PC'!F270</f>
        <v>45934</v>
      </c>
      <c r="R268">
        <f>'Details PC'!T270</f>
        <v>211530</v>
      </c>
    </row>
    <row r="269" spans="1:18" x14ac:dyDescent="0.3">
      <c r="A269">
        <v>0</v>
      </c>
      <c r="B269">
        <f>'Details PC'!B271</f>
        <v>267</v>
      </c>
      <c r="E269" t="str">
        <f>'Details PC'!H271</f>
        <v>Ultra Corpotech Pvt Ltd</v>
      </c>
      <c r="G269" s="242" t="e">
        <f>'Details PC'!#REF!</f>
        <v>#REF!</v>
      </c>
      <c r="L269">
        <f>'Details PC'!R271</f>
        <v>14890</v>
      </c>
      <c r="N269">
        <f>'Details PC'!S271</f>
        <v>32.799999999999997</v>
      </c>
      <c r="O269" s="411">
        <f>'Details PC'!J271</f>
        <v>4252002661</v>
      </c>
      <c r="P269" s="242">
        <f>'Details PC'!F271</f>
        <v>45934</v>
      </c>
      <c r="R269">
        <f>'Details PC'!T271</f>
        <v>488391.99999999994</v>
      </c>
    </row>
    <row r="270" spans="1:18" x14ac:dyDescent="0.3">
      <c r="A270">
        <v>0</v>
      </c>
      <c r="B270">
        <f>'Details PC'!B272</f>
        <v>268</v>
      </c>
      <c r="E270" t="str">
        <f>'Details PC'!H272</f>
        <v>Ultra Corpotech Pvt Ltd</v>
      </c>
      <c r="G270" s="242" t="e">
        <f>'Details PC'!#REF!</f>
        <v>#REF!</v>
      </c>
      <c r="L270">
        <f>'Details PC'!R272</f>
        <v>31120</v>
      </c>
      <c r="N270">
        <f>'Details PC'!S272</f>
        <v>32.799999999999997</v>
      </c>
      <c r="O270" s="411">
        <f>'Details PC'!J272</f>
        <v>8252001766</v>
      </c>
      <c r="P270" s="242">
        <f>'Details PC'!F272</f>
        <v>45934</v>
      </c>
      <c r="R270">
        <f>'Details PC'!T272</f>
        <v>1020735.9999999999</v>
      </c>
    </row>
    <row r="271" spans="1:18" x14ac:dyDescent="0.3">
      <c r="A271">
        <v>0</v>
      </c>
      <c r="B271">
        <f>'Details PC'!B273</f>
        <v>269</v>
      </c>
      <c r="E271" t="str">
        <f>'Details PC'!H273</f>
        <v>Yash Enterprises</v>
      </c>
      <c r="G271" s="242" t="e">
        <f>'Details PC'!#REF!</f>
        <v>#REF!</v>
      </c>
      <c r="L271">
        <f>'Details PC'!R273</f>
        <v>6190</v>
      </c>
      <c r="N271">
        <f>'Details PC'!S273</f>
        <v>33</v>
      </c>
      <c r="O271" s="411" t="str">
        <f>'Details PC'!J273</f>
        <v>GST/25-26/195</v>
      </c>
      <c r="P271" s="242">
        <f>'Details PC'!F273</f>
        <v>45934</v>
      </c>
      <c r="R271">
        <f>'Details PC'!T273</f>
        <v>204270</v>
      </c>
    </row>
    <row r="272" spans="1:18" x14ac:dyDescent="0.3">
      <c r="A272">
        <v>0</v>
      </c>
      <c r="B272">
        <f>'Details PC'!B274</f>
        <v>270</v>
      </c>
      <c r="E272" t="str">
        <f>'Details PC'!H274</f>
        <v>Track Components Limited</v>
      </c>
      <c r="G272" s="242" t="e">
        <f>'Details PC'!#REF!</f>
        <v>#REF!</v>
      </c>
      <c r="L272">
        <f>'Details PC'!R274</f>
        <v>10320</v>
      </c>
      <c r="N272">
        <f>'Details PC'!S274</f>
        <v>32.1</v>
      </c>
      <c r="O272" s="411">
        <f>'Details PC'!J274</f>
        <v>122511102883</v>
      </c>
      <c r="P272" s="242">
        <f>'Details PC'!F274</f>
        <v>45935</v>
      </c>
      <c r="R272">
        <f>'Details PC'!T274</f>
        <v>331272</v>
      </c>
    </row>
    <row r="273" spans="1:18" x14ac:dyDescent="0.3">
      <c r="A273">
        <v>0</v>
      </c>
      <c r="B273">
        <f>'Details PC'!B275</f>
        <v>271</v>
      </c>
      <c r="E273" t="str">
        <f>'Details PC'!H275</f>
        <v>Track Components Limited</v>
      </c>
      <c r="G273" s="242" t="e">
        <f>'Details PC'!#REF!</f>
        <v>#REF!</v>
      </c>
      <c r="L273">
        <f>'Details PC'!R275</f>
        <v>8220</v>
      </c>
      <c r="N273">
        <f>'Details PC'!S275</f>
        <v>32.1</v>
      </c>
      <c r="O273" s="411">
        <f>'Details PC'!J275</f>
        <v>122511102933</v>
      </c>
      <c r="P273" s="242">
        <f>'Details PC'!F275</f>
        <v>45935</v>
      </c>
      <c r="R273">
        <f>'Details PC'!T275</f>
        <v>263862</v>
      </c>
    </row>
    <row r="274" spans="1:18" x14ac:dyDescent="0.3">
      <c r="A274">
        <v>0</v>
      </c>
      <c r="B274">
        <f>'Details PC'!B276</f>
        <v>272</v>
      </c>
      <c r="E274" t="str">
        <f>'Details PC'!H276</f>
        <v>Ultra Corpotech Pvt Ltd</v>
      </c>
      <c r="G274" s="242" t="e">
        <f>'Details PC'!#REF!</f>
        <v>#REF!</v>
      </c>
      <c r="L274">
        <f>'Details PC'!R276</f>
        <v>9550</v>
      </c>
      <c r="N274">
        <f>'Details PC'!S276</f>
        <v>32.799999999999997</v>
      </c>
      <c r="O274" s="411">
        <f>'Details PC'!J276</f>
        <v>4252002666</v>
      </c>
      <c r="P274" s="242">
        <f>'Details PC'!F276</f>
        <v>45935</v>
      </c>
      <c r="R274">
        <f>'Details PC'!T276</f>
        <v>313240</v>
      </c>
    </row>
    <row r="275" spans="1:18" x14ac:dyDescent="0.3">
      <c r="A275">
        <v>0</v>
      </c>
      <c r="B275">
        <f>'Details PC'!B277</f>
        <v>273</v>
      </c>
      <c r="E275" t="str">
        <f>'Details PC'!H277</f>
        <v>Ultra Corpotech Pvt Ltd</v>
      </c>
      <c r="G275" s="242" t="e">
        <f>'Details PC'!#REF!</f>
        <v>#REF!</v>
      </c>
      <c r="L275">
        <f>'Details PC'!R277</f>
        <v>23400</v>
      </c>
      <c r="N275">
        <f>'Details PC'!S277</f>
        <v>32.799999999999997</v>
      </c>
      <c r="O275" s="411">
        <f>'Details PC'!J277</f>
        <v>8252001768</v>
      </c>
      <c r="P275" s="242">
        <f>'Details PC'!F277</f>
        <v>45935</v>
      </c>
      <c r="R275">
        <f>'Details PC'!T277</f>
        <v>767519.99999999988</v>
      </c>
    </row>
    <row r="276" spans="1:18" x14ac:dyDescent="0.3">
      <c r="A276">
        <v>0</v>
      </c>
      <c r="B276">
        <f>'Details PC'!B278</f>
        <v>274</v>
      </c>
      <c r="E276" t="str">
        <f>'Details PC'!H278</f>
        <v>Track Components Limited</v>
      </c>
      <c r="G276" s="242" t="e">
        <f>'Details PC'!#REF!</f>
        <v>#REF!</v>
      </c>
      <c r="L276">
        <f>'Details PC'!R278</f>
        <v>8330</v>
      </c>
      <c r="N276">
        <f>'Details PC'!S278</f>
        <v>32.1</v>
      </c>
      <c r="O276" s="411">
        <f>'Details PC'!J278</f>
        <v>122511103501</v>
      </c>
      <c r="P276" s="242">
        <f>'Details PC'!F278</f>
        <v>45936</v>
      </c>
      <c r="R276">
        <f>'Details PC'!T278</f>
        <v>267393</v>
      </c>
    </row>
    <row r="277" spans="1:18" x14ac:dyDescent="0.3">
      <c r="A277">
        <v>0</v>
      </c>
      <c r="B277">
        <f>'Details PC'!B279</f>
        <v>275</v>
      </c>
      <c r="E277" t="str">
        <f>'Details PC'!H279</f>
        <v>Track Components Limited</v>
      </c>
      <c r="G277" s="242" t="e">
        <f>'Details PC'!#REF!</f>
        <v>#REF!</v>
      </c>
      <c r="L277">
        <f>'Details PC'!R279</f>
        <v>7720</v>
      </c>
      <c r="N277">
        <f>'Details PC'!S279</f>
        <v>32.1</v>
      </c>
      <c r="O277" s="411">
        <f>'Details PC'!J279</f>
        <v>122511103558</v>
      </c>
      <c r="P277" s="242">
        <f>'Details PC'!F279</f>
        <v>45936</v>
      </c>
      <c r="R277">
        <f>'Details PC'!T279</f>
        <v>247812</v>
      </c>
    </row>
    <row r="278" spans="1:18" x14ac:dyDescent="0.3">
      <c r="A278">
        <v>0</v>
      </c>
      <c r="B278">
        <f>'Details PC'!B280</f>
        <v>276</v>
      </c>
      <c r="E278" t="str">
        <f>'Details PC'!H280</f>
        <v>Track Components Limited</v>
      </c>
      <c r="G278" s="242" t="e">
        <f>'Details PC'!#REF!</f>
        <v>#REF!</v>
      </c>
      <c r="L278">
        <f>'Details PC'!R280</f>
        <v>8390</v>
      </c>
      <c r="N278">
        <f>'Details PC'!S280</f>
        <v>32.1</v>
      </c>
      <c r="O278" s="411">
        <f>'Details PC'!J280</f>
        <v>122511103580</v>
      </c>
      <c r="P278" s="242">
        <f>'Details PC'!F280</f>
        <v>45936</v>
      </c>
      <c r="R278">
        <f>'Details PC'!T280</f>
        <v>269319</v>
      </c>
    </row>
    <row r="279" spans="1:18" x14ac:dyDescent="0.3">
      <c r="A279">
        <v>0</v>
      </c>
      <c r="B279">
        <f>'Details PC'!B281</f>
        <v>277</v>
      </c>
      <c r="E279" t="str">
        <f>'Details PC'!H281</f>
        <v>Anusaya Auto Press Parts Pvt Ltd</v>
      </c>
      <c r="G279" s="242" t="e">
        <f>'Details PC'!#REF!</f>
        <v>#REF!</v>
      </c>
      <c r="L279">
        <f>'Details PC'!R281</f>
        <v>6030</v>
      </c>
      <c r="N279">
        <f>'Details PC'!S281</f>
        <v>32.299999999999997</v>
      </c>
      <c r="O279" s="411">
        <f>'Details PC'!J281</f>
        <v>2526031506</v>
      </c>
      <c r="P279" s="242">
        <f>'Details PC'!F281</f>
        <v>45936</v>
      </c>
      <c r="R279">
        <f>'Details PC'!T281</f>
        <v>194768.99999999997</v>
      </c>
    </row>
    <row r="280" spans="1:18" x14ac:dyDescent="0.3">
      <c r="A280">
        <v>0</v>
      </c>
      <c r="B280">
        <f>'Details PC'!B282</f>
        <v>278</v>
      </c>
      <c r="E280" t="str">
        <f>'Details PC'!H282</f>
        <v>Ultra Corpotech Pvt Ltd</v>
      </c>
      <c r="G280" s="242" t="e">
        <f>'Details PC'!#REF!</f>
        <v>#REF!</v>
      </c>
      <c r="L280">
        <f>'Details PC'!R282</f>
        <v>18900</v>
      </c>
      <c r="N280">
        <f>'Details PC'!S282</f>
        <v>32.799999999999997</v>
      </c>
      <c r="O280" s="411">
        <f>'Details PC'!J282</f>
        <v>6252000070</v>
      </c>
      <c r="P280" s="242">
        <f>'Details PC'!F282</f>
        <v>45936</v>
      </c>
      <c r="R280">
        <f>'Details PC'!T282</f>
        <v>619920</v>
      </c>
    </row>
    <row r="281" spans="1:18" x14ac:dyDescent="0.3">
      <c r="A281">
        <v>0</v>
      </c>
      <c r="B281">
        <f>'Details PC'!B283</f>
        <v>279</v>
      </c>
      <c r="E281" t="str">
        <f>'Details PC'!H283</f>
        <v>Ultra Corpotech Pvt Ltd</v>
      </c>
      <c r="G281" s="242" t="e">
        <f>'Details PC'!#REF!</f>
        <v>#REF!</v>
      </c>
      <c r="L281">
        <f>'Details PC'!R283</f>
        <v>23120</v>
      </c>
      <c r="N281">
        <f>'Details PC'!S283</f>
        <v>32.799999999999997</v>
      </c>
      <c r="O281" s="411">
        <f>'Details PC'!J283</f>
        <v>8252001772</v>
      </c>
      <c r="P281" s="242">
        <f>'Details PC'!F283</f>
        <v>45936</v>
      </c>
      <c r="R281">
        <f>'Details PC'!T283</f>
        <v>758335.99999999988</v>
      </c>
    </row>
    <row r="282" spans="1:18" x14ac:dyDescent="0.3">
      <c r="A282">
        <v>0</v>
      </c>
      <c r="B282">
        <f>'Details PC'!B284</f>
        <v>280</v>
      </c>
      <c r="E282" t="str">
        <f>'Details PC'!H284</f>
        <v>Track Components Limited</v>
      </c>
      <c r="G282" s="242" t="e">
        <f>'Details PC'!#REF!</f>
        <v>#REF!</v>
      </c>
      <c r="L282">
        <f>'Details PC'!R284</f>
        <v>10150</v>
      </c>
      <c r="N282">
        <f>'Details PC'!S284</f>
        <v>32.1</v>
      </c>
      <c r="O282" s="411">
        <f>'Details PC'!J284</f>
        <v>122511104288</v>
      </c>
      <c r="P282" s="242">
        <f>'Details PC'!F284</f>
        <v>45937</v>
      </c>
      <c r="R282">
        <f>'Details PC'!T284</f>
        <v>325815</v>
      </c>
    </row>
    <row r="283" spans="1:18" x14ac:dyDescent="0.3">
      <c r="A283">
        <v>0</v>
      </c>
      <c r="B283">
        <f>'Details PC'!B285</f>
        <v>281</v>
      </c>
      <c r="E283" t="str">
        <f>'Details PC'!H285</f>
        <v>Track Components Limited</v>
      </c>
      <c r="G283" s="242" t="e">
        <f>'Details PC'!#REF!</f>
        <v>#REF!</v>
      </c>
      <c r="L283">
        <f>'Details PC'!R285</f>
        <v>10240</v>
      </c>
      <c r="N283">
        <f>'Details PC'!S285</f>
        <v>32.1</v>
      </c>
      <c r="O283" s="411">
        <f>'Details PC'!J285</f>
        <v>122511104287</v>
      </c>
      <c r="P283" s="242">
        <f>'Details PC'!F285</f>
        <v>45937</v>
      </c>
      <c r="R283">
        <f>'Details PC'!T285</f>
        <v>328704</v>
      </c>
    </row>
    <row r="284" spans="1:18" x14ac:dyDescent="0.3">
      <c r="A284">
        <v>0</v>
      </c>
      <c r="B284">
        <f>'Details PC'!B286</f>
        <v>282</v>
      </c>
      <c r="E284" t="str">
        <f>'Details PC'!H286</f>
        <v>Ultra Corpotech Pvt Ltd</v>
      </c>
      <c r="G284" s="242" t="e">
        <f>'Details PC'!#REF!</f>
        <v>#REF!</v>
      </c>
      <c r="L284">
        <f>'Details PC'!R286</f>
        <v>17070</v>
      </c>
      <c r="N284">
        <f>'Details PC'!S286</f>
        <v>32.799999999999997</v>
      </c>
      <c r="O284" s="411">
        <f>'Details PC'!J286</f>
        <v>5252000993</v>
      </c>
      <c r="P284" s="242">
        <f>'Details PC'!F286</f>
        <v>45937</v>
      </c>
      <c r="R284">
        <f>'Details PC'!T286</f>
        <v>559896</v>
      </c>
    </row>
    <row r="285" spans="1:18" x14ac:dyDescent="0.3">
      <c r="A285">
        <v>0</v>
      </c>
      <c r="B285">
        <f>'Details PC'!B287</f>
        <v>283</v>
      </c>
      <c r="E285" t="str">
        <f>'Details PC'!H287</f>
        <v>Ultra Corpotech Pvt Ltd</v>
      </c>
      <c r="G285" s="242" t="e">
        <f>'Details PC'!#REF!</f>
        <v>#REF!</v>
      </c>
      <c r="L285">
        <f>'Details PC'!R287</f>
        <v>25850</v>
      </c>
      <c r="N285">
        <f>'Details PC'!S287</f>
        <v>32.799999999999997</v>
      </c>
      <c r="O285" s="411">
        <f>'Details PC'!J287</f>
        <v>8252001776</v>
      </c>
      <c r="P285" s="242">
        <f>'Details PC'!F287</f>
        <v>45937</v>
      </c>
      <c r="R285">
        <f>'Details PC'!T287</f>
        <v>847879.99999999988</v>
      </c>
    </row>
    <row r="286" spans="1:18" x14ac:dyDescent="0.3">
      <c r="A286">
        <v>0</v>
      </c>
      <c r="B286">
        <f>'Details PC'!B288</f>
        <v>284</v>
      </c>
      <c r="E286" t="str">
        <f>'Details PC'!H288</f>
        <v>Track Components Limited</v>
      </c>
      <c r="G286" s="242" t="e">
        <f>'Details PC'!#REF!</f>
        <v>#REF!</v>
      </c>
      <c r="L286">
        <f>'Details PC'!R288</f>
        <v>9620</v>
      </c>
      <c r="N286">
        <f>'Details PC'!S288</f>
        <v>32.1</v>
      </c>
      <c r="O286" s="411">
        <f>'Details PC'!J288</f>
        <v>122511104954</v>
      </c>
      <c r="P286" s="242">
        <f>'Details PC'!F288</f>
        <v>45938</v>
      </c>
      <c r="R286">
        <f>'Details PC'!T288</f>
        <v>308802</v>
      </c>
    </row>
    <row r="287" spans="1:18" x14ac:dyDescent="0.3">
      <c r="A287">
        <v>0</v>
      </c>
      <c r="B287">
        <f>'Details PC'!B289</f>
        <v>285</v>
      </c>
      <c r="E287" t="str">
        <f>'Details PC'!H289</f>
        <v>Track Components Limited</v>
      </c>
      <c r="G287" s="242" t="e">
        <f>'Details PC'!#REF!</f>
        <v>#REF!</v>
      </c>
      <c r="L287">
        <f>'Details PC'!R289</f>
        <v>10910</v>
      </c>
      <c r="N287">
        <f>'Details PC'!S289</f>
        <v>32.1</v>
      </c>
      <c r="O287" s="411">
        <f>'Details PC'!J289</f>
        <v>122511104927</v>
      </c>
      <c r="P287" s="242">
        <f>'Details PC'!F289</f>
        <v>45938</v>
      </c>
      <c r="R287">
        <f>'Details PC'!T289</f>
        <v>350211</v>
      </c>
    </row>
    <row r="288" spans="1:18" x14ac:dyDescent="0.3">
      <c r="A288">
        <v>0</v>
      </c>
      <c r="B288">
        <f>'Details PC'!B290</f>
        <v>286</v>
      </c>
      <c r="E288" t="str">
        <f>'Details PC'!H290</f>
        <v>Track Components Limited</v>
      </c>
      <c r="G288" s="242" t="e">
        <f>'Details PC'!#REF!</f>
        <v>#REF!</v>
      </c>
      <c r="L288">
        <f>'Details PC'!R290</f>
        <v>9730</v>
      </c>
      <c r="N288">
        <f>'Details PC'!S290</f>
        <v>32.1</v>
      </c>
      <c r="O288" s="411">
        <f>'Details PC'!J290</f>
        <v>122511105023</v>
      </c>
      <c r="P288" s="242">
        <f>'Details PC'!F290</f>
        <v>45938</v>
      </c>
      <c r="R288">
        <f>'Details PC'!T290</f>
        <v>312333</v>
      </c>
    </row>
    <row r="289" spans="1:18" x14ac:dyDescent="0.3">
      <c r="A289">
        <v>0</v>
      </c>
      <c r="B289">
        <f>'Details PC'!B291</f>
        <v>287</v>
      </c>
      <c r="E289" t="str">
        <f>'Details PC'!H291</f>
        <v>Track Components Limited</v>
      </c>
      <c r="G289" s="242" t="e">
        <f>'Details PC'!#REF!</f>
        <v>#REF!</v>
      </c>
      <c r="L289">
        <f>'Details PC'!R291</f>
        <v>12120</v>
      </c>
      <c r="N289">
        <f>'Details PC'!S291</f>
        <v>32.1</v>
      </c>
      <c r="O289" s="411">
        <f>'Details PC'!J291</f>
        <v>162511000360</v>
      </c>
      <c r="P289" s="242">
        <f>'Details PC'!F291</f>
        <v>45938</v>
      </c>
      <c r="R289">
        <f>'Details PC'!T291</f>
        <v>389052</v>
      </c>
    </row>
    <row r="290" spans="1:18" x14ac:dyDescent="0.3">
      <c r="A290">
        <v>0</v>
      </c>
      <c r="B290">
        <f>'Details PC'!B292</f>
        <v>288</v>
      </c>
      <c r="E290" t="str">
        <f>'Details PC'!H292</f>
        <v>Ultra Corpotech Pvt Ltd</v>
      </c>
      <c r="G290" s="242" t="e">
        <f>'Details PC'!#REF!</f>
        <v>#REF!</v>
      </c>
      <c r="L290">
        <f>'Details PC'!R292</f>
        <v>21780</v>
      </c>
      <c r="N290">
        <f>'Details PC'!S292</f>
        <v>32.799999999999997</v>
      </c>
      <c r="O290" s="411">
        <f>'Details PC'!J292</f>
        <v>6252000071</v>
      </c>
      <c r="P290" s="242">
        <f>'Details PC'!F292</f>
        <v>45938</v>
      </c>
      <c r="R290">
        <f>'Details PC'!T292</f>
        <v>714383.99999999988</v>
      </c>
    </row>
    <row r="291" spans="1:18" x14ac:dyDescent="0.3">
      <c r="A291">
        <v>0</v>
      </c>
      <c r="B291">
        <f>'Details PC'!B293</f>
        <v>289</v>
      </c>
      <c r="E291" t="str">
        <f>'Details PC'!H293</f>
        <v>Ultra Corpotech Pvt Ltd</v>
      </c>
      <c r="G291" s="242" t="e">
        <f>'Details PC'!#REF!</f>
        <v>#REF!</v>
      </c>
      <c r="L291">
        <f>'Details PC'!R293</f>
        <v>19640</v>
      </c>
      <c r="N291">
        <f>'Details PC'!S293</f>
        <v>32.799999999999997</v>
      </c>
      <c r="O291" s="411">
        <f>'Details PC'!J293</f>
        <v>8252001781</v>
      </c>
      <c r="P291" s="242">
        <f>'Details PC'!F293</f>
        <v>45938</v>
      </c>
      <c r="R291">
        <f>'Details PC'!T293</f>
        <v>644192</v>
      </c>
    </row>
    <row r="292" spans="1:18" x14ac:dyDescent="0.3">
      <c r="A292">
        <v>0</v>
      </c>
      <c r="B292">
        <f>'Details PC'!B294</f>
        <v>290</v>
      </c>
      <c r="E292" t="str">
        <f>'Details PC'!H294</f>
        <v>Track Components Limited</v>
      </c>
      <c r="G292" s="242" t="e">
        <f>'Details PC'!#REF!</f>
        <v>#REF!</v>
      </c>
      <c r="L292">
        <f>'Details PC'!R294</f>
        <v>6810</v>
      </c>
      <c r="N292">
        <f>'Details PC'!S294</f>
        <v>32.1</v>
      </c>
      <c r="O292" s="411">
        <f>'Details PC'!J294</f>
        <v>122511105650</v>
      </c>
      <c r="P292" s="242">
        <f>'Details PC'!F294</f>
        <v>45939</v>
      </c>
      <c r="R292">
        <f>'Details PC'!T294</f>
        <v>218601</v>
      </c>
    </row>
    <row r="293" spans="1:18" x14ac:dyDescent="0.3">
      <c r="A293">
        <v>0</v>
      </c>
      <c r="B293">
        <f>'Details PC'!B295</f>
        <v>291</v>
      </c>
      <c r="E293" t="str">
        <f>'Details PC'!H295</f>
        <v>Track Components Limited</v>
      </c>
      <c r="G293" s="242" t="e">
        <f>'Details PC'!#REF!</f>
        <v>#REF!</v>
      </c>
      <c r="L293">
        <f>'Details PC'!R295</f>
        <v>6740</v>
      </c>
      <c r="N293">
        <f>'Details PC'!S295</f>
        <v>32.1</v>
      </c>
      <c r="O293" s="411">
        <f>'Details PC'!J295</f>
        <v>122511105635</v>
      </c>
      <c r="P293" s="242">
        <f>'Details PC'!F295</f>
        <v>45939</v>
      </c>
      <c r="R293">
        <f>'Details PC'!T295</f>
        <v>216354</v>
      </c>
    </row>
    <row r="294" spans="1:18" x14ac:dyDescent="0.3">
      <c r="A294">
        <v>0</v>
      </c>
      <c r="B294">
        <f>'Details PC'!B296</f>
        <v>292</v>
      </c>
      <c r="E294" t="str">
        <f>'Details PC'!H296</f>
        <v>Track Components Limited</v>
      </c>
      <c r="G294" s="242" t="e">
        <f>'Details PC'!#REF!</f>
        <v>#REF!</v>
      </c>
      <c r="L294">
        <f>'Details PC'!R296</f>
        <v>7600</v>
      </c>
      <c r="N294">
        <f>'Details PC'!S296</f>
        <v>32.1</v>
      </c>
      <c r="O294" s="411">
        <f>'Details PC'!J296</f>
        <v>122511105681</v>
      </c>
      <c r="P294" s="242">
        <f>'Details PC'!F296</f>
        <v>45939</v>
      </c>
      <c r="R294">
        <f>'Details PC'!T296</f>
        <v>243960</v>
      </c>
    </row>
    <row r="295" spans="1:18" x14ac:dyDescent="0.3">
      <c r="A295">
        <v>0</v>
      </c>
      <c r="B295">
        <f>'Details PC'!B297</f>
        <v>293</v>
      </c>
      <c r="E295" t="str">
        <f>'Details PC'!H297</f>
        <v>Track Components Limited</v>
      </c>
      <c r="G295" s="242" t="e">
        <f>'Details PC'!#REF!</f>
        <v>#REF!</v>
      </c>
      <c r="L295">
        <f>'Details PC'!R297</f>
        <v>10160</v>
      </c>
      <c r="N295">
        <f>'Details PC'!S297</f>
        <v>32.1</v>
      </c>
      <c r="O295" s="411">
        <f>'Details PC'!J297</f>
        <v>122511106335</v>
      </c>
      <c r="P295" s="242">
        <f>'Details PC'!F297</f>
        <v>45940</v>
      </c>
      <c r="R295">
        <f>'Details PC'!T297</f>
        <v>326136</v>
      </c>
    </row>
    <row r="296" spans="1:18" x14ac:dyDescent="0.3">
      <c r="A296">
        <v>0</v>
      </c>
      <c r="B296">
        <f>'Details PC'!B298</f>
        <v>294</v>
      </c>
      <c r="E296" t="str">
        <f>'Details PC'!H298</f>
        <v>Track Components Limited</v>
      </c>
      <c r="G296" s="242" t="e">
        <f>'Details PC'!#REF!</f>
        <v>#REF!</v>
      </c>
      <c r="L296">
        <f>'Details PC'!R298</f>
        <v>9630</v>
      </c>
      <c r="N296">
        <f>'Details PC'!S298</f>
        <v>32.1</v>
      </c>
      <c r="O296" s="411">
        <f>'Details PC'!J298</f>
        <v>122511106403</v>
      </c>
      <c r="P296" s="242">
        <f>'Details PC'!F298</f>
        <v>45940</v>
      </c>
      <c r="R296">
        <f>'Details PC'!T298</f>
        <v>309123</v>
      </c>
    </row>
    <row r="297" spans="1:18" x14ac:dyDescent="0.3">
      <c r="A297">
        <v>0</v>
      </c>
      <c r="B297">
        <f>'Details PC'!B299</f>
        <v>295</v>
      </c>
      <c r="E297" t="str">
        <f>'Details PC'!H299</f>
        <v>Track Components Limited</v>
      </c>
      <c r="G297" s="242" t="e">
        <f>'Details PC'!#REF!</f>
        <v>#REF!</v>
      </c>
      <c r="L297">
        <f>'Details PC'!R299</f>
        <v>10130</v>
      </c>
      <c r="N297">
        <f>'Details PC'!S299</f>
        <v>32.1</v>
      </c>
      <c r="O297" s="411">
        <f>'Details PC'!J299</f>
        <v>122511106391</v>
      </c>
      <c r="P297" s="242">
        <f>'Details PC'!F299</f>
        <v>45940</v>
      </c>
      <c r="R297">
        <f>'Details PC'!T299</f>
        <v>325173</v>
      </c>
    </row>
    <row r="298" spans="1:18" x14ac:dyDescent="0.3">
      <c r="A298">
        <v>0</v>
      </c>
      <c r="B298">
        <f>'Details PC'!B300</f>
        <v>296</v>
      </c>
      <c r="E298" t="str">
        <f>'Details PC'!H300</f>
        <v>Yash Enterprises</v>
      </c>
      <c r="G298" s="242" t="e">
        <f>'Details PC'!#REF!</f>
        <v>#REF!</v>
      </c>
      <c r="L298">
        <f>'Details PC'!R300</f>
        <v>8740</v>
      </c>
      <c r="N298">
        <f>'Details PC'!S300</f>
        <v>34</v>
      </c>
      <c r="O298" s="411" t="str">
        <f>'Details PC'!J300</f>
        <v>GST/25-26/200</v>
      </c>
      <c r="P298" s="242">
        <f>'Details PC'!F300</f>
        <v>45940</v>
      </c>
      <c r="R298">
        <f>'Details PC'!T300</f>
        <v>297160</v>
      </c>
    </row>
    <row r="299" spans="1:18" x14ac:dyDescent="0.3">
      <c r="A299">
        <v>0</v>
      </c>
      <c r="B299">
        <f>'Details PC'!B301</f>
        <v>297</v>
      </c>
      <c r="E299" t="str">
        <f>'Details PC'!H301</f>
        <v>Ultra Corpotech Pvt Ltd</v>
      </c>
      <c r="G299" s="242" t="e">
        <f>'Details PC'!#REF!</f>
        <v>#REF!</v>
      </c>
      <c r="L299">
        <f>'Details PC'!R301</f>
        <v>26250</v>
      </c>
      <c r="N299">
        <f>'Details PC'!S301</f>
        <v>32.799999999999997</v>
      </c>
      <c r="O299" s="411">
        <f>'Details PC'!J301</f>
        <v>1025200251</v>
      </c>
      <c r="P299" s="242">
        <f>'Details PC'!F301</f>
        <v>45940</v>
      </c>
      <c r="R299">
        <f>'Details PC'!T301</f>
        <v>860999.99999999988</v>
      </c>
    </row>
    <row r="300" spans="1:18" x14ac:dyDescent="0.3">
      <c r="A300">
        <v>0</v>
      </c>
      <c r="B300">
        <f>'Details PC'!B302</f>
        <v>298</v>
      </c>
      <c r="E300" t="str">
        <f>'Details PC'!H302</f>
        <v>Ultra Corpotech Pvt Ltd</v>
      </c>
      <c r="G300" s="242" t="e">
        <f>'Details PC'!#REF!</f>
        <v>#REF!</v>
      </c>
      <c r="L300">
        <f>'Details PC'!R302</f>
        <v>18110</v>
      </c>
      <c r="N300">
        <f>'Details PC'!S302</f>
        <v>32.799999999999997</v>
      </c>
      <c r="O300" s="411">
        <f>'Details PC'!J302</f>
        <v>6252000072</v>
      </c>
      <c r="P300" s="242">
        <f>'Details PC'!F302</f>
        <v>45940</v>
      </c>
      <c r="R300">
        <f>'Details PC'!T302</f>
        <v>594008</v>
      </c>
    </row>
    <row r="301" spans="1:18" x14ac:dyDescent="0.3">
      <c r="A301">
        <v>0</v>
      </c>
      <c r="B301">
        <f>'Details PC'!B303</f>
        <v>299</v>
      </c>
      <c r="E301" t="str">
        <f>'Details PC'!H303</f>
        <v>Ultra Corpotech Pvt Ltd</v>
      </c>
      <c r="G301" s="242" t="e">
        <f>'Details PC'!#REF!</f>
        <v>#REF!</v>
      </c>
      <c r="L301">
        <f>'Details PC'!R303</f>
        <v>22030</v>
      </c>
      <c r="N301">
        <f>'Details PC'!S303</f>
        <v>32.799999999999997</v>
      </c>
      <c r="O301" s="411">
        <f>'Details PC'!J303</f>
        <v>8252001795</v>
      </c>
      <c r="P301" s="242">
        <f>'Details PC'!F303</f>
        <v>45940</v>
      </c>
      <c r="R301">
        <f>'Details PC'!T303</f>
        <v>722583.99999999988</v>
      </c>
    </row>
    <row r="302" spans="1:18" x14ac:dyDescent="0.3">
      <c r="A302">
        <v>0</v>
      </c>
      <c r="B302">
        <f>'Details PC'!B304</f>
        <v>300</v>
      </c>
      <c r="E302" t="str">
        <f>'Details PC'!H304</f>
        <v>Track Components Limited</v>
      </c>
      <c r="G302" s="242" t="e">
        <f>'Details PC'!#REF!</f>
        <v>#REF!</v>
      </c>
      <c r="L302">
        <f>'Details PC'!R304</f>
        <v>9160</v>
      </c>
      <c r="N302">
        <f>'Details PC'!S304</f>
        <v>32.1</v>
      </c>
      <c r="O302" s="411">
        <f>'Details PC'!J304</f>
        <v>122511107152</v>
      </c>
      <c r="P302" s="242">
        <f>'Details PC'!F304</f>
        <v>45941</v>
      </c>
      <c r="R302">
        <f>'Details PC'!T304</f>
        <v>294036</v>
      </c>
    </row>
    <row r="303" spans="1:18" x14ac:dyDescent="0.3">
      <c r="A303">
        <v>0</v>
      </c>
      <c r="B303">
        <f>'Details PC'!B305</f>
        <v>301</v>
      </c>
      <c r="E303" t="str">
        <f>'Details PC'!H305</f>
        <v>Track Components Limited</v>
      </c>
      <c r="G303" s="242" t="e">
        <f>'Details PC'!#REF!</f>
        <v>#REF!</v>
      </c>
      <c r="L303">
        <f>'Details PC'!R305</f>
        <v>9020</v>
      </c>
      <c r="N303">
        <f>'Details PC'!S305</f>
        <v>32.1</v>
      </c>
      <c r="O303" s="411">
        <f>'Details PC'!J305</f>
        <v>122511107096</v>
      </c>
      <c r="P303" s="242">
        <f>'Details PC'!F305</f>
        <v>45941</v>
      </c>
      <c r="R303">
        <f>'Details PC'!T305</f>
        <v>289542</v>
      </c>
    </row>
    <row r="304" spans="1:18" x14ac:dyDescent="0.3">
      <c r="A304">
        <v>0</v>
      </c>
      <c r="B304">
        <f>'Details PC'!B306</f>
        <v>302</v>
      </c>
      <c r="E304" t="str">
        <f>'Details PC'!H306</f>
        <v>Track Components Limited</v>
      </c>
      <c r="G304" s="242" t="e">
        <f>'Details PC'!#REF!</f>
        <v>#REF!</v>
      </c>
      <c r="L304">
        <f>'Details PC'!R306</f>
        <v>8120</v>
      </c>
      <c r="N304">
        <f>'Details PC'!S306</f>
        <v>32.1</v>
      </c>
      <c r="O304" s="411">
        <f>'Details PC'!J306</f>
        <v>122511107205</v>
      </c>
      <c r="P304" s="242">
        <f>'Details PC'!F306</f>
        <v>45941</v>
      </c>
      <c r="R304">
        <f>'Details PC'!T306</f>
        <v>260652</v>
      </c>
    </row>
    <row r="305" spans="1:18" x14ac:dyDescent="0.3">
      <c r="A305">
        <v>0</v>
      </c>
      <c r="B305">
        <f>'Details PC'!B307</f>
        <v>303</v>
      </c>
      <c r="E305" t="str">
        <f>'Details PC'!H307</f>
        <v>Track Components Limited</v>
      </c>
      <c r="G305" s="242" t="e">
        <f>'Details PC'!#REF!</f>
        <v>#REF!</v>
      </c>
      <c r="L305">
        <f>'Details PC'!R307</f>
        <v>9640</v>
      </c>
      <c r="N305">
        <f>'Details PC'!S307</f>
        <v>32.1</v>
      </c>
      <c r="O305" s="411">
        <f>'Details PC'!J307</f>
        <v>122511107160</v>
      </c>
      <c r="P305" s="242">
        <f>'Details PC'!F307</f>
        <v>45941</v>
      </c>
      <c r="R305">
        <f>'Details PC'!T307</f>
        <v>309444</v>
      </c>
    </row>
    <row r="306" spans="1:18" x14ac:dyDescent="0.3">
      <c r="A306">
        <v>0</v>
      </c>
      <c r="B306">
        <f>'Details PC'!B308</f>
        <v>304</v>
      </c>
      <c r="E306" t="str">
        <f>'Details PC'!H308</f>
        <v>Anusaya Auto Press Parts Pvt Ltd</v>
      </c>
      <c r="G306" s="242" t="e">
        <f>'Details PC'!#REF!</f>
        <v>#REF!</v>
      </c>
      <c r="L306">
        <f>'Details PC'!R308</f>
        <v>7240</v>
      </c>
      <c r="N306">
        <f>'Details PC'!S308</f>
        <v>32.299999999999997</v>
      </c>
      <c r="O306" s="411">
        <f>'Details PC'!J308</f>
        <v>2526032649</v>
      </c>
      <c r="P306" s="242">
        <f>'Details PC'!F308</f>
        <v>45941</v>
      </c>
      <c r="R306">
        <f>'Details PC'!T308</f>
        <v>233851.99999999997</v>
      </c>
    </row>
    <row r="307" spans="1:18" x14ac:dyDescent="0.3">
      <c r="A307">
        <v>0</v>
      </c>
      <c r="B307">
        <f>'Details PC'!B309</f>
        <v>305</v>
      </c>
      <c r="E307" t="str">
        <f>'Details PC'!H309</f>
        <v>Ultra Corpotech Pvt Ltd</v>
      </c>
      <c r="G307" s="242" t="e">
        <f>'Details PC'!#REF!</f>
        <v>#REF!</v>
      </c>
      <c r="L307">
        <f>'Details PC'!R309</f>
        <v>20570</v>
      </c>
      <c r="N307">
        <f>'Details PC'!S309</f>
        <v>32.799999999999997</v>
      </c>
      <c r="O307" s="411">
        <f>'Details PC'!J309</f>
        <v>5252001016</v>
      </c>
      <c r="P307" s="242">
        <f>'Details PC'!F309</f>
        <v>45941</v>
      </c>
      <c r="R307">
        <f>'Details PC'!T309</f>
        <v>674695.99999999988</v>
      </c>
    </row>
    <row r="308" spans="1:18" x14ac:dyDescent="0.3">
      <c r="A308">
        <v>0</v>
      </c>
      <c r="B308">
        <f>'Details PC'!B310</f>
        <v>306</v>
      </c>
      <c r="E308" t="str">
        <f>'Details PC'!H310</f>
        <v>Ultra Corpotech Pvt Ltd</v>
      </c>
      <c r="G308" s="242" t="e">
        <f>'Details PC'!#REF!</f>
        <v>#REF!</v>
      </c>
      <c r="L308">
        <f>'Details PC'!R310</f>
        <v>14270</v>
      </c>
      <c r="N308">
        <f>'Details PC'!S310</f>
        <v>32.799999999999997</v>
      </c>
      <c r="O308" s="411">
        <f>'Details PC'!J310</f>
        <v>8252001796</v>
      </c>
      <c r="P308" s="242">
        <f>'Details PC'!F310</f>
        <v>45941</v>
      </c>
      <c r="R308">
        <f>'Details PC'!T310</f>
        <v>468055.99999999994</v>
      </c>
    </row>
    <row r="309" spans="1:18" x14ac:dyDescent="0.3">
      <c r="A309">
        <v>0</v>
      </c>
      <c r="B309">
        <f>'Details PC'!B311</f>
        <v>307</v>
      </c>
      <c r="E309" t="str">
        <f>'Details PC'!H311</f>
        <v>Track Components Limited</v>
      </c>
      <c r="G309" s="242" t="e">
        <f>'Details PC'!#REF!</f>
        <v>#REF!</v>
      </c>
      <c r="L309">
        <f>'Details PC'!R311</f>
        <v>9270</v>
      </c>
      <c r="N309">
        <f>'Details PC'!S311</f>
        <v>32.1</v>
      </c>
      <c r="O309" s="411">
        <f>'Details PC'!J311</f>
        <v>122511107785</v>
      </c>
      <c r="P309" s="242">
        <f>'Details PC'!F311</f>
        <v>45942</v>
      </c>
      <c r="R309">
        <f>'Details PC'!T311</f>
        <v>297567</v>
      </c>
    </row>
    <row r="310" spans="1:18" x14ac:dyDescent="0.3">
      <c r="A310">
        <v>0</v>
      </c>
      <c r="B310">
        <f>'Details PC'!B312</f>
        <v>308</v>
      </c>
      <c r="E310" t="str">
        <f>'Details PC'!H312</f>
        <v>Track Components Limited</v>
      </c>
      <c r="G310" s="242" t="e">
        <f>'Details PC'!#REF!</f>
        <v>#REF!</v>
      </c>
      <c r="L310">
        <f>'Details PC'!R312</f>
        <v>8120</v>
      </c>
      <c r="N310">
        <f>'Details PC'!S312</f>
        <v>32.1</v>
      </c>
      <c r="O310" s="411">
        <f>'Details PC'!J312</f>
        <v>122511107790</v>
      </c>
      <c r="P310" s="242">
        <f>'Details PC'!F312</f>
        <v>45942</v>
      </c>
      <c r="R310">
        <f>'Details PC'!T312</f>
        <v>260652</v>
      </c>
    </row>
    <row r="311" spans="1:18" x14ac:dyDescent="0.3">
      <c r="A311">
        <v>0</v>
      </c>
      <c r="B311">
        <f>'Details PC'!B313</f>
        <v>309</v>
      </c>
      <c r="E311" t="str">
        <f>'Details PC'!H313</f>
        <v>Ultra Corpotech Pvt Ltd</v>
      </c>
      <c r="G311" s="242" t="e">
        <f>'Details PC'!#REF!</f>
        <v>#REF!</v>
      </c>
      <c r="L311">
        <f>'Details PC'!R313</f>
        <v>23710</v>
      </c>
      <c r="N311">
        <f>'Details PC'!S313</f>
        <v>32.799999999999997</v>
      </c>
      <c r="O311" s="411">
        <f>'Details PC'!J313</f>
        <v>8252001803</v>
      </c>
      <c r="P311" s="242">
        <f>'Details PC'!F313</f>
        <v>45942</v>
      </c>
      <c r="R311">
        <f>'Details PC'!T313</f>
        <v>777687.99999999988</v>
      </c>
    </row>
    <row r="312" spans="1:18" x14ac:dyDescent="0.3">
      <c r="A312">
        <v>0</v>
      </c>
      <c r="B312">
        <f>'Details PC'!B314</f>
        <v>310</v>
      </c>
      <c r="E312" t="str">
        <f>'Details PC'!H314</f>
        <v>Track Components Limited</v>
      </c>
      <c r="G312" s="242" t="e">
        <f>'Details PC'!#REF!</f>
        <v>#REF!</v>
      </c>
      <c r="L312">
        <f>'Details PC'!R314</f>
        <v>9740</v>
      </c>
      <c r="N312">
        <f>'Details PC'!S314</f>
        <v>32.1</v>
      </c>
      <c r="O312" s="411">
        <f>'Details PC'!J314</f>
        <v>122511108022</v>
      </c>
      <c r="P312" s="242">
        <f>'Details PC'!F314</f>
        <v>45943</v>
      </c>
      <c r="R312">
        <f>'Details PC'!T314</f>
        <v>312654</v>
      </c>
    </row>
    <row r="313" spans="1:18" x14ac:dyDescent="0.3">
      <c r="A313">
        <v>0</v>
      </c>
      <c r="B313">
        <f>'Details PC'!B315</f>
        <v>311</v>
      </c>
      <c r="E313" t="str">
        <f>'Details PC'!H315</f>
        <v>Track Components Limited</v>
      </c>
      <c r="G313" s="242" t="e">
        <f>'Details PC'!#REF!</f>
        <v>#REF!</v>
      </c>
      <c r="L313">
        <f>'Details PC'!R315</f>
        <v>10890</v>
      </c>
      <c r="N313">
        <f>'Details PC'!S315</f>
        <v>32.1</v>
      </c>
      <c r="O313" s="411">
        <f>'Details PC'!J315</f>
        <v>122511108066</v>
      </c>
      <c r="P313" s="242">
        <f>'Details PC'!F315</f>
        <v>45943</v>
      </c>
      <c r="R313">
        <f>'Details PC'!T315</f>
        <v>349569</v>
      </c>
    </row>
    <row r="314" spans="1:18" x14ac:dyDescent="0.3">
      <c r="A314">
        <v>0</v>
      </c>
      <c r="B314">
        <f>'Details PC'!B316</f>
        <v>312</v>
      </c>
      <c r="E314" t="str">
        <f>'Details PC'!H316</f>
        <v>Track Components Limited</v>
      </c>
      <c r="G314" s="242" t="e">
        <f>'Details PC'!#REF!</f>
        <v>#REF!</v>
      </c>
      <c r="L314">
        <f>'Details PC'!R316</f>
        <v>9390</v>
      </c>
      <c r="N314">
        <f>'Details PC'!S316</f>
        <v>32.1</v>
      </c>
      <c r="O314" s="411">
        <f>'Details PC'!J316</f>
        <v>122511108139</v>
      </c>
      <c r="P314" s="242">
        <f>'Details PC'!F316</f>
        <v>45943</v>
      </c>
      <c r="R314">
        <f>'Details PC'!T316</f>
        <v>301419</v>
      </c>
    </row>
    <row r="315" spans="1:18" x14ac:dyDescent="0.3">
      <c r="A315">
        <v>0</v>
      </c>
      <c r="B315">
        <f>'Details PC'!B317</f>
        <v>313</v>
      </c>
      <c r="E315" t="str">
        <f>'Details PC'!H317</f>
        <v>Ultra Corpotech Pvt Ltd</v>
      </c>
      <c r="G315" s="242" t="e">
        <f>'Details PC'!#REF!</f>
        <v>#REF!</v>
      </c>
      <c r="L315">
        <f>'Details PC'!R317</f>
        <v>10620</v>
      </c>
      <c r="N315">
        <f>'Details PC'!S317</f>
        <v>32.799999999999997</v>
      </c>
      <c r="O315" s="411">
        <f>'Details PC'!J317</f>
        <v>8252001804</v>
      </c>
      <c r="P315" s="242">
        <f>'Details PC'!F317</f>
        <v>45943</v>
      </c>
      <c r="R315">
        <f>'Details PC'!T317</f>
        <v>348335.99999999994</v>
      </c>
    </row>
    <row r="316" spans="1:18" x14ac:dyDescent="0.3">
      <c r="A316">
        <v>0</v>
      </c>
      <c r="B316">
        <f>'Details PC'!B318</f>
        <v>314</v>
      </c>
      <c r="E316" t="str">
        <f>'Details PC'!H318</f>
        <v>Track Components Limited</v>
      </c>
      <c r="G316" s="242" t="e">
        <f>'Details PC'!#REF!</f>
        <v>#REF!</v>
      </c>
      <c r="L316">
        <f>'Details PC'!R318</f>
        <v>9700</v>
      </c>
      <c r="N316">
        <f>'Details PC'!S318</f>
        <v>32.1</v>
      </c>
      <c r="O316" s="411">
        <f>'Details PC'!J318</f>
        <v>122511108852</v>
      </c>
      <c r="P316" s="242">
        <f>'Details PC'!F318</f>
        <v>45944</v>
      </c>
      <c r="R316">
        <f>'Details PC'!T318</f>
        <v>311370</v>
      </c>
    </row>
    <row r="317" spans="1:18" x14ac:dyDescent="0.3">
      <c r="A317">
        <v>0</v>
      </c>
      <c r="B317">
        <f>'Details PC'!B319</f>
        <v>315</v>
      </c>
      <c r="E317" t="str">
        <f>'Details PC'!H319</f>
        <v>Track Components Limited</v>
      </c>
      <c r="G317" s="242" t="e">
        <f>'Details PC'!#REF!</f>
        <v>#REF!</v>
      </c>
      <c r="L317">
        <f>'Details PC'!R319</f>
        <v>7450</v>
      </c>
      <c r="N317">
        <f>'Details PC'!S319</f>
        <v>32.1</v>
      </c>
      <c r="O317" s="411">
        <f>'Details PC'!J319</f>
        <v>122511108817</v>
      </c>
      <c r="P317" s="242">
        <f>'Details PC'!F319</f>
        <v>45944</v>
      </c>
      <c r="R317">
        <f>'Details PC'!T319</f>
        <v>239145</v>
      </c>
    </row>
    <row r="318" spans="1:18" x14ac:dyDescent="0.3">
      <c r="A318">
        <v>0</v>
      </c>
      <c r="B318">
        <f>'Details PC'!B320</f>
        <v>316</v>
      </c>
      <c r="E318" t="str">
        <f>'Details PC'!H320</f>
        <v>Track Components Limited</v>
      </c>
      <c r="G318" s="242" t="e">
        <f>'Details PC'!#REF!</f>
        <v>#REF!</v>
      </c>
      <c r="L318">
        <f>'Details PC'!R320</f>
        <v>3810</v>
      </c>
      <c r="N318">
        <f>'Details PC'!S320</f>
        <v>32.1</v>
      </c>
      <c r="O318" s="411">
        <f>'Details PC'!J320</f>
        <v>122511108815</v>
      </c>
      <c r="P318" s="242">
        <f>'Details PC'!F320</f>
        <v>45944</v>
      </c>
      <c r="R318">
        <f>'Details PC'!T320</f>
        <v>122301</v>
      </c>
    </row>
    <row r="319" spans="1:18" x14ac:dyDescent="0.3">
      <c r="A319">
        <v>0</v>
      </c>
      <c r="B319">
        <f>'Details PC'!B321</f>
        <v>317</v>
      </c>
      <c r="E319" t="str">
        <f>'Details PC'!H321</f>
        <v>Track Components Limited</v>
      </c>
      <c r="G319" s="242" t="e">
        <f>'Details PC'!#REF!</f>
        <v>#REF!</v>
      </c>
      <c r="L319">
        <f>'Details PC'!R321</f>
        <v>7850</v>
      </c>
      <c r="N319">
        <f>'Details PC'!S321</f>
        <v>32.1</v>
      </c>
      <c r="O319" s="411">
        <f>'Details PC'!J321</f>
        <v>122511108787</v>
      </c>
      <c r="P319" s="242">
        <f>'Details PC'!F321</f>
        <v>45944</v>
      </c>
      <c r="R319">
        <f>'Details PC'!T321</f>
        <v>251985</v>
      </c>
    </row>
    <row r="320" spans="1:18" x14ac:dyDescent="0.3">
      <c r="A320">
        <v>0</v>
      </c>
      <c r="B320">
        <f>'Details PC'!B322</f>
        <v>318</v>
      </c>
      <c r="E320" t="str">
        <f>'Details PC'!H322</f>
        <v>Track Components Limited</v>
      </c>
      <c r="G320" s="242" t="e">
        <f>'Details PC'!#REF!</f>
        <v>#REF!</v>
      </c>
      <c r="L320">
        <f>'Details PC'!R322</f>
        <v>6850</v>
      </c>
      <c r="N320">
        <f>'Details PC'!S322</f>
        <v>32.1</v>
      </c>
      <c r="O320" s="411">
        <f>'Details PC'!J322</f>
        <v>122511108786</v>
      </c>
      <c r="P320" s="242">
        <f>'Details PC'!F322</f>
        <v>45944</v>
      </c>
      <c r="R320">
        <f>'Details PC'!T322</f>
        <v>219885</v>
      </c>
    </row>
    <row r="321" spans="1:18" x14ac:dyDescent="0.3">
      <c r="A321">
        <v>0</v>
      </c>
      <c r="B321">
        <f>'Details PC'!B323</f>
        <v>319</v>
      </c>
      <c r="E321" t="str">
        <f>'Details PC'!H323</f>
        <v>Ultra Corpotech Pvt Ltd</v>
      </c>
      <c r="G321" s="242" t="e">
        <f>'Details PC'!#REF!</f>
        <v>#REF!</v>
      </c>
      <c r="L321">
        <f>'Details PC'!R323</f>
        <v>17890</v>
      </c>
      <c r="N321">
        <f>'Details PC'!S323</f>
        <v>32.799999999999997</v>
      </c>
      <c r="O321" s="411">
        <f>'Details PC'!J323</f>
        <v>6252000076</v>
      </c>
      <c r="P321" s="242">
        <f>'Details PC'!F323</f>
        <v>45944</v>
      </c>
      <c r="R321">
        <f>'Details PC'!T323</f>
        <v>586792</v>
      </c>
    </row>
    <row r="322" spans="1:18" x14ac:dyDescent="0.3">
      <c r="A322">
        <v>0</v>
      </c>
      <c r="B322">
        <f>'Details PC'!B324</f>
        <v>320</v>
      </c>
      <c r="E322" t="str">
        <f>'Details PC'!H324</f>
        <v>Track Components Limited</v>
      </c>
      <c r="G322" s="242" t="e">
        <f>'Details PC'!#REF!</f>
        <v>#REF!</v>
      </c>
      <c r="L322">
        <f>'Details PC'!R324</f>
        <v>6330</v>
      </c>
      <c r="N322">
        <f>'Details PC'!S324</f>
        <v>32.1</v>
      </c>
      <c r="O322" s="411">
        <f>'Details PC'!J324</f>
        <v>122511109541</v>
      </c>
      <c r="P322" s="242">
        <f>'Details PC'!F324</f>
        <v>45945</v>
      </c>
      <c r="R322">
        <f>'Details PC'!T324</f>
        <v>203193</v>
      </c>
    </row>
    <row r="323" spans="1:18" x14ac:dyDescent="0.3">
      <c r="A323">
        <v>0</v>
      </c>
      <c r="B323">
        <f>'Details PC'!B325</f>
        <v>321</v>
      </c>
      <c r="E323" t="str">
        <f>'Details PC'!H325</f>
        <v>Track Components Limited</v>
      </c>
      <c r="G323" s="242" t="e">
        <f>'Details PC'!#REF!</f>
        <v>#REF!</v>
      </c>
      <c r="L323">
        <f>'Details PC'!R325</f>
        <v>6610</v>
      </c>
      <c r="N323">
        <f>'Details PC'!S325</f>
        <v>32.1</v>
      </c>
      <c r="O323" s="411">
        <f>'Details PC'!J325</f>
        <v>122511109619</v>
      </c>
      <c r="P323" s="242">
        <f>'Details PC'!F325</f>
        <v>45945</v>
      </c>
      <c r="R323">
        <f>'Details PC'!T325</f>
        <v>212181</v>
      </c>
    </row>
    <row r="324" spans="1:18" x14ac:dyDescent="0.3">
      <c r="A324">
        <v>0</v>
      </c>
      <c r="B324">
        <f>'Details PC'!B326</f>
        <v>322</v>
      </c>
      <c r="E324" t="str">
        <f>'Details PC'!H326</f>
        <v>Track Components Limited</v>
      </c>
      <c r="G324" s="242" t="e">
        <f>'Details PC'!#REF!</f>
        <v>#REF!</v>
      </c>
      <c r="L324">
        <f>'Details PC'!R326</f>
        <v>5930</v>
      </c>
      <c r="N324">
        <f>'Details PC'!S326</f>
        <v>32.1</v>
      </c>
      <c r="O324" s="411">
        <f>'Details PC'!J326</f>
        <v>122511109518</v>
      </c>
      <c r="P324" s="242">
        <f>'Details PC'!F326</f>
        <v>45945</v>
      </c>
      <c r="R324">
        <f>'Details PC'!T326</f>
        <v>190353</v>
      </c>
    </row>
    <row r="325" spans="1:18" x14ac:dyDescent="0.3">
      <c r="A325">
        <v>0</v>
      </c>
      <c r="B325">
        <f>'Details PC'!B327</f>
        <v>323</v>
      </c>
      <c r="E325" t="str">
        <f>'Details PC'!H327</f>
        <v>Track Components Limited</v>
      </c>
      <c r="G325" s="242" t="e">
        <f>'Details PC'!#REF!</f>
        <v>#REF!</v>
      </c>
      <c r="L325">
        <f>'Details PC'!R327</f>
        <v>7670</v>
      </c>
      <c r="N325">
        <f>'Details PC'!S327</f>
        <v>32.1</v>
      </c>
      <c r="O325" s="411">
        <f>'Details PC'!J327</f>
        <v>122511109585</v>
      </c>
      <c r="P325" s="242">
        <f>'Details PC'!F327</f>
        <v>45945</v>
      </c>
      <c r="R325">
        <f>'Details PC'!T327</f>
        <v>246207</v>
      </c>
    </row>
    <row r="326" spans="1:18" x14ac:dyDescent="0.3">
      <c r="A326">
        <v>0</v>
      </c>
      <c r="B326">
        <f>'Details PC'!B328</f>
        <v>324</v>
      </c>
      <c r="E326" t="str">
        <f>'Details PC'!H328</f>
        <v>Track Components Limited</v>
      </c>
      <c r="G326" s="242" t="e">
        <f>'Details PC'!#REF!</f>
        <v>#REF!</v>
      </c>
      <c r="L326">
        <f>'Details PC'!R328</f>
        <v>6730</v>
      </c>
      <c r="N326">
        <f>'Details PC'!S328</f>
        <v>32.1</v>
      </c>
      <c r="O326" s="411">
        <f>'Details PC'!J328</f>
        <v>122511109501</v>
      </c>
      <c r="P326" s="242">
        <f>'Details PC'!F328</f>
        <v>45945</v>
      </c>
      <c r="R326">
        <f>'Details PC'!T328</f>
        <v>216033</v>
      </c>
    </row>
    <row r="327" spans="1:18" x14ac:dyDescent="0.3">
      <c r="A327">
        <v>0</v>
      </c>
      <c r="B327">
        <f>'Details PC'!B329</f>
        <v>325</v>
      </c>
      <c r="E327" t="str">
        <f>'Details PC'!H329</f>
        <v>Yash Enterprises</v>
      </c>
      <c r="G327" s="242" t="e">
        <f>'Details PC'!#REF!</f>
        <v>#REF!</v>
      </c>
      <c r="L327">
        <f>'Details PC'!R329</f>
        <v>3440</v>
      </c>
      <c r="N327">
        <f>'Details PC'!S329</f>
        <v>32.5</v>
      </c>
      <c r="O327" s="411" t="str">
        <f>'Details PC'!J329</f>
        <v>GST/25-26/211</v>
      </c>
      <c r="P327" s="242">
        <f>'Details PC'!F329</f>
        <v>45945</v>
      </c>
      <c r="R327">
        <f>'Details PC'!T329</f>
        <v>111800</v>
      </c>
    </row>
    <row r="328" spans="1:18" x14ac:dyDescent="0.3">
      <c r="A328">
        <v>0</v>
      </c>
      <c r="B328">
        <f>'Details PC'!B330</f>
        <v>326</v>
      </c>
      <c r="E328" t="str">
        <f>'Details PC'!H330</f>
        <v>Ultra Corpotech Pvt Ltd</v>
      </c>
      <c r="G328" s="242" t="e">
        <f>'Details PC'!#REF!</f>
        <v>#REF!</v>
      </c>
      <c r="L328">
        <f>'Details PC'!R330</f>
        <v>9020</v>
      </c>
      <c r="N328">
        <f>'Details PC'!S330</f>
        <v>32.799999999999997</v>
      </c>
      <c r="O328" s="411">
        <f>'Details PC'!J330</f>
        <v>4252002841</v>
      </c>
      <c r="P328" s="242">
        <f>'Details PC'!F330</f>
        <v>45945</v>
      </c>
      <c r="R328">
        <f>'Details PC'!T330</f>
        <v>295856</v>
      </c>
    </row>
    <row r="329" spans="1:18" x14ac:dyDescent="0.3">
      <c r="A329">
        <v>0</v>
      </c>
      <c r="B329">
        <f>'Details PC'!B331</f>
        <v>327</v>
      </c>
      <c r="E329" t="str">
        <f>'Details PC'!H331</f>
        <v>Ultra Corpotech Pvt Ltd</v>
      </c>
      <c r="G329" s="242" t="e">
        <f>'Details PC'!#REF!</f>
        <v>#REF!</v>
      </c>
      <c r="L329">
        <f>'Details PC'!R331</f>
        <v>32630</v>
      </c>
      <c r="N329">
        <f>'Details PC'!S331</f>
        <v>32.799999999999997</v>
      </c>
      <c r="O329" s="411">
        <f>'Details PC'!J331</f>
        <v>8252001834</v>
      </c>
      <c r="P329" s="242">
        <f>'Details PC'!F331</f>
        <v>45945</v>
      </c>
      <c r="R329">
        <f>'Details PC'!T331</f>
        <v>1070264</v>
      </c>
    </row>
    <row r="330" spans="1:18" x14ac:dyDescent="0.3">
      <c r="A330">
        <v>0</v>
      </c>
      <c r="B330">
        <f>'Details PC'!B332</f>
        <v>328</v>
      </c>
      <c r="E330" t="str">
        <f>'Details PC'!H332</f>
        <v>Track Components Limited</v>
      </c>
      <c r="G330" s="242" t="e">
        <f>'Details PC'!#REF!</f>
        <v>#REF!</v>
      </c>
      <c r="L330">
        <f>'Details PC'!R332</f>
        <v>10250</v>
      </c>
      <c r="N330">
        <f>'Details PC'!S332</f>
        <v>32.1</v>
      </c>
      <c r="O330" s="411">
        <f>'Details PC'!J332</f>
        <v>122511110369</v>
      </c>
      <c r="P330" s="242">
        <f>'Details PC'!F332</f>
        <v>45946</v>
      </c>
      <c r="R330">
        <f>'Details PC'!T332</f>
        <v>329025</v>
      </c>
    </row>
    <row r="331" spans="1:18" x14ac:dyDescent="0.3">
      <c r="A331">
        <v>0</v>
      </c>
      <c r="B331">
        <f>'Details PC'!B333</f>
        <v>329</v>
      </c>
      <c r="E331" t="str">
        <f>'Details PC'!H333</f>
        <v>Track Components Limited</v>
      </c>
      <c r="G331" s="242" t="e">
        <f>'Details PC'!#REF!</f>
        <v>#REF!</v>
      </c>
      <c r="L331">
        <f>'Details PC'!R333</f>
        <v>6230</v>
      </c>
      <c r="N331">
        <f>'Details PC'!S333</f>
        <v>32.1</v>
      </c>
      <c r="O331" s="411">
        <f>'Details PC'!J333</f>
        <v>122511110368</v>
      </c>
      <c r="P331" s="242">
        <f>'Details PC'!F333</f>
        <v>45946</v>
      </c>
      <c r="R331">
        <f>'Details PC'!T333</f>
        <v>199983</v>
      </c>
    </row>
    <row r="332" spans="1:18" x14ac:dyDescent="0.3">
      <c r="A332">
        <v>0</v>
      </c>
      <c r="B332">
        <f>'Details PC'!B334</f>
        <v>330</v>
      </c>
      <c r="E332" t="str">
        <f>'Details PC'!H334</f>
        <v>Track Components Limited</v>
      </c>
      <c r="G332" s="242" t="e">
        <f>'Details PC'!#REF!</f>
        <v>#REF!</v>
      </c>
      <c r="L332">
        <f>'Details PC'!R334</f>
        <v>9940</v>
      </c>
      <c r="N332">
        <f>'Details PC'!S334</f>
        <v>32.1</v>
      </c>
      <c r="O332" s="411">
        <f>'Details PC'!J334</f>
        <v>122511110263</v>
      </c>
      <c r="P332" s="242">
        <f>'Details PC'!F334</f>
        <v>45946</v>
      </c>
      <c r="R332">
        <f>'Details PC'!T334</f>
        <v>319074</v>
      </c>
    </row>
    <row r="333" spans="1:18" x14ac:dyDescent="0.3">
      <c r="A333">
        <v>0</v>
      </c>
      <c r="B333">
        <f>'Details PC'!B335</f>
        <v>331</v>
      </c>
      <c r="E333" t="str">
        <f>'Details PC'!H335</f>
        <v>Track Components Limited</v>
      </c>
      <c r="G333" s="242" t="e">
        <f>'Details PC'!#REF!</f>
        <v>#REF!</v>
      </c>
      <c r="L333">
        <f>'Details PC'!R335</f>
        <v>7220</v>
      </c>
      <c r="N333">
        <f>'Details PC'!S335</f>
        <v>32.1</v>
      </c>
      <c r="O333" s="411">
        <f>'Details PC'!J335</f>
        <v>122511110973</v>
      </c>
      <c r="P333" s="242">
        <f>'Details PC'!F335</f>
        <v>45947</v>
      </c>
      <c r="R333">
        <f>'Details PC'!T335</f>
        <v>231762</v>
      </c>
    </row>
    <row r="334" spans="1:18" x14ac:dyDescent="0.3">
      <c r="A334">
        <v>0</v>
      </c>
      <c r="B334">
        <f>'Details PC'!B336</f>
        <v>332</v>
      </c>
      <c r="E334" t="str">
        <f>'Details PC'!H336</f>
        <v>Track Components Limited</v>
      </c>
      <c r="G334" s="242" t="e">
        <f>'Details PC'!#REF!</f>
        <v>#REF!</v>
      </c>
      <c r="L334">
        <f>'Details PC'!R336</f>
        <v>10840</v>
      </c>
      <c r="N334">
        <f>'Details PC'!S336</f>
        <v>32.1</v>
      </c>
      <c r="O334" s="411">
        <f>'Details PC'!J336</f>
        <v>122511110954</v>
      </c>
      <c r="P334" s="242">
        <f>'Details PC'!F336</f>
        <v>45947</v>
      </c>
      <c r="R334">
        <f>'Details PC'!T336</f>
        <v>347964</v>
      </c>
    </row>
    <row r="335" spans="1:18" x14ac:dyDescent="0.3">
      <c r="A335">
        <v>0</v>
      </c>
      <c r="B335">
        <f>'Details PC'!B337</f>
        <v>333</v>
      </c>
      <c r="E335" t="str">
        <f>'Details PC'!H337</f>
        <v>Ultra Corpotech Pvt Ltd</v>
      </c>
      <c r="G335" s="242" t="e">
        <f>'Details PC'!#REF!</f>
        <v>#REF!</v>
      </c>
      <c r="L335">
        <f>'Details PC'!R337</f>
        <v>26500</v>
      </c>
      <c r="N335">
        <f>'Details PC'!S337</f>
        <v>32.799999999999997</v>
      </c>
      <c r="O335" s="411">
        <f>'Details PC'!J337</f>
        <v>4252002859</v>
      </c>
      <c r="P335" s="242">
        <f>'Details PC'!F337</f>
        <v>45947</v>
      </c>
      <c r="R335">
        <f>'Details PC'!T337</f>
        <v>869199.99999999988</v>
      </c>
    </row>
    <row r="336" spans="1:18" x14ac:dyDescent="0.3">
      <c r="A336">
        <v>0</v>
      </c>
      <c r="B336">
        <f>'Details PC'!B338</f>
        <v>334</v>
      </c>
      <c r="E336" t="str">
        <f>'Details PC'!H338</f>
        <v>Ultra Corpotech Pvt Ltd</v>
      </c>
      <c r="G336" s="242" t="e">
        <f>'Details PC'!#REF!</f>
        <v>#REF!</v>
      </c>
      <c r="L336">
        <f>'Details PC'!R338</f>
        <v>20330</v>
      </c>
      <c r="N336">
        <f>'Details PC'!S338</f>
        <v>32.799999999999997</v>
      </c>
      <c r="O336" s="411">
        <f>'Details PC'!J338</f>
        <v>8252001869</v>
      </c>
      <c r="P336" s="242">
        <f>'Details PC'!F338</f>
        <v>45947</v>
      </c>
      <c r="R336">
        <f>'Details PC'!T338</f>
        <v>666824</v>
      </c>
    </row>
    <row r="337" spans="1:18" x14ac:dyDescent="0.3">
      <c r="A337">
        <v>0</v>
      </c>
      <c r="B337">
        <f>'Details PC'!B339</f>
        <v>335</v>
      </c>
      <c r="E337" t="str">
        <f>'Details PC'!H339</f>
        <v>Track Components Limited</v>
      </c>
      <c r="G337" s="242" t="e">
        <f>'Details PC'!#REF!</f>
        <v>#REF!</v>
      </c>
      <c r="L337">
        <f>'Details PC'!R339</f>
        <v>6680</v>
      </c>
      <c r="N337">
        <f>'Details PC'!S339</f>
        <v>32.1</v>
      </c>
      <c r="O337" s="411">
        <f>'Details PC'!J339</f>
        <v>122511111776</v>
      </c>
      <c r="P337" s="242">
        <f>'Details PC'!F339</f>
        <v>45948</v>
      </c>
      <c r="R337">
        <f>'Details PC'!T339</f>
        <v>214428</v>
      </c>
    </row>
    <row r="338" spans="1:18" x14ac:dyDescent="0.3">
      <c r="A338">
        <v>0</v>
      </c>
      <c r="B338">
        <f>'Details PC'!B340</f>
        <v>336</v>
      </c>
      <c r="E338" t="str">
        <f>'Details PC'!H340</f>
        <v>Track Components Limited</v>
      </c>
      <c r="G338" s="242" t="e">
        <f>'Details PC'!#REF!</f>
        <v>#REF!</v>
      </c>
      <c r="L338">
        <f>'Details PC'!R340</f>
        <v>8820</v>
      </c>
      <c r="N338">
        <f>'Details PC'!S340</f>
        <v>32.1</v>
      </c>
      <c r="O338" s="411">
        <f>'Details PC'!J340</f>
        <v>122511111790</v>
      </c>
      <c r="P338" s="242">
        <f>'Details PC'!F340</f>
        <v>45948</v>
      </c>
      <c r="R338">
        <f>'Details PC'!T340</f>
        <v>283122</v>
      </c>
    </row>
    <row r="339" spans="1:18" x14ac:dyDescent="0.3">
      <c r="A339">
        <v>0</v>
      </c>
      <c r="B339">
        <f>'Details PC'!B341</f>
        <v>337</v>
      </c>
      <c r="E339" t="str">
        <f>'Details PC'!H341</f>
        <v>Track Components Limited</v>
      </c>
      <c r="G339" s="242" t="e">
        <f>'Details PC'!#REF!</f>
        <v>#REF!</v>
      </c>
      <c r="L339">
        <f>'Details PC'!R341</f>
        <v>10210</v>
      </c>
      <c r="N339">
        <f>'Details PC'!S341</f>
        <v>32.1</v>
      </c>
      <c r="O339" s="411">
        <f>'Details PC'!J341</f>
        <v>122511111726</v>
      </c>
      <c r="P339" s="242">
        <f>'Details PC'!F341</f>
        <v>45948</v>
      </c>
      <c r="R339">
        <f>'Details PC'!T341</f>
        <v>327741</v>
      </c>
    </row>
    <row r="340" spans="1:18" x14ac:dyDescent="0.3">
      <c r="A340">
        <v>0</v>
      </c>
      <c r="B340">
        <f>'Details PC'!B342</f>
        <v>338</v>
      </c>
      <c r="E340" t="str">
        <f>'Details PC'!H342</f>
        <v>Yash Enterprises</v>
      </c>
      <c r="G340" s="242" t="e">
        <f>'Details PC'!#REF!</f>
        <v>#REF!</v>
      </c>
      <c r="L340">
        <f>'Details PC'!R342</f>
        <v>7770</v>
      </c>
      <c r="N340">
        <f>'Details PC'!S342</f>
        <v>32.5</v>
      </c>
      <c r="O340" s="411" t="str">
        <f>'Details PC'!J342</f>
        <v>GST/25-26/215</v>
      </c>
      <c r="P340" s="242">
        <f>'Details PC'!F342</f>
        <v>45948</v>
      </c>
      <c r="R340">
        <f>'Details PC'!T342</f>
        <v>252525</v>
      </c>
    </row>
    <row r="341" spans="1:18" x14ac:dyDescent="0.3">
      <c r="A341">
        <v>0</v>
      </c>
      <c r="B341">
        <f>'Details PC'!B343</f>
        <v>339</v>
      </c>
      <c r="E341" t="str">
        <f>'Details PC'!H343</f>
        <v>Ultra Corpotech Pvt Ltd</v>
      </c>
      <c r="G341" s="242" t="e">
        <f>'Details PC'!#REF!</f>
        <v>#REF!</v>
      </c>
      <c r="L341">
        <f>'Details PC'!R343</f>
        <v>17940</v>
      </c>
      <c r="N341">
        <f>'Details PC'!S343</f>
        <v>32.799999999999997</v>
      </c>
      <c r="O341" s="411">
        <f>'Details PC'!J343</f>
        <v>8252001874</v>
      </c>
      <c r="P341" s="242">
        <f>'Details PC'!F343</f>
        <v>45948</v>
      </c>
      <c r="R341">
        <f>'Details PC'!T343</f>
        <v>588432</v>
      </c>
    </row>
    <row r="342" spans="1:18" x14ac:dyDescent="0.3">
      <c r="A342">
        <v>0</v>
      </c>
      <c r="B342">
        <f>'Details PC'!B344</f>
        <v>340</v>
      </c>
      <c r="E342" t="str">
        <f>'Details PC'!H344</f>
        <v>Track Components Limited</v>
      </c>
      <c r="G342" s="242" t="e">
        <f>'Details PC'!#REF!</f>
        <v>#REF!</v>
      </c>
      <c r="L342">
        <f>'Details PC'!R344</f>
        <v>9040</v>
      </c>
      <c r="N342">
        <f>'Details PC'!S344</f>
        <v>32.1</v>
      </c>
      <c r="O342" s="411">
        <f>'Details PC'!J344</f>
        <v>122511112399</v>
      </c>
      <c r="P342" s="242">
        <f>'Details PC'!F344</f>
        <v>45949</v>
      </c>
      <c r="R342">
        <f>'Details PC'!T344</f>
        <v>290184</v>
      </c>
    </row>
    <row r="343" spans="1:18" x14ac:dyDescent="0.3">
      <c r="A343">
        <v>0</v>
      </c>
      <c r="B343">
        <f>'Details PC'!B345</f>
        <v>341</v>
      </c>
      <c r="E343" t="str">
        <f>'Details PC'!H345</f>
        <v>Track Components Limited</v>
      </c>
      <c r="G343" s="242" t="e">
        <f>'Details PC'!#REF!</f>
        <v>#REF!</v>
      </c>
      <c r="L343">
        <f>'Details PC'!R345</f>
        <v>8080</v>
      </c>
      <c r="N343">
        <f>'Details PC'!S345</f>
        <v>32.1</v>
      </c>
      <c r="O343" s="411">
        <f>'Details PC'!J345</f>
        <v>122511112418</v>
      </c>
      <c r="P343" s="242">
        <f>'Details PC'!F345</f>
        <v>45949</v>
      </c>
      <c r="R343">
        <f>'Details PC'!T345</f>
        <v>259368</v>
      </c>
    </row>
    <row r="344" spans="1:18" x14ac:dyDescent="0.3">
      <c r="A344">
        <v>0</v>
      </c>
      <c r="B344">
        <f>'Details PC'!B346</f>
        <v>342</v>
      </c>
      <c r="E344" t="str">
        <f>'Details PC'!H346</f>
        <v>Ultra Corpotech Pvt Ltd</v>
      </c>
      <c r="G344" s="242" t="e">
        <f>'Details PC'!#REF!</f>
        <v>#REF!</v>
      </c>
      <c r="L344">
        <f>'Details PC'!R346</f>
        <v>19610</v>
      </c>
      <c r="N344">
        <f>'Details PC'!S346</f>
        <v>32.799999999999997</v>
      </c>
      <c r="O344" s="411">
        <f>'Details PC'!J346</f>
        <v>8252001892</v>
      </c>
      <c r="P344" s="242">
        <f>'Details PC'!F346</f>
        <v>45949</v>
      </c>
      <c r="R344">
        <f>'Details PC'!T346</f>
        <v>643208</v>
      </c>
    </row>
    <row r="345" spans="1:18" x14ac:dyDescent="0.3">
      <c r="A345">
        <v>0</v>
      </c>
      <c r="B345">
        <f>'Details PC'!B347</f>
        <v>343</v>
      </c>
      <c r="E345" t="str">
        <f>'Details PC'!H347</f>
        <v>Ultra Corpotech Pvt Ltd</v>
      </c>
      <c r="G345" s="242" t="e">
        <f>'Details PC'!#REF!</f>
        <v>#REF!</v>
      </c>
      <c r="L345">
        <f>'Details PC'!R347</f>
        <v>16880</v>
      </c>
      <c r="N345">
        <f>'Details PC'!S347</f>
        <v>32.799999999999997</v>
      </c>
      <c r="O345" s="411">
        <f>'Details PC'!J347</f>
        <v>5252001057</v>
      </c>
      <c r="P345" s="242">
        <f>'Details PC'!F347</f>
        <v>45949</v>
      </c>
      <c r="R345">
        <f>'Details PC'!T347</f>
        <v>553664</v>
      </c>
    </row>
    <row r="346" spans="1:18" x14ac:dyDescent="0.3">
      <c r="A346">
        <v>0</v>
      </c>
      <c r="B346">
        <f>'Details PC'!B348</f>
        <v>344</v>
      </c>
      <c r="E346" t="str">
        <f>'Details PC'!H348</f>
        <v>Track Components Limited</v>
      </c>
      <c r="G346" s="242" t="e">
        <f>'Details PC'!#REF!</f>
        <v>#REF!</v>
      </c>
      <c r="L346">
        <f>'Details PC'!R348</f>
        <v>7390</v>
      </c>
      <c r="N346">
        <f>'Details PC'!S348</f>
        <v>32.1</v>
      </c>
      <c r="O346" s="411">
        <f>'Details PC'!J348</f>
        <v>122511113592</v>
      </c>
      <c r="P346" s="242">
        <f>'Details PC'!F348</f>
        <v>45954</v>
      </c>
      <c r="R346">
        <f>'Details PC'!T348</f>
        <v>237219</v>
      </c>
    </row>
    <row r="347" spans="1:18" x14ac:dyDescent="0.3">
      <c r="A347">
        <v>0</v>
      </c>
      <c r="B347">
        <f>'Details PC'!B349</f>
        <v>345</v>
      </c>
      <c r="E347" t="str">
        <f>'Details PC'!H349</f>
        <v>Track Components Limited</v>
      </c>
      <c r="G347" s="242" t="e">
        <f>'Details PC'!#REF!</f>
        <v>#REF!</v>
      </c>
      <c r="L347">
        <f>'Details PC'!R349</f>
        <v>8890</v>
      </c>
      <c r="N347">
        <f>'Details PC'!S349</f>
        <v>32.1</v>
      </c>
      <c r="O347" s="411">
        <f>'Details PC'!J349</f>
        <v>122511113593</v>
      </c>
      <c r="P347" s="242">
        <f>'Details PC'!F349</f>
        <v>45954</v>
      </c>
      <c r="R347">
        <f>'Details PC'!T349</f>
        <v>285369</v>
      </c>
    </row>
    <row r="348" spans="1:18" x14ac:dyDescent="0.3">
      <c r="A348">
        <v>0</v>
      </c>
      <c r="B348">
        <f>'Details PC'!B350</f>
        <v>346</v>
      </c>
      <c r="E348" t="str">
        <f>'Details PC'!H350</f>
        <v>Track Components Limited</v>
      </c>
      <c r="G348" s="242" t="e">
        <f>'Details PC'!#REF!</f>
        <v>#REF!</v>
      </c>
      <c r="L348">
        <f>'Details PC'!R350</f>
        <v>8090</v>
      </c>
      <c r="N348">
        <f>'Details PC'!S350</f>
        <v>32.1</v>
      </c>
      <c r="O348" s="411">
        <f>'Details PC'!J350</f>
        <v>122511113611</v>
      </c>
      <c r="P348" s="242">
        <f>'Details PC'!F350</f>
        <v>45954</v>
      </c>
      <c r="R348">
        <f>'Details PC'!T350</f>
        <v>259689</v>
      </c>
    </row>
    <row r="349" spans="1:18" x14ac:dyDescent="0.3">
      <c r="A349">
        <v>0</v>
      </c>
      <c r="B349">
        <f>'Details PC'!B351</f>
        <v>347</v>
      </c>
      <c r="E349" t="str">
        <f>'Details PC'!H351</f>
        <v>Track Components Limited</v>
      </c>
      <c r="G349" s="242" t="e">
        <f>'Details PC'!#REF!</f>
        <v>#REF!</v>
      </c>
      <c r="L349">
        <f>'Details PC'!R351</f>
        <v>8380</v>
      </c>
      <c r="N349">
        <f>'Details PC'!S351</f>
        <v>32.1</v>
      </c>
      <c r="O349" s="411">
        <f>'Details PC'!J351</f>
        <v>122511113610</v>
      </c>
      <c r="P349" s="242">
        <f>'Details PC'!F351</f>
        <v>45954</v>
      </c>
      <c r="R349">
        <f>'Details PC'!T351</f>
        <v>268998</v>
      </c>
    </row>
    <row r="350" spans="1:18" x14ac:dyDescent="0.3">
      <c r="A350">
        <v>0</v>
      </c>
      <c r="B350">
        <f>'Details PC'!B352</f>
        <v>348</v>
      </c>
      <c r="E350" t="str">
        <f>'Details PC'!H352</f>
        <v>Track Components Limited</v>
      </c>
      <c r="G350" s="242" t="e">
        <f>'Details PC'!#REF!</f>
        <v>#REF!</v>
      </c>
      <c r="L350">
        <f>'Details PC'!R352</f>
        <v>10940</v>
      </c>
      <c r="N350">
        <f>'Details PC'!S352</f>
        <v>32.1</v>
      </c>
      <c r="O350" s="411">
        <f>'Details PC'!J352</f>
        <v>122511113845</v>
      </c>
      <c r="P350" s="242">
        <f>'Details PC'!F352</f>
        <v>45955</v>
      </c>
      <c r="R350">
        <f>'Details PC'!T352</f>
        <v>351174</v>
      </c>
    </row>
    <row r="351" spans="1:18" x14ac:dyDescent="0.3">
      <c r="A351">
        <v>0</v>
      </c>
      <c r="B351">
        <f>'Details PC'!B353</f>
        <v>349</v>
      </c>
      <c r="E351" t="str">
        <f>'Details PC'!H353</f>
        <v>Track Components Limited</v>
      </c>
      <c r="G351" s="242" t="e">
        <f>'Details PC'!#REF!</f>
        <v>#REF!</v>
      </c>
      <c r="L351">
        <f>'Details PC'!R353</f>
        <v>9420</v>
      </c>
      <c r="N351">
        <f>'Details PC'!S353</f>
        <v>32.1</v>
      </c>
      <c r="O351" s="411">
        <f>'Details PC'!J353</f>
        <v>122511113844</v>
      </c>
      <c r="P351" s="242">
        <f>'Details PC'!F353</f>
        <v>45955</v>
      </c>
      <c r="R351">
        <f>'Details PC'!T353</f>
        <v>302382</v>
      </c>
    </row>
    <row r="352" spans="1:18" x14ac:dyDescent="0.3">
      <c r="A352">
        <v>0</v>
      </c>
      <c r="B352">
        <f>'Details PC'!B354</f>
        <v>350</v>
      </c>
      <c r="E352" t="str">
        <f>'Details PC'!H354</f>
        <v>Track Components Limited</v>
      </c>
      <c r="G352" s="242" t="e">
        <f>'Details PC'!#REF!</f>
        <v>#REF!</v>
      </c>
      <c r="L352">
        <f>'Details PC'!R354</f>
        <v>8160</v>
      </c>
      <c r="N352">
        <f>'Details PC'!S354</f>
        <v>32.1</v>
      </c>
      <c r="O352" s="411">
        <f>'Details PC'!J354</f>
        <v>122511113866</v>
      </c>
      <c r="P352" s="242">
        <f>'Details PC'!F354</f>
        <v>45955</v>
      </c>
      <c r="R352">
        <f>'Details PC'!T354</f>
        <v>261936</v>
      </c>
    </row>
    <row r="353" spans="1:18" x14ac:dyDescent="0.3">
      <c r="A353">
        <v>0</v>
      </c>
      <c r="B353">
        <f>'Details PC'!B355</f>
        <v>351</v>
      </c>
      <c r="E353" t="str">
        <f>'Details PC'!H355</f>
        <v>Track Components Limited</v>
      </c>
      <c r="G353" s="242" t="e">
        <f>'Details PC'!#REF!</f>
        <v>#REF!</v>
      </c>
      <c r="L353">
        <f>'Details PC'!R355</f>
        <v>7000</v>
      </c>
      <c r="N353">
        <f>'Details PC'!S355</f>
        <v>32.1</v>
      </c>
      <c r="O353" s="411">
        <f>'Details PC'!J355</f>
        <v>142511015311</v>
      </c>
      <c r="P353" s="242">
        <f>'Details PC'!F355</f>
        <v>45955</v>
      </c>
      <c r="R353">
        <f>'Details PC'!T355</f>
        <v>224700</v>
      </c>
    </row>
    <row r="354" spans="1:18" x14ac:dyDescent="0.3">
      <c r="A354">
        <v>0</v>
      </c>
      <c r="B354">
        <f>'Details PC'!B356</f>
        <v>352</v>
      </c>
      <c r="E354" t="str">
        <f>'Details PC'!H356</f>
        <v>Track Components Limited</v>
      </c>
      <c r="G354" s="242" t="e">
        <f>'Details PC'!#REF!</f>
        <v>#REF!</v>
      </c>
      <c r="L354">
        <f>'Details PC'!R356</f>
        <v>810</v>
      </c>
      <c r="N354">
        <f>'Details PC'!S356</f>
        <v>32.1</v>
      </c>
      <c r="O354" s="411">
        <f>'Details PC'!J356</f>
        <v>142511015312</v>
      </c>
      <c r="P354" s="242">
        <f>'Details PC'!F356</f>
        <v>45955</v>
      </c>
      <c r="R354">
        <f>'Details PC'!T356</f>
        <v>26001</v>
      </c>
    </row>
    <row r="355" spans="1:18" x14ac:dyDescent="0.3">
      <c r="A355">
        <v>0</v>
      </c>
      <c r="B355">
        <f>'Details PC'!B357</f>
        <v>353</v>
      </c>
      <c r="E355" t="str">
        <f>'Details PC'!H357</f>
        <v>Track Components Limited</v>
      </c>
      <c r="G355" s="242" t="e">
        <f>'Details PC'!#REF!</f>
        <v>#REF!</v>
      </c>
      <c r="L355">
        <f>'Details PC'!R357</f>
        <v>6420</v>
      </c>
      <c r="N355">
        <f>'Details PC'!S357</f>
        <v>32.1</v>
      </c>
      <c r="O355" s="411">
        <f>'Details PC'!J357</f>
        <v>122511114291</v>
      </c>
      <c r="P355" s="242">
        <f>'Details PC'!F357</f>
        <v>45956</v>
      </c>
      <c r="R355">
        <f>'Details PC'!T357</f>
        <v>206082</v>
      </c>
    </row>
    <row r="356" spans="1:18" x14ac:dyDescent="0.3">
      <c r="A356">
        <v>0</v>
      </c>
      <c r="B356">
        <f>'Details PC'!B358</f>
        <v>354</v>
      </c>
      <c r="E356" t="str">
        <f>'Details PC'!H358</f>
        <v>Track Components Limited</v>
      </c>
      <c r="G356" s="242" t="e">
        <f>'Details PC'!#REF!</f>
        <v>#REF!</v>
      </c>
      <c r="L356">
        <f>'Details PC'!R358</f>
        <v>8480</v>
      </c>
      <c r="N356">
        <f>'Details PC'!S358</f>
        <v>32.1</v>
      </c>
      <c r="O356" s="411">
        <f>'Details PC'!J358</f>
        <v>122511114299</v>
      </c>
      <c r="P356" s="242">
        <f>'Details PC'!F358</f>
        <v>45956</v>
      </c>
      <c r="R356">
        <f>'Details PC'!T358</f>
        <v>272208</v>
      </c>
    </row>
    <row r="357" spans="1:18" x14ac:dyDescent="0.3">
      <c r="A357">
        <v>0</v>
      </c>
      <c r="B357">
        <f>'Details PC'!B359</f>
        <v>355</v>
      </c>
      <c r="E357" t="str">
        <f>'Details PC'!H359</f>
        <v>Track Components Limited</v>
      </c>
      <c r="G357" s="242" t="e">
        <f>'Details PC'!#REF!</f>
        <v>#REF!</v>
      </c>
      <c r="L357">
        <f>'Details PC'!R359</f>
        <v>8580</v>
      </c>
      <c r="N357">
        <f>'Details PC'!S359</f>
        <v>32.1</v>
      </c>
      <c r="O357" s="411">
        <f>'Details PC'!J359</f>
        <v>122511114318</v>
      </c>
      <c r="P357" s="242">
        <f>'Details PC'!F359</f>
        <v>45956</v>
      </c>
      <c r="R357">
        <f>'Details PC'!T359</f>
        <v>275418</v>
      </c>
    </row>
    <row r="358" spans="1:18" x14ac:dyDescent="0.3">
      <c r="A358">
        <v>0</v>
      </c>
      <c r="B358">
        <f>'Details PC'!B360</f>
        <v>356</v>
      </c>
      <c r="E358" t="str">
        <f>'Details PC'!H360</f>
        <v>Ultra Corpotech Pvt Ltd</v>
      </c>
      <c r="G358" s="242" t="e">
        <f>'Details PC'!#REF!</f>
        <v>#REF!</v>
      </c>
      <c r="L358">
        <f>'Details PC'!R360</f>
        <v>20660</v>
      </c>
      <c r="N358">
        <f>'Details PC'!S360</f>
        <v>32.799999999999997</v>
      </c>
      <c r="O358" s="411">
        <f>'Details PC'!J360</f>
        <v>4252002926</v>
      </c>
      <c r="P358" s="242">
        <f>'Details PC'!F360</f>
        <v>45956</v>
      </c>
      <c r="R358">
        <f>'Details PC'!T360</f>
        <v>677647.99999999988</v>
      </c>
    </row>
    <row r="359" spans="1:18" x14ac:dyDescent="0.3">
      <c r="A359">
        <v>0</v>
      </c>
      <c r="B359">
        <f>'Details PC'!B361</f>
        <v>357</v>
      </c>
      <c r="E359" t="str">
        <f>'Details PC'!H361</f>
        <v>Track Components Limited</v>
      </c>
      <c r="G359" s="242" t="e">
        <f>'Details PC'!#REF!</f>
        <v>#REF!</v>
      </c>
      <c r="L359">
        <f>'Details PC'!R361</f>
        <v>8870</v>
      </c>
      <c r="N359">
        <f>'Details PC'!S361</f>
        <v>32.1</v>
      </c>
      <c r="O359" s="411">
        <f>'Details PC'!J361</f>
        <v>122511114824</v>
      </c>
      <c r="P359" s="242">
        <f>'Details PC'!F361</f>
        <v>45957</v>
      </c>
      <c r="R359">
        <f>'Details PC'!T361</f>
        <v>284727</v>
      </c>
    </row>
    <row r="360" spans="1:18" x14ac:dyDescent="0.3">
      <c r="A360">
        <v>0</v>
      </c>
      <c r="B360">
        <f>'Details PC'!B362</f>
        <v>358</v>
      </c>
      <c r="E360" t="str">
        <f>'Details PC'!H362</f>
        <v>Track Components Limited</v>
      </c>
      <c r="G360" s="242" t="e">
        <f>'Details PC'!#REF!</f>
        <v>#REF!</v>
      </c>
      <c r="L360">
        <f>'Details PC'!R362</f>
        <v>8210</v>
      </c>
      <c r="N360">
        <f>'Details PC'!S362</f>
        <v>32.1</v>
      </c>
      <c r="O360" s="411">
        <f>'Details PC'!J362</f>
        <v>122511114788</v>
      </c>
      <c r="P360" s="242">
        <f>'Details PC'!F362</f>
        <v>45957</v>
      </c>
      <c r="R360">
        <f>'Details PC'!T362</f>
        <v>263541</v>
      </c>
    </row>
    <row r="361" spans="1:18" x14ac:dyDescent="0.3">
      <c r="A361">
        <v>0</v>
      </c>
      <c r="B361">
        <f>'Details PC'!B363</f>
        <v>359</v>
      </c>
      <c r="E361" t="str">
        <f>'Details PC'!H363</f>
        <v>Track Components Limited</v>
      </c>
      <c r="G361" s="242" t="e">
        <f>'Details PC'!#REF!</f>
        <v>#REF!</v>
      </c>
      <c r="L361">
        <f>'Details PC'!R363</f>
        <v>7320</v>
      </c>
      <c r="N361">
        <f>'Details PC'!S363</f>
        <v>32.1</v>
      </c>
      <c r="O361" s="411">
        <f>'Details PC'!J363</f>
        <v>122511114811</v>
      </c>
      <c r="P361" s="242">
        <f>'Details PC'!F363</f>
        <v>45957</v>
      </c>
      <c r="R361">
        <f>'Details PC'!T363</f>
        <v>234972</v>
      </c>
    </row>
    <row r="362" spans="1:18" x14ac:dyDescent="0.3">
      <c r="A362">
        <v>0</v>
      </c>
      <c r="B362">
        <f>'Details PC'!B364</f>
        <v>360</v>
      </c>
      <c r="E362" t="str">
        <f>'Details PC'!H364</f>
        <v>Ultra Corpotech Pvt Ltd</v>
      </c>
      <c r="G362" s="242" t="e">
        <f>'Details PC'!#REF!</f>
        <v>#REF!</v>
      </c>
      <c r="L362">
        <f>'Details PC'!R364</f>
        <v>8720</v>
      </c>
      <c r="N362">
        <f>'Details PC'!S364</f>
        <v>32.799999999999997</v>
      </c>
      <c r="O362" s="411">
        <f>'Details PC'!J364</f>
        <v>5252001072</v>
      </c>
      <c r="P362" s="242">
        <f>'Details PC'!F364</f>
        <v>45957</v>
      </c>
      <c r="R362">
        <f>'Details PC'!T364</f>
        <v>286016</v>
      </c>
    </row>
    <row r="363" spans="1:18" x14ac:dyDescent="0.3">
      <c r="A363">
        <v>0</v>
      </c>
      <c r="B363">
        <f>'Details PC'!B365</f>
        <v>361</v>
      </c>
      <c r="E363" t="str">
        <f>'Details PC'!H365</f>
        <v>Ultra Corpotech Pvt Ltd</v>
      </c>
      <c r="G363" s="242" t="e">
        <f>'Details PC'!#REF!</f>
        <v>#REF!</v>
      </c>
      <c r="L363">
        <f>'Details PC'!R365</f>
        <v>22130</v>
      </c>
      <c r="N363">
        <f>'Details PC'!S365</f>
        <v>32.799999999999997</v>
      </c>
      <c r="O363" s="411">
        <f>'Details PC'!J365</f>
        <v>4252002947</v>
      </c>
      <c r="P363" s="242">
        <f>'Details PC'!F365</f>
        <v>45957</v>
      </c>
      <c r="R363">
        <f>'Details PC'!T365</f>
        <v>725863.99999999988</v>
      </c>
    </row>
    <row r="364" spans="1:18" x14ac:dyDescent="0.3">
      <c r="A364">
        <v>0</v>
      </c>
      <c r="B364">
        <f>'Details PC'!B366</f>
        <v>362</v>
      </c>
      <c r="E364" t="str">
        <f>'Details PC'!H366</f>
        <v>Track Components Limited</v>
      </c>
      <c r="G364" s="242" t="e">
        <f>'Details PC'!#REF!</f>
        <v>#REF!</v>
      </c>
      <c r="L364">
        <f>'Details PC'!R366</f>
        <v>10470</v>
      </c>
      <c r="N364">
        <f>'Details PC'!S366</f>
        <v>32.1</v>
      </c>
      <c r="O364" s="411">
        <f>'Details PC'!J366</f>
        <v>122511115508</v>
      </c>
      <c r="P364" s="242">
        <f>'Details PC'!F366</f>
        <v>45958</v>
      </c>
      <c r="R364">
        <f>'Details PC'!T366</f>
        <v>336087</v>
      </c>
    </row>
    <row r="365" spans="1:18" x14ac:dyDescent="0.3">
      <c r="A365">
        <v>0</v>
      </c>
      <c r="B365">
        <f>'Details PC'!B367</f>
        <v>363</v>
      </c>
      <c r="E365" t="str">
        <f>'Details PC'!H367</f>
        <v>Track Components Limited</v>
      </c>
      <c r="G365" s="242" t="e">
        <f>'Details PC'!#REF!</f>
        <v>#REF!</v>
      </c>
      <c r="L365">
        <f>'Details PC'!R367</f>
        <v>12370</v>
      </c>
      <c r="N365">
        <f>'Details PC'!S367</f>
        <v>32.1</v>
      </c>
      <c r="O365" s="411">
        <f>'Details PC'!J367</f>
        <v>122511115477</v>
      </c>
      <c r="P365" s="242">
        <f>'Details PC'!F367</f>
        <v>45958</v>
      </c>
      <c r="R365">
        <f>'Details PC'!T367</f>
        <v>397077</v>
      </c>
    </row>
    <row r="366" spans="1:18" x14ac:dyDescent="0.3">
      <c r="A366">
        <v>0</v>
      </c>
      <c r="B366">
        <f>'Details PC'!B368</f>
        <v>364</v>
      </c>
      <c r="E366" t="str">
        <f>'Details PC'!H368</f>
        <v>Track Components Limited</v>
      </c>
      <c r="G366" s="242" t="e">
        <f>'Details PC'!#REF!</f>
        <v>#REF!</v>
      </c>
      <c r="L366">
        <f>'Details PC'!R368</f>
        <v>10160</v>
      </c>
      <c r="N366">
        <f>'Details PC'!S368</f>
        <v>32.1</v>
      </c>
      <c r="O366" s="411">
        <f>'Details PC'!J368</f>
        <v>122511115539</v>
      </c>
      <c r="P366" s="242">
        <f>'Details PC'!F368</f>
        <v>45958</v>
      </c>
      <c r="R366">
        <f>'Details PC'!T368</f>
        <v>326136</v>
      </c>
    </row>
    <row r="367" spans="1:18" x14ac:dyDescent="0.3">
      <c r="A367">
        <v>0</v>
      </c>
      <c r="B367">
        <f>'Details PC'!B369</f>
        <v>365</v>
      </c>
      <c r="E367" t="str">
        <f>'Details PC'!H369</f>
        <v>Ultra Corpotech Pvt Ltd</v>
      </c>
      <c r="G367" s="242" t="e">
        <f>'Details PC'!#REF!</f>
        <v>#REF!</v>
      </c>
      <c r="L367">
        <f>'Details PC'!R369</f>
        <v>18360</v>
      </c>
      <c r="N367">
        <f>'Details PC'!S369</f>
        <v>32.799999999999997</v>
      </c>
      <c r="O367" s="411">
        <f>'Details PC'!J369</f>
        <v>6252000090</v>
      </c>
      <c r="P367" s="242">
        <f>'Details PC'!F369</f>
        <v>45958</v>
      </c>
      <c r="R367">
        <f>'Details PC'!T369</f>
        <v>602208</v>
      </c>
    </row>
    <row r="368" spans="1:18" x14ac:dyDescent="0.3">
      <c r="A368">
        <v>0</v>
      </c>
      <c r="B368">
        <f>'Details PC'!B370</f>
        <v>366</v>
      </c>
      <c r="E368" t="str">
        <f>'Details PC'!H370</f>
        <v>Ultra Corpotech Pvt Ltd</v>
      </c>
      <c r="G368" s="242" t="e">
        <f>'Details PC'!#REF!</f>
        <v>#REF!</v>
      </c>
      <c r="L368">
        <f>'Details PC'!R370</f>
        <v>35250</v>
      </c>
      <c r="N368">
        <f>'Details PC'!S370</f>
        <v>32.799999999999997</v>
      </c>
      <c r="O368" s="411">
        <f>'Details PC'!J370</f>
        <v>8252001917</v>
      </c>
      <c r="P368" s="242">
        <f>'Details PC'!F370</f>
        <v>45958</v>
      </c>
      <c r="R368">
        <f>'Details PC'!T370</f>
        <v>1156200</v>
      </c>
    </row>
    <row r="369" spans="1:18" x14ac:dyDescent="0.3">
      <c r="A369">
        <v>0</v>
      </c>
      <c r="B369">
        <f>'Details PC'!B371</f>
        <v>367</v>
      </c>
      <c r="E369" t="str">
        <f>'Details PC'!H371</f>
        <v>Ultra Corpotech Pvt Ltd</v>
      </c>
      <c r="G369" s="242" t="e">
        <f>'Details PC'!#REF!</f>
        <v>#REF!</v>
      </c>
      <c r="L369">
        <f>'Details PC'!R371</f>
        <v>14670</v>
      </c>
      <c r="N369">
        <f>'Details PC'!S371</f>
        <v>32.799999999999997</v>
      </c>
      <c r="O369" s="411">
        <f>'Details PC'!J371</f>
        <v>4252002962</v>
      </c>
      <c r="P369" s="242">
        <f>'Details PC'!F371</f>
        <v>45958</v>
      </c>
      <c r="R369">
        <f>'Details PC'!T371</f>
        <v>481175.99999999994</v>
      </c>
    </row>
    <row r="370" spans="1:18" x14ac:dyDescent="0.3">
      <c r="A370">
        <v>0</v>
      </c>
      <c r="B370">
        <f>'Details PC'!B372</f>
        <v>368</v>
      </c>
      <c r="E370" t="str">
        <f>'Details PC'!H372</f>
        <v>Track Components Limited</v>
      </c>
      <c r="G370" s="242" t="e">
        <f>'Details PC'!#REF!</f>
        <v>#REF!</v>
      </c>
      <c r="L370">
        <f>'Details PC'!R372</f>
        <v>7530</v>
      </c>
      <c r="N370">
        <f>'Details PC'!S372</f>
        <v>32.1</v>
      </c>
      <c r="O370" s="411">
        <f>'Details PC'!J372</f>
        <v>122511116183</v>
      </c>
      <c r="P370" s="242">
        <f>'Details PC'!F372</f>
        <v>45959</v>
      </c>
      <c r="R370">
        <f>'Details PC'!T372</f>
        <v>241713</v>
      </c>
    </row>
    <row r="371" spans="1:18" x14ac:dyDescent="0.3">
      <c r="A371">
        <v>0</v>
      </c>
      <c r="B371">
        <f>'Details PC'!B373</f>
        <v>369</v>
      </c>
      <c r="E371" t="str">
        <f>'Details PC'!H373</f>
        <v>Track Components Limited</v>
      </c>
      <c r="G371" s="242" t="e">
        <f>'Details PC'!#REF!</f>
        <v>#REF!</v>
      </c>
      <c r="L371">
        <f>'Details PC'!R373</f>
        <v>8440</v>
      </c>
      <c r="N371">
        <f>'Details PC'!S373</f>
        <v>32.1</v>
      </c>
      <c r="O371" s="411">
        <f>'Details PC'!J373</f>
        <v>122511116211</v>
      </c>
      <c r="P371" s="242">
        <f>'Details PC'!F373</f>
        <v>45959</v>
      </c>
      <c r="R371">
        <f>'Details PC'!T373</f>
        <v>270924</v>
      </c>
    </row>
    <row r="372" spans="1:18" x14ac:dyDescent="0.3">
      <c r="A372">
        <v>0</v>
      </c>
      <c r="B372">
        <f>'Details PC'!B374</f>
        <v>370</v>
      </c>
      <c r="E372" t="str">
        <f>'Details PC'!H374</f>
        <v>Ultra Corpotech Pvt Ltd</v>
      </c>
      <c r="G372" s="242" t="e">
        <f>'Details PC'!#REF!</f>
        <v>#REF!</v>
      </c>
      <c r="L372">
        <f>'Details PC'!R374</f>
        <v>30800</v>
      </c>
      <c r="N372">
        <f>'Details PC'!S374</f>
        <v>32.799999999999997</v>
      </c>
      <c r="O372" s="411">
        <f>'Details PC'!J374</f>
        <v>8252001923</v>
      </c>
      <c r="P372" s="242">
        <f>'Details PC'!F374</f>
        <v>45959</v>
      </c>
      <c r="R372">
        <f>'Details PC'!T374</f>
        <v>1010239.9999999999</v>
      </c>
    </row>
    <row r="373" spans="1:18" x14ac:dyDescent="0.3">
      <c r="A373">
        <v>0</v>
      </c>
      <c r="B373">
        <f>'Details PC'!B375</f>
        <v>371</v>
      </c>
      <c r="E373" t="str">
        <f>'Details PC'!H375</f>
        <v>Track Components Limited</v>
      </c>
      <c r="G373" s="242" t="e">
        <f>'Details PC'!#REF!</f>
        <v>#REF!</v>
      </c>
      <c r="L373">
        <f>'Details PC'!R375</f>
        <v>10700</v>
      </c>
      <c r="N373">
        <f>'Details PC'!S375</f>
        <v>32.1</v>
      </c>
      <c r="O373" s="411">
        <f>'Details PC'!J375</f>
        <v>122511116819</v>
      </c>
      <c r="P373" s="242">
        <f>'Details PC'!F375</f>
        <v>45960</v>
      </c>
      <c r="R373">
        <f>'Details PC'!T375</f>
        <v>343470</v>
      </c>
    </row>
    <row r="374" spans="1:18" x14ac:dyDescent="0.3">
      <c r="A374">
        <v>0</v>
      </c>
      <c r="B374">
        <f>'Details PC'!B376</f>
        <v>372</v>
      </c>
      <c r="E374" t="str">
        <f>'Details PC'!H376</f>
        <v>Track Components Limited</v>
      </c>
      <c r="G374" s="242" t="e">
        <f>'Details PC'!#REF!</f>
        <v>#REF!</v>
      </c>
      <c r="L374">
        <f>'Details PC'!R376</f>
        <v>8370</v>
      </c>
      <c r="N374">
        <f>'Details PC'!S376</f>
        <v>32.1</v>
      </c>
      <c r="O374" s="411">
        <f>'Details PC'!J376</f>
        <v>122511116820</v>
      </c>
      <c r="P374" s="242">
        <f>'Details PC'!F376</f>
        <v>45960</v>
      </c>
      <c r="R374">
        <f>'Details PC'!T376</f>
        <v>268677</v>
      </c>
    </row>
    <row r="375" spans="1:18" x14ac:dyDescent="0.3">
      <c r="A375">
        <v>0</v>
      </c>
      <c r="B375">
        <f>'Details PC'!B377</f>
        <v>373</v>
      </c>
      <c r="E375" t="str">
        <f>'Details PC'!H377</f>
        <v>Track Components Limited</v>
      </c>
      <c r="G375" s="242" t="e">
        <f>'Details PC'!#REF!</f>
        <v>#REF!</v>
      </c>
      <c r="L375">
        <f>'Details PC'!R377</f>
        <v>10500</v>
      </c>
      <c r="N375">
        <f>'Details PC'!S377</f>
        <v>32.1</v>
      </c>
      <c r="O375" s="411">
        <f>'Details PC'!J377</f>
        <v>122511117449</v>
      </c>
      <c r="P375" s="242">
        <f>'Details PC'!F377</f>
        <v>45961</v>
      </c>
      <c r="R375">
        <f>'Details PC'!T377</f>
        <v>337050</v>
      </c>
    </row>
    <row r="376" spans="1:18" x14ac:dyDescent="0.3">
      <c r="A376">
        <v>0</v>
      </c>
      <c r="B376">
        <f>'Details PC'!B378</f>
        <v>374</v>
      </c>
      <c r="E376" t="str">
        <f>'Details PC'!H378</f>
        <v>Ultra Corpotech Pvt Ltd</v>
      </c>
      <c r="G376" s="242" t="e">
        <f>'Details PC'!#REF!</f>
        <v>#REF!</v>
      </c>
      <c r="L376">
        <f>'Details PC'!R378</f>
        <v>7750</v>
      </c>
      <c r="N376">
        <f>'Details PC'!S378</f>
        <v>32.799999999999997</v>
      </c>
      <c r="O376" s="411">
        <f>'Details PC'!J378</f>
        <v>5252001102</v>
      </c>
      <c r="P376" s="242">
        <f>'Details PC'!F378</f>
        <v>45961</v>
      </c>
      <c r="R376">
        <f>'Details PC'!T378</f>
        <v>254199.99999999997</v>
      </c>
    </row>
    <row r="377" spans="1:18" x14ac:dyDescent="0.3">
      <c r="A377">
        <v>0</v>
      </c>
      <c r="B377">
        <f>'Details PC'!B379</f>
        <v>375</v>
      </c>
      <c r="E377" t="str">
        <f>'Details PC'!H379</f>
        <v>Ultra Corpotech Pvt Ltd</v>
      </c>
      <c r="G377" s="242" t="e">
        <f>'Details PC'!#REF!</f>
        <v>#REF!</v>
      </c>
      <c r="L377">
        <f>'Details PC'!R379</f>
        <v>6370</v>
      </c>
      <c r="N377">
        <f>'Details PC'!S379</f>
        <v>32.799999999999997</v>
      </c>
      <c r="O377" s="411">
        <f>'Details PC'!J379</f>
        <v>5252001109</v>
      </c>
      <c r="P377" s="242">
        <f>'Details PC'!F379</f>
        <v>45961</v>
      </c>
      <c r="R377">
        <f>'Details PC'!T379</f>
        <v>208935.99999999997</v>
      </c>
    </row>
    <row r="378" spans="1:18" x14ac:dyDescent="0.3">
      <c r="A378">
        <v>0</v>
      </c>
      <c r="B378">
        <f>'Details PC'!B380</f>
        <v>376</v>
      </c>
      <c r="E378" t="str">
        <f>'Details PC'!H380</f>
        <v>ULTRA CORPOTECH PRIVATE LIMITED</v>
      </c>
      <c r="G378" s="242" t="e">
        <f>'Details PC'!#REF!</f>
        <v>#REF!</v>
      </c>
      <c r="L378">
        <f>'Details PC'!R380</f>
        <v>28470</v>
      </c>
      <c r="N378">
        <f>'Details PC'!S380</f>
        <v>32.799999999999997</v>
      </c>
      <c r="O378" s="411">
        <f>'Details PC'!J380</f>
        <v>8252001928</v>
      </c>
      <c r="P378" s="242">
        <f>'Details PC'!F380</f>
        <v>45961</v>
      </c>
      <c r="R378">
        <f>'Details PC'!T380</f>
        <v>933815.99999999988</v>
      </c>
    </row>
    <row r="379" spans="1:18" x14ac:dyDescent="0.3">
      <c r="A379">
        <v>0</v>
      </c>
      <c r="B379">
        <f>'Details PC'!B389</f>
        <v>385</v>
      </c>
      <c r="E379" t="str">
        <f>'Details PC'!H389</f>
        <v>HIND METAL &amp; ALLOYS PRIVATE LIMITED</v>
      </c>
      <c r="G379" s="242" t="e">
        <f>'Details PC'!#REF!</f>
        <v>#REF!</v>
      </c>
      <c r="L379">
        <f>'Details PC'!R389</f>
        <v>13154</v>
      </c>
      <c r="N379">
        <f>'Details PC'!S389</f>
        <v>142.21104</v>
      </c>
      <c r="O379" s="411" t="str">
        <f>'Details PC'!J389</f>
        <v>1146</v>
      </c>
      <c r="P379" s="242">
        <f>'Details PC'!F389</f>
        <v>45992</v>
      </c>
      <c r="R379">
        <f>'Details PC'!T389</f>
        <v>1156397.0201600001</v>
      </c>
    </row>
    <row r="380" spans="1:18" x14ac:dyDescent="0.3">
      <c r="A380">
        <v>0</v>
      </c>
      <c r="B380">
        <f>'Details PC'!B390</f>
        <v>386</v>
      </c>
      <c r="E380" t="str">
        <f>'Details PC'!H390</f>
        <v>HIND METAL &amp; ALLOYS PRIVATE LIMITED</v>
      </c>
      <c r="G380" s="242" t="e">
        <f>'Details PC'!#REF!</f>
        <v>#REF!</v>
      </c>
      <c r="L380">
        <f>'Details PC'!R390</f>
        <v>13080</v>
      </c>
      <c r="N380">
        <f>'Details PC'!S390</f>
        <v>161.20106999999999</v>
      </c>
      <c r="O380" s="411" t="str">
        <f>'Details PC'!J390</f>
        <v>1181</v>
      </c>
      <c r="P380" s="242">
        <f>'Details PC'!F390</f>
        <v>46000</v>
      </c>
      <c r="R380">
        <f>'Details PC'!T390</f>
        <v>2108509.9956</v>
      </c>
    </row>
    <row r="381" spans="1:18" x14ac:dyDescent="0.3">
      <c r="A381">
        <v>0</v>
      </c>
      <c r="B381">
        <f>'Details PC'!B381</f>
        <v>377</v>
      </c>
      <c r="E381" t="str">
        <f>'Details PC'!H381</f>
        <v>BLACK GOLD RECYCLING PRIVATE LIMITED</v>
      </c>
      <c r="G381" s="242" t="e">
        <f>'Details PC'!#REF!</f>
        <v>#REF!</v>
      </c>
      <c r="L381">
        <f>'Details PC'!R381</f>
        <v>35215</v>
      </c>
      <c r="N381">
        <f>'Details PC'!S381</f>
        <v>23.931999999999999</v>
      </c>
      <c r="O381" s="411" t="str">
        <f>'Details PC'!J381</f>
        <v>25/PUN/INV0193</v>
      </c>
      <c r="P381" s="242">
        <f>'Details PC'!F381</f>
        <v>46022</v>
      </c>
      <c r="R381">
        <f>'Details PC'!T381</f>
        <v>842765.38</v>
      </c>
    </row>
    <row r="382" spans="1:18" x14ac:dyDescent="0.3">
      <c r="A382">
        <v>0</v>
      </c>
      <c r="B382">
        <f>'Details PC'!B382</f>
        <v>378</v>
      </c>
      <c r="E382" t="str">
        <f>'Details PC'!H382</f>
        <v>BLACK GOLD RECYCLING PRIVATE LIMITED</v>
      </c>
      <c r="G382" s="242" t="e">
        <f>'Details PC'!#REF!</f>
        <v>#REF!</v>
      </c>
      <c r="L382">
        <f>'Details PC'!R382</f>
        <v>10510</v>
      </c>
      <c r="N382">
        <f>'Details PC'!S382</f>
        <v>24.050999999999998</v>
      </c>
      <c r="O382" s="411" t="str">
        <f>'Details PC'!J382</f>
        <v>25/PUN/INV0198</v>
      </c>
      <c r="P382" s="242">
        <f>'Details PC'!F382</f>
        <v>46035</v>
      </c>
      <c r="R382">
        <f>'Details PC'!T382</f>
        <v>252776.00999999998</v>
      </c>
    </row>
    <row r="383" spans="1:18" x14ac:dyDescent="0.3">
      <c r="A383">
        <v>0</v>
      </c>
      <c r="B383">
        <f>'Details PC'!B384</f>
        <v>380</v>
      </c>
      <c r="E383" t="str">
        <f>'Details PC'!H384</f>
        <v>BLACK GOLD RECYCLING PRIVATE LIMITED</v>
      </c>
      <c r="G383" s="242" t="e">
        <f>'Details PC'!#REF!</f>
        <v>#REF!</v>
      </c>
      <c r="L383">
        <f>'Details PC'!R384</f>
        <v>14340</v>
      </c>
      <c r="N383">
        <f>'Details PC'!S384</f>
        <v>24.629000000000001</v>
      </c>
      <c r="O383" s="411" t="str">
        <f>'Details PC'!J384</f>
        <v>25/PUN/INV0204</v>
      </c>
      <c r="P383" s="242">
        <f>'Details PC'!F384</f>
        <v>46042</v>
      </c>
      <c r="R383">
        <f>'Details PC'!T384</f>
        <v>353179.86000000004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E7F4-E733-480B-9597-1D0503CFD609}">
  <sheetPr codeName="Sheet14"/>
  <dimension ref="B1:P213"/>
  <sheetViews>
    <sheetView showGridLines="0" showRowColHeaders="0" topLeftCell="A197" workbookViewId="0">
      <selection activeCell="G215" sqref="G215"/>
    </sheetView>
  </sheetViews>
  <sheetFormatPr defaultRowHeight="14.4" x14ac:dyDescent="0.3"/>
  <cols>
    <col min="3" max="3" width="12.21875" bestFit="1" customWidth="1"/>
    <col min="4" max="4" width="12.77734375" bestFit="1" customWidth="1"/>
    <col min="5" max="6" width="12.21875" bestFit="1" customWidth="1"/>
    <col min="7" max="7" width="16.77734375" bestFit="1" customWidth="1"/>
    <col min="8" max="8" width="51.5546875" style="233" bestFit="1" customWidth="1"/>
    <col min="9" max="9" width="23.33203125" style="233" hidden="1" customWidth="1"/>
    <col min="10" max="10" width="31.88671875" hidden="1" customWidth="1"/>
    <col min="11" max="11" width="31.33203125" style="233" hidden="1" customWidth="1"/>
    <col min="12" max="12" width="27.21875" style="233" bestFit="1" customWidth="1"/>
    <col min="13" max="13" width="17.5546875" style="233" bestFit="1" customWidth="1"/>
    <col min="14" max="14" width="26.77734375" style="233" bestFit="1" customWidth="1"/>
    <col min="15" max="15" width="158.33203125" style="233" bestFit="1" customWidth="1"/>
    <col min="16" max="16" width="146.109375" style="233" bestFit="1" customWidth="1"/>
  </cols>
  <sheetData>
    <row r="1" spans="2:16" x14ac:dyDescent="0.3">
      <c r="F1" s="66">
        <f>SUBTOTAL(9,F3:F196)</f>
        <v>12073252.423</v>
      </c>
      <c r="G1" s="66"/>
    </row>
    <row r="2" spans="2:16" x14ac:dyDescent="0.3">
      <c r="B2" t="s">
        <v>15</v>
      </c>
      <c r="C2" s="311" t="s">
        <v>109</v>
      </c>
      <c r="D2" s="312" t="s">
        <v>210</v>
      </c>
      <c r="E2" s="312" t="s">
        <v>211</v>
      </c>
      <c r="F2" s="312" t="s">
        <v>52</v>
      </c>
      <c r="G2" s="312" t="s">
        <v>1350</v>
      </c>
      <c r="H2" s="313" t="s">
        <v>112</v>
      </c>
      <c r="I2" s="313" t="s">
        <v>110</v>
      </c>
      <c r="J2" s="313" t="s">
        <v>1352</v>
      </c>
      <c r="K2" s="313" t="s">
        <v>1349</v>
      </c>
      <c r="L2" s="313" t="s">
        <v>1124</v>
      </c>
      <c r="M2" s="313" t="s">
        <v>279</v>
      </c>
      <c r="N2" s="313" t="s">
        <v>278</v>
      </c>
      <c r="O2" s="313" t="s">
        <v>1246</v>
      </c>
      <c r="P2" s="313" t="s">
        <v>1301</v>
      </c>
    </row>
    <row r="3" spans="2:16" x14ac:dyDescent="0.3">
      <c r="B3" t="str">
        <f>TEXT(C3,"mmm-yy")</f>
        <v>Feb-25</v>
      </c>
      <c r="C3" s="307">
        <v>45699</v>
      </c>
      <c r="D3" s="310">
        <v>1</v>
      </c>
      <c r="E3" s="308">
        <v>18897.46</v>
      </c>
      <c r="F3" s="3">
        <f t="shared" ref="F3:F34" si="0">D3*E3</f>
        <v>18897.46</v>
      </c>
      <c r="G3" s="3" t="s">
        <v>930</v>
      </c>
      <c r="H3" s="308" t="s">
        <v>1005</v>
      </c>
      <c r="I3" s="308" t="s">
        <v>1096</v>
      </c>
      <c r="J3" s="308" t="s">
        <v>1355</v>
      </c>
      <c r="K3" s="308" t="s">
        <v>938</v>
      </c>
      <c r="L3" s="308" t="s">
        <v>1125</v>
      </c>
      <c r="M3" s="308" t="s">
        <v>1209</v>
      </c>
      <c r="N3" s="309">
        <v>45693</v>
      </c>
      <c r="O3" s="308" t="s">
        <v>1285</v>
      </c>
      <c r="P3" s="308" t="s">
        <v>1333</v>
      </c>
    </row>
    <row r="4" spans="2:16" x14ac:dyDescent="0.3">
      <c r="B4" t="str">
        <f t="shared" ref="B4:B67" si="1">TEXT(C4,"mmm-yy")</f>
        <v>Apr-25</v>
      </c>
      <c r="C4" s="307">
        <v>45777</v>
      </c>
      <c r="D4" s="310">
        <v>1</v>
      </c>
      <c r="E4" s="308">
        <v>8567.7999999999993</v>
      </c>
      <c r="F4" s="3">
        <f t="shared" si="0"/>
        <v>8567.7999999999993</v>
      </c>
      <c r="G4" s="3" t="s">
        <v>930</v>
      </c>
      <c r="H4" s="308" t="s">
        <v>1005</v>
      </c>
      <c r="I4" s="308" t="s">
        <v>1071</v>
      </c>
      <c r="J4" s="308" t="s">
        <v>1356</v>
      </c>
      <c r="K4" s="308" t="s">
        <v>939</v>
      </c>
      <c r="L4" s="308" t="s">
        <v>1125</v>
      </c>
      <c r="M4" s="308" t="s">
        <v>1182</v>
      </c>
      <c r="N4" s="309">
        <v>45773</v>
      </c>
      <c r="O4" s="308" t="s">
        <v>1268</v>
      </c>
      <c r="P4" s="308" t="s">
        <v>1314</v>
      </c>
    </row>
    <row r="5" spans="2:16" x14ac:dyDescent="0.3">
      <c r="B5" t="str">
        <f t="shared" si="1"/>
        <v>Apr-25</v>
      </c>
      <c r="C5" s="307">
        <v>45777</v>
      </c>
      <c r="D5" s="310">
        <v>1</v>
      </c>
      <c r="E5" s="308">
        <v>25382.81</v>
      </c>
      <c r="F5" s="3">
        <f t="shared" si="0"/>
        <v>25382.81</v>
      </c>
      <c r="G5" s="3" t="s">
        <v>930</v>
      </c>
      <c r="H5" s="308" t="s">
        <v>1005</v>
      </c>
      <c r="I5" s="308" t="s">
        <v>1072</v>
      </c>
      <c r="J5" s="308" t="s">
        <v>1356</v>
      </c>
      <c r="K5" s="308" t="s">
        <v>939</v>
      </c>
      <c r="L5" s="308" t="s">
        <v>1125</v>
      </c>
      <c r="M5" s="308" t="s">
        <v>1183</v>
      </c>
      <c r="N5" s="309">
        <v>45775</v>
      </c>
      <c r="O5" s="308" t="s">
        <v>1269</v>
      </c>
      <c r="P5" s="308" t="s">
        <v>1315</v>
      </c>
    </row>
    <row r="6" spans="2:16" x14ac:dyDescent="0.3">
      <c r="B6" t="str">
        <f t="shared" si="1"/>
        <v>Feb-25</v>
      </c>
      <c r="C6" s="307">
        <v>45716</v>
      </c>
      <c r="D6" s="310">
        <v>1</v>
      </c>
      <c r="E6" s="308">
        <v>19194</v>
      </c>
      <c r="F6" s="3">
        <f t="shared" si="0"/>
        <v>19194</v>
      </c>
      <c r="G6" s="3" t="s">
        <v>930</v>
      </c>
      <c r="H6" s="308" t="s">
        <v>1014</v>
      </c>
      <c r="I6" s="308" t="s">
        <v>1115</v>
      </c>
      <c r="J6" s="308" t="s">
        <v>1355</v>
      </c>
      <c r="K6" s="308" t="s">
        <v>1123</v>
      </c>
      <c r="L6" s="308" t="s">
        <v>1125</v>
      </c>
      <c r="M6" s="308" t="s">
        <v>1240</v>
      </c>
      <c r="N6" s="309">
        <v>45716</v>
      </c>
      <c r="O6" s="308" t="s">
        <v>1297</v>
      </c>
      <c r="P6" s="308" t="s">
        <v>1345</v>
      </c>
    </row>
    <row r="7" spans="2:16" x14ac:dyDescent="0.3">
      <c r="B7" t="str">
        <f t="shared" si="1"/>
        <v>Mar-25</v>
      </c>
      <c r="C7" s="307">
        <v>45719</v>
      </c>
      <c r="D7" s="310">
        <v>1</v>
      </c>
      <c r="E7" s="308">
        <v>35000</v>
      </c>
      <c r="F7" s="3">
        <f t="shared" si="0"/>
        <v>35000</v>
      </c>
      <c r="G7" s="3" t="s">
        <v>930</v>
      </c>
      <c r="H7" s="308" t="s">
        <v>1014</v>
      </c>
      <c r="I7" s="308" t="s">
        <v>1116</v>
      </c>
      <c r="J7" s="308" t="s">
        <v>1355</v>
      </c>
      <c r="K7" s="308" t="s">
        <v>1123</v>
      </c>
      <c r="L7" s="308" t="s">
        <v>1125</v>
      </c>
      <c r="M7" s="308" t="s">
        <v>1241</v>
      </c>
      <c r="N7" s="309">
        <v>45717</v>
      </c>
      <c r="O7" s="308" t="s">
        <v>1298</v>
      </c>
      <c r="P7" s="308" t="s">
        <v>1346</v>
      </c>
    </row>
    <row r="8" spans="2:16" x14ac:dyDescent="0.3">
      <c r="B8" t="str">
        <f t="shared" si="1"/>
        <v>Mar-25</v>
      </c>
      <c r="C8" s="307">
        <v>45747</v>
      </c>
      <c r="D8" s="310">
        <v>1</v>
      </c>
      <c r="E8" s="308">
        <v>35000</v>
      </c>
      <c r="F8" s="3">
        <f t="shared" si="0"/>
        <v>35000</v>
      </c>
      <c r="G8" s="3" t="s">
        <v>930</v>
      </c>
      <c r="H8" s="308" t="s">
        <v>1014</v>
      </c>
      <c r="I8" s="308" t="s">
        <v>1119</v>
      </c>
      <c r="J8" s="308" t="s">
        <v>1355</v>
      </c>
      <c r="K8" s="308" t="s">
        <v>1123</v>
      </c>
      <c r="L8" s="308" t="s">
        <v>1125</v>
      </c>
      <c r="M8" s="308" t="s">
        <v>1244</v>
      </c>
      <c r="N8" s="309">
        <v>45717</v>
      </c>
      <c r="O8" s="308" t="s">
        <v>1300</v>
      </c>
      <c r="P8" s="308" t="s">
        <v>1336</v>
      </c>
    </row>
    <row r="9" spans="2:16" x14ac:dyDescent="0.3">
      <c r="B9" t="str">
        <f t="shared" si="1"/>
        <v>Apr-25</v>
      </c>
      <c r="C9" s="307">
        <v>45777</v>
      </c>
      <c r="D9" s="310">
        <v>1</v>
      </c>
      <c r="E9" s="308">
        <v>35000</v>
      </c>
      <c r="F9" s="3">
        <f t="shared" si="0"/>
        <v>35000</v>
      </c>
      <c r="G9" s="3" t="s">
        <v>930</v>
      </c>
      <c r="H9" s="308" t="s">
        <v>1014</v>
      </c>
      <c r="I9" s="308" t="s">
        <v>1104</v>
      </c>
      <c r="J9" s="308" t="s">
        <v>1356</v>
      </c>
      <c r="K9" s="308" t="s">
        <v>1123</v>
      </c>
      <c r="L9" s="308" t="s">
        <v>1125</v>
      </c>
      <c r="M9" s="308" t="s">
        <v>1220</v>
      </c>
      <c r="N9" s="309">
        <v>45748</v>
      </c>
      <c r="O9" s="308" t="s">
        <v>1290</v>
      </c>
      <c r="P9" s="308" t="s">
        <v>1337</v>
      </c>
    </row>
    <row r="10" spans="2:16" x14ac:dyDescent="0.3">
      <c r="B10" t="str">
        <f t="shared" si="1"/>
        <v>May-25</v>
      </c>
      <c r="C10" s="307">
        <v>45808</v>
      </c>
      <c r="D10" s="310">
        <v>1</v>
      </c>
      <c r="E10" s="308">
        <v>35000</v>
      </c>
      <c r="F10" s="3">
        <f t="shared" si="0"/>
        <v>35000</v>
      </c>
      <c r="G10" s="3" t="s">
        <v>930</v>
      </c>
      <c r="H10" s="308" t="s">
        <v>1014</v>
      </c>
      <c r="I10" s="308" t="s">
        <v>1106</v>
      </c>
      <c r="J10" s="308" t="s">
        <v>1356</v>
      </c>
      <c r="K10" s="308" t="s">
        <v>1123</v>
      </c>
      <c r="L10" s="308" t="s">
        <v>1125</v>
      </c>
      <c r="M10" s="308" t="s">
        <v>1223</v>
      </c>
      <c r="N10" s="309">
        <v>45778</v>
      </c>
      <c r="O10" s="308" t="s">
        <v>1292</v>
      </c>
      <c r="P10" s="308" t="s">
        <v>1338</v>
      </c>
    </row>
    <row r="11" spans="2:16" x14ac:dyDescent="0.3">
      <c r="B11" t="str">
        <f t="shared" si="1"/>
        <v>May-25</v>
      </c>
      <c r="C11" s="307">
        <v>45789</v>
      </c>
      <c r="D11" s="310">
        <v>1</v>
      </c>
      <c r="E11" s="308">
        <v>1000.313</v>
      </c>
      <c r="F11" s="3">
        <f t="shared" si="0"/>
        <v>1000.313</v>
      </c>
      <c r="G11" s="3" t="s">
        <v>930</v>
      </c>
      <c r="H11" s="308" t="s">
        <v>1006</v>
      </c>
      <c r="I11" s="308" t="s">
        <v>1074</v>
      </c>
      <c r="J11" s="308" t="s">
        <v>1356</v>
      </c>
      <c r="K11" s="308" t="s">
        <v>940</v>
      </c>
      <c r="L11" s="308" t="s">
        <v>1125</v>
      </c>
      <c r="M11" s="308" t="s">
        <v>1185</v>
      </c>
      <c r="N11" s="309">
        <v>45777</v>
      </c>
      <c r="O11" s="308" t="s">
        <v>1271</v>
      </c>
      <c r="P11" s="308" t="s">
        <v>1316</v>
      </c>
    </row>
    <row r="12" spans="2:16" x14ac:dyDescent="0.3">
      <c r="B12" t="str">
        <f t="shared" si="1"/>
        <v>May-25</v>
      </c>
      <c r="C12" s="307">
        <v>45789</v>
      </c>
      <c r="D12" s="310">
        <v>1</v>
      </c>
      <c r="E12" s="308">
        <v>5500</v>
      </c>
      <c r="F12" s="3">
        <f t="shared" si="0"/>
        <v>5500</v>
      </c>
      <c r="G12" s="3" t="s">
        <v>930</v>
      </c>
      <c r="H12" s="308" t="s">
        <v>1006</v>
      </c>
      <c r="I12" s="308" t="s">
        <v>1075</v>
      </c>
      <c r="J12" s="308" t="s">
        <v>1356</v>
      </c>
      <c r="K12" s="308" t="s">
        <v>940</v>
      </c>
      <c r="L12" s="308" t="s">
        <v>1125</v>
      </c>
      <c r="M12" s="308" t="s">
        <v>1186</v>
      </c>
      <c r="N12" s="309">
        <v>45777</v>
      </c>
      <c r="O12" s="308" t="s">
        <v>1272</v>
      </c>
      <c r="P12" s="308" t="s">
        <v>1317</v>
      </c>
    </row>
    <row r="13" spans="2:16" x14ac:dyDescent="0.3">
      <c r="B13" t="str">
        <f t="shared" si="1"/>
        <v>May-25</v>
      </c>
      <c r="C13" s="307">
        <v>45789</v>
      </c>
      <c r="D13" s="310">
        <v>1</v>
      </c>
      <c r="E13" s="308">
        <v>55000</v>
      </c>
      <c r="F13" s="3">
        <f t="shared" si="0"/>
        <v>55000</v>
      </c>
      <c r="G13" s="3" t="s">
        <v>930</v>
      </c>
      <c r="H13" s="308" t="s">
        <v>1006</v>
      </c>
      <c r="I13" s="308" t="s">
        <v>1076</v>
      </c>
      <c r="J13" s="308" t="s">
        <v>1356</v>
      </c>
      <c r="K13" s="308" t="s">
        <v>940</v>
      </c>
      <c r="L13" s="308" t="s">
        <v>1125</v>
      </c>
      <c r="M13" s="308" t="s">
        <v>1187</v>
      </c>
      <c r="N13" s="309">
        <v>45783</v>
      </c>
      <c r="O13" s="308" t="s">
        <v>1272</v>
      </c>
      <c r="P13" s="308" t="s">
        <v>1317</v>
      </c>
    </row>
    <row r="14" spans="2:16" x14ac:dyDescent="0.3">
      <c r="B14" t="str">
        <f t="shared" si="1"/>
        <v>Dec-24</v>
      </c>
      <c r="C14" s="307">
        <v>45637</v>
      </c>
      <c r="D14" s="310">
        <v>1</v>
      </c>
      <c r="E14" s="308">
        <v>190000</v>
      </c>
      <c r="F14" s="3">
        <f t="shared" si="0"/>
        <v>190000</v>
      </c>
      <c r="G14" s="3" t="s">
        <v>1351</v>
      </c>
      <c r="H14" s="308" t="s">
        <v>1008</v>
      </c>
      <c r="I14" s="308" t="s">
        <v>1082</v>
      </c>
      <c r="J14" s="308" t="s">
        <v>1353</v>
      </c>
      <c r="K14" s="308" t="s">
        <v>939</v>
      </c>
      <c r="L14" s="308" t="s">
        <v>1125</v>
      </c>
      <c r="M14" s="308" t="s">
        <v>1195</v>
      </c>
      <c r="N14" s="309">
        <v>45637</v>
      </c>
      <c r="O14" s="308" t="s">
        <v>1277</v>
      </c>
      <c r="P14" s="308" t="s">
        <v>1321</v>
      </c>
    </row>
    <row r="15" spans="2:16" x14ac:dyDescent="0.3">
      <c r="B15" t="str">
        <f t="shared" si="1"/>
        <v>Dec-24</v>
      </c>
      <c r="C15" s="307">
        <v>45637</v>
      </c>
      <c r="D15" s="310">
        <v>1</v>
      </c>
      <c r="E15" s="308">
        <v>255000</v>
      </c>
      <c r="F15" s="3">
        <f t="shared" si="0"/>
        <v>255000</v>
      </c>
      <c r="G15" s="3" t="s">
        <v>1351</v>
      </c>
      <c r="H15" s="308" t="s">
        <v>1008</v>
      </c>
      <c r="I15" s="308" t="s">
        <v>1082</v>
      </c>
      <c r="J15" s="308" t="s">
        <v>1353</v>
      </c>
      <c r="K15" s="308" t="s">
        <v>939</v>
      </c>
      <c r="L15" s="308" t="s">
        <v>1125</v>
      </c>
      <c r="M15" s="308" t="s">
        <v>1195</v>
      </c>
      <c r="N15" s="309">
        <v>45637</v>
      </c>
      <c r="O15" s="308" t="s">
        <v>1277</v>
      </c>
      <c r="P15" s="308" t="s">
        <v>1322</v>
      </c>
    </row>
    <row r="16" spans="2:16" x14ac:dyDescent="0.3">
      <c r="B16" t="str">
        <f t="shared" si="1"/>
        <v>Dec-24</v>
      </c>
      <c r="C16" s="307">
        <v>45637</v>
      </c>
      <c r="D16" s="310">
        <v>3</v>
      </c>
      <c r="E16" s="308">
        <v>7000</v>
      </c>
      <c r="F16" s="3">
        <f t="shared" si="0"/>
        <v>21000</v>
      </c>
      <c r="G16" s="3" t="s">
        <v>1351</v>
      </c>
      <c r="H16" s="308" t="s">
        <v>1008</v>
      </c>
      <c r="I16" s="308" t="s">
        <v>1082</v>
      </c>
      <c r="J16" s="308" t="s">
        <v>1355</v>
      </c>
      <c r="K16" s="308" t="s">
        <v>939</v>
      </c>
      <c r="L16" s="308" t="s">
        <v>1125</v>
      </c>
      <c r="M16" s="308" t="s">
        <v>1195</v>
      </c>
      <c r="N16" s="309">
        <v>45637</v>
      </c>
      <c r="O16" s="308" t="s">
        <v>1277</v>
      </c>
      <c r="P16" s="308" t="s">
        <v>1323</v>
      </c>
    </row>
    <row r="17" spans="2:16" x14ac:dyDescent="0.3">
      <c r="B17" t="str">
        <f t="shared" si="1"/>
        <v>Dec-24</v>
      </c>
      <c r="C17" s="307">
        <v>45637</v>
      </c>
      <c r="D17" s="310">
        <v>1</v>
      </c>
      <c r="E17" s="308">
        <v>10000</v>
      </c>
      <c r="F17" s="3">
        <f t="shared" si="0"/>
        <v>10000</v>
      </c>
      <c r="G17" s="3" t="s">
        <v>1351</v>
      </c>
      <c r="H17" s="308" t="s">
        <v>1008</v>
      </c>
      <c r="I17" s="308" t="s">
        <v>1082</v>
      </c>
      <c r="J17" s="308" t="s">
        <v>1355</v>
      </c>
      <c r="K17" s="308" t="s">
        <v>939</v>
      </c>
      <c r="L17" s="308" t="s">
        <v>1125</v>
      </c>
      <c r="M17" s="308" t="s">
        <v>1195</v>
      </c>
      <c r="N17" s="309">
        <v>45637</v>
      </c>
      <c r="O17" s="308" t="s">
        <v>1277</v>
      </c>
      <c r="P17" s="308" t="s">
        <v>1324</v>
      </c>
    </row>
    <row r="18" spans="2:16" x14ac:dyDescent="0.3">
      <c r="B18" t="str">
        <f t="shared" si="1"/>
        <v>Dec-24</v>
      </c>
      <c r="C18" s="307">
        <v>45637</v>
      </c>
      <c r="D18" s="310">
        <v>1</v>
      </c>
      <c r="E18" s="308">
        <v>75000</v>
      </c>
      <c r="F18" s="3">
        <f t="shared" si="0"/>
        <v>75000</v>
      </c>
      <c r="G18" s="3" t="s">
        <v>1351</v>
      </c>
      <c r="H18" s="308" t="s">
        <v>1008</v>
      </c>
      <c r="I18" s="308" t="s">
        <v>1082</v>
      </c>
      <c r="J18" s="308" t="s">
        <v>1353</v>
      </c>
      <c r="K18" s="308" t="s">
        <v>939</v>
      </c>
      <c r="L18" s="308" t="s">
        <v>1125</v>
      </c>
      <c r="M18" s="308" t="s">
        <v>1195</v>
      </c>
      <c r="N18" s="309">
        <v>45637</v>
      </c>
      <c r="O18" s="308" t="s">
        <v>1277</v>
      </c>
      <c r="P18" s="308" t="s">
        <v>1325</v>
      </c>
    </row>
    <row r="19" spans="2:16" x14ac:dyDescent="0.3">
      <c r="B19" t="str">
        <f t="shared" si="1"/>
        <v>Oct-24</v>
      </c>
      <c r="C19" s="307">
        <v>45573</v>
      </c>
      <c r="D19" s="310">
        <v>1</v>
      </c>
      <c r="E19" s="308">
        <v>1100</v>
      </c>
      <c r="F19" s="3">
        <f t="shared" si="0"/>
        <v>1100</v>
      </c>
      <c r="G19" s="3" t="s">
        <v>930</v>
      </c>
      <c r="H19" s="308" t="s">
        <v>1000</v>
      </c>
      <c r="I19" s="308" t="s">
        <v>1029</v>
      </c>
      <c r="J19" s="308" t="s">
        <v>1353</v>
      </c>
      <c r="K19" s="308" t="s">
        <v>941</v>
      </c>
      <c r="L19" s="308">
        <v>0</v>
      </c>
      <c r="M19" s="308" t="s">
        <v>1140</v>
      </c>
      <c r="N19" s="309">
        <v>45569</v>
      </c>
      <c r="O19" s="308" t="s">
        <v>1250</v>
      </c>
      <c r="P19" s="308" t="s">
        <v>1302</v>
      </c>
    </row>
    <row r="20" spans="2:16" x14ac:dyDescent="0.3">
      <c r="B20" t="str">
        <f t="shared" si="1"/>
        <v>Nov-24</v>
      </c>
      <c r="C20" s="307">
        <v>45604</v>
      </c>
      <c r="D20" s="310">
        <v>1</v>
      </c>
      <c r="E20" s="308">
        <v>1080</v>
      </c>
      <c r="F20" s="3">
        <f t="shared" si="0"/>
        <v>1080</v>
      </c>
      <c r="G20" s="3" t="s">
        <v>930</v>
      </c>
      <c r="H20" s="308" t="s">
        <v>1000</v>
      </c>
      <c r="I20" s="308" t="s">
        <v>1041</v>
      </c>
      <c r="J20" s="308" t="s">
        <v>1353</v>
      </c>
      <c r="K20" s="308" t="s">
        <v>941</v>
      </c>
      <c r="L20" s="308">
        <v>0</v>
      </c>
      <c r="M20" s="308" t="s">
        <v>1152</v>
      </c>
      <c r="N20" s="309">
        <v>45601</v>
      </c>
      <c r="O20" s="308" t="s">
        <v>1253</v>
      </c>
      <c r="P20" s="308" t="s">
        <v>1304</v>
      </c>
    </row>
    <row r="21" spans="2:16" x14ac:dyDescent="0.3">
      <c r="B21" t="str">
        <f t="shared" si="1"/>
        <v>Dec-24</v>
      </c>
      <c r="C21" s="307">
        <v>45643</v>
      </c>
      <c r="D21" s="310">
        <v>1</v>
      </c>
      <c r="E21" s="308">
        <v>510</v>
      </c>
      <c r="F21" s="3">
        <f t="shared" si="0"/>
        <v>510</v>
      </c>
      <c r="G21" s="3" t="s">
        <v>930</v>
      </c>
      <c r="H21" s="308" t="s">
        <v>1000</v>
      </c>
      <c r="I21" s="308" t="s">
        <v>1048</v>
      </c>
      <c r="J21" s="308" t="s">
        <v>1355</v>
      </c>
      <c r="K21" s="308" t="s">
        <v>941</v>
      </c>
      <c r="L21" s="308">
        <v>0</v>
      </c>
      <c r="M21" s="308" t="s">
        <v>1159</v>
      </c>
      <c r="N21" s="309">
        <v>45630</v>
      </c>
      <c r="O21" s="308" t="s">
        <v>1256</v>
      </c>
      <c r="P21" s="308" t="s">
        <v>1306</v>
      </c>
    </row>
    <row r="22" spans="2:16" x14ac:dyDescent="0.3">
      <c r="B22" t="str">
        <f t="shared" si="1"/>
        <v>Jan-25</v>
      </c>
      <c r="C22" s="307">
        <v>45677</v>
      </c>
      <c r="D22" s="310">
        <v>1</v>
      </c>
      <c r="E22" s="308">
        <v>510</v>
      </c>
      <c r="F22" s="3">
        <f t="shared" si="0"/>
        <v>510</v>
      </c>
      <c r="G22" s="3" t="s">
        <v>930</v>
      </c>
      <c r="H22" s="308" t="s">
        <v>1000</v>
      </c>
      <c r="I22" s="308" t="s">
        <v>1057</v>
      </c>
      <c r="J22" s="308" t="s">
        <v>1355</v>
      </c>
      <c r="K22" s="308" t="s">
        <v>941</v>
      </c>
      <c r="L22" s="308">
        <v>0</v>
      </c>
      <c r="M22" s="308" t="s">
        <v>1168</v>
      </c>
      <c r="N22" s="309">
        <v>45662</v>
      </c>
      <c r="O22" s="308" t="s">
        <v>1261</v>
      </c>
      <c r="P22" s="308" t="s">
        <v>1306</v>
      </c>
    </row>
    <row r="23" spans="2:16" x14ac:dyDescent="0.3">
      <c r="B23" t="str">
        <f t="shared" si="1"/>
        <v>Jan-25</v>
      </c>
      <c r="C23" s="307">
        <v>45687</v>
      </c>
      <c r="D23" s="310">
        <v>1</v>
      </c>
      <c r="E23" s="308">
        <v>25230</v>
      </c>
      <c r="F23" s="3">
        <f t="shared" si="0"/>
        <v>25230</v>
      </c>
      <c r="G23" s="3" t="s">
        <v>930</v>
      </c>
      <c r="H23" s="308" t="s">
        <v>1000</v>
      </c>
      <c r="I23" s="308" t="s">
        <v>1095</v>
      </c>
      <c r="J23" s="308" t="s">
        <v>1356</v>
      </c>
      <c r="K23" s="308" t="s">
        <v>941</v>
      </c>
      <c r="L23" s="308" t="s">
        <v>1125</v>
      </c>
      <c r="M23" s="308" t="s">
        <v>1208</v>
      </c>
      <c r="N23" s="309">
        <v>45666</v>
      </c>
      <c r="O23" s="308" t="s">
        <v>1284</v>
      </c>
      <c r="P23" s="308" t="s">
        <v>1332</v>
      </c>
    </row>
    <row r="24" spans="2:16" x14ac:dyDescent="0.3">
      <c r="B24" t="str">
        <f t="shared" si="1"/>
        <v>Feb-25</v>
      </c>
      <c r="C24" s="307">
        <v>45702</v>
      </c>
      <c r="D24" s="310">
        <v>1</v>
      </c>
      <c r="E24" s="308">
        <v>20130</v>
      </c>
      <c r="F24" s="3">
        <f t="shared" si="0"/>
        <v>20130</v>
      </c>
      <c r="G24" s="3" t="s">
        <v>930</v>
      </c>
      <c r="H24" s="308" t="s">
        <v>1000</v>
      </c>
      <c r="I24" s="308" t="s">
        <v>1098</v>
      </c>
      <c r="J24" s="308" t="s">
        <v>1355</v>
      </c>
      <c r="K24" s="308" t="s">
        <v>941</v>
      </c>
      <c r="L24" s="308" t="s">
        <v>1125</v>
      </c>
      <c r="M24" s="308" t="s">
        <v>1211</v>
      </c>
      <c r="N24" s="309">
        <v>45700</v>
      </c>
      <c r="O24" s="308" t="s">
        <v>1284</v>
      </c>
      <c r="P24" s="308" t="s">
        <v>1332</v>
      </c>
    </row>
    <row r="25" spans="2:16" x14ac:dyDescent="0.3">
      <c r="B25" t="str">
        <f t="shared" si="1"/>
        <v>Feb-25</v>
      </c>
      <c r="C25" s="307">
        <v>45702</v>
      </c>
      <c r="D25" s="310">
        <v>1</v>
      </c>
      <c r="E25" s="308">
        <v>710</v>
      </c>
      <c r="F25" s="3">
        <f t="shared" si="0"/>
        <v>710</v>
      </c>
      <c r="G25" s="3" t="s">
        <v>930</v>
      </c>
      <c r="H25" s="308" t="s">
        <v>1000</v>
      </c>
      <c r="I25" s="308" t="s">
        <v>1099</v>
      </c>
      <c r="J25" s="308" t="s">
        <v>1355</v>
      </c>
      <c r="K25" s="308" t="s">
        <v>941</v>
      </c>
      <c r="L25" s="308" t="s">
        <v>1125</v>
      </c>
      <c r="M25" s="308" t="s">
        <v>1212</v>
      </c>
      <c r="N25" s="309">
        <v>45692</v>
      </c>
      <c r="O25" s="308" t="s">
        <v>1284</v>
      </c>
      <c r="P25" s="308" t="s">
        <v>1332</v>
      </c>
    </row>
    <row r="26" spans="2:16" x14ac:dyDescent="0.3">
      <c r="B26" t="str">
        <f t="shared" si="1"/>
        <v>Mar-25</v>
      </c>
      <c r="C26" s="307">
        <v>45734</v>
      </c>
      <c r="D26" s="310">
        <v>1</v>
      </c>
      <c r="E26" s="308">
        <v>20220</v>
      </c>
      <c r="F26" s="3">
        <f t="shared" si="0"/>
        <v>20220</v>
      </c>
      <c r="G26" s="3" t="s">
        <v>930</v>
      </c>
      <c r="H26" s="308" t="s">
        <v>1000</v>
      </c>
      <c r="I26" s="308" t="s">
        <v>1059</v>
      </c>
      <c r="J26" s="308" t="s">
        <v>1351</v>
      </c>
      <c r="K26" s="308" t="s">
        <v>941</v>
      </c>
      <c r="L26" s="308">
        <v>0</v>
      </c>
      <c r="M26" s="308" t="s">
        <v>1170</v>
      </c>
      <c r="N26" s="309">
        <v>45725</v>
      </c>
      <c r="O26" s="308" t="s">
        <v>1262</v>
      </c>
      <c r="P26" s="308" t="s">
        <v>1308</v>
      </c>
    </row>
    <row r="27" spans="2:16" x14ac:dyDescent="0.3">
      <c r="B27" t="str">
        <f t="shared" si="1"/>
        <v>Apr-25</v>
      </c>
      <c r="C27" s="307">
        <v>45775</v>
      </c>
      <c r="D27" s="310">
        <v>1</v>
      </c>
      <c r="E27" s="308">
        <v>1310</v>
      </c>
      <c r="F27" s="3">
        <f t="shared" si="0"/>
        <v>1310</v>
      </c>
      <c r="G27" s="3" t="s">
        <v>930</v>
      </c>
      <c r="H27" s="308" t="s">
        <v>1000</v>
      </c>
      <c r="I27" s="308" t="s">
        <v>1068</v>
      </c>
      <c r="J27" s="308" t="s">
        <v>1356</v>
      </c>
      <c r="K27" s="308" t="s">
        <v>941</v>
      </c>
      <c r="L27" s="308" t="s">
        <v>1125</v>
      </c>
      <c r="M27" s="308" t="s">
        <v>1179</v>
      </c>
      <c r="N27" s="309">
        <v>45752</v>
      </c>
      <c r="O27" s="308" t="s">
        <v>1266</v>
      </c>
      <c r="P27" s="308" t="s">
        <v>1312</v>
      </c>
    </row>
    <row r="28" spans="2:16" x14ac:dyDescent="0.3">
      <c r="B28" t="str">
        <f t="shared" si="1"/>
        <v>Apr-25</v>
      </c>
      <c r="C28" s="307">
        <v>45775</v>
      </c>
      <c r="D28" s="310">
        <v>1</v>
      </c>
      <c r="E28" s="308">
        <v>20090</v>
      </c>
      <c r="F28" s="3">
        <f t="shared" si="0"/>
        <v>20090</v>
      </c>
      <c r="G28" s="3" t="s">
        <v>930</v>
      </c>
      <c r="H28" s="308" t="s">
        <v>1000</v>
      </c>
      <c r="I28" s="308" t="s">
        <v>1070</v>
      </c>
      <c r="J28" s="308" t="s">
        <v>1356</v>
      </c>
      <c r="K28" s="308" t="s">
        <v>941</v>
      </c>
      <c r="L28" s="308" t="s">
        <v>1125</v>
      </c>
      <c r="M28" s="308" t="s">
        <v>1181</v>
      </c>
      <c r="N28" s="309">
        <v>45755</v>
      </c>
      <c r="O28" s="308" t="s">
        <v>1266</v>
      </c>
      <c r="P28" s="308" t="s">
        <v>1312</v>
      </c>
    </row>
    <row r="29" spans="2:16" x14ac:dyDescent="0.3">
      <c r="B29" t="str">
        <f t="shared" si="1"/>
        <v>May-25</v>
      </c>
      <c r="C29" s="307">
        <v>45797</v>
      </c>
      <c r="D29" s="310">
        <v>1</v>
      </c>
      <c r="E29" s="308">
        <v>26140</v>
      </c>
      <c r="F29" s="3">
        <f t="shared" si="0"/>
        <v>26140</v>
      </c>
      <c r="G29" s="3" t="s">
        <v>930</v>
      </c>
      <c r="H29" s="308" t="s">
        <v>1000</v>
      </c>
      <c r="I29" s="308" t="s">
        <v>1078</v>
      </c>
      <c r="J29" s="308" t="s">
        <v>1356</v>
      </c>
      <c r="K29" s="308" t="s">
        <v>941</v>
      </c>
      <c r="L29" s="308" t="s">
        <v>1125</v>
      </c>
      <c r="M29" s="308" t="s">
        <v>1189</v>
      </c>
      <c r="N29" s="309">
        <v>45784</v>
      </c>
      <c r="O29" s="308" t="s">
        <v>1273</v>
      </c>
      <c r="P29" s="308" t="s">
        <v>1318</v>
      </c>
    </row>
    <row r="30" spans="2:16" x14ac:dyDescent="0.3">
      <c r="B30" t="str">
        <f t="shared" si="1"/>
        <v>Jun-25</v>
      </c>
      <c r="C30" s="307">
        <v>45831</v>
      </c>
      <c r="D30" s="310">
        <v>1</v>
      </c>
      <c r="E30" s="308">
        <v>40600</v>
      </c>
      <c r="F30" s="3">
        <f t="shared" si="0"/>
        <v>40600</v>
      </c>
      <c r="G30" s="3" t="s">
        <v>930</v>
      </c>
      <c r="H30" s="308" t="s">
        <v>1000</v>
      </c>
      <c r="I30" s="308" t="s">
        <v>1080</v>
      </c>
      <c r="J30" s="308" t="s">
        <v>1356</v>
      </c>
      <c r="K30" s="308" t="s">
        <v>941</v>
      </c>
      <c r="L30" s="308" t="s">
        <v>1125</v>
      </c>
      <c r="M30" s="308" t="s">
        <v>1192</v>
      </c>
      <c r="N30" s="309">
        <v>45814</v>
      </c>
      <c r="O30" s="308" t="s">
        <v>1275</v>
      </c>
      <c r="P30" s="308" t="s">
        <v>1319</v>
      </c>
    </row>
    <row r="31" spans="2:16" x14ac:dyDescent="0.3">
      <c r="B31" t="str">
        <f t="shared" si="1"/>
        <v>Feb-25</v>
      </c>
      <c r="C31" s="307">
        <v>45707</v>
      </c>
      <c r="D31" s="310">
        <v>1</v>
      </c>
      <c r="E31" s="308">
        <v>57000</v>
      </c>
      <c r="F31" s="3">
        <f t="shared" si="0"/>
        <v>57000</v>
      </c>
      <c r="G31" s="3" t="s">
        <v>1351</v>
      </c>
      <c r="H31" s="308" t="s">
        <v>1012</v>
      </c>
      <c r="I31" s="308" t="s">
        <v>1101</v>
      </c>
      <c r="J31" s="308" t="s">
        <v>1351</v>
      </c>
      <c r="K31" s="308" t="s">
        <v>943</v>
      </c>
      <c r="L31" s="308" t="s">
        <v>1125</v>
      </c>
      <c r="M31" s="308" t="s">
        <v>1214</v>
      </c>
      <c r="N31" s="309">
        <v>45701</v>
      </c>
      <c r="O31" s="308" t="s">
        <v>1286</v>
      </c>
      <c r="P31" s="308" t="s">
        <v>1334</v>
      </c>
    </row>
    <row r="32" spans="2:16" x14ac:dyDescent="0.3">
      <c r="B32" t="str">
        <f t="shared" si="1"/>
        <v>Feb-25</v>
      </c>
      <c r="C32" s="307">
        <v>45707</v>
      </c>
      <c r="D32" s="310">
        <v>1</v>
      </c>
      <c r="E32" s="308">
        <v>3000</v>
      </c>
      <c r="F32" s="3">
        <f t="shared" si="0"/>
        <v>3000</v>
      </c>
      <c r="G32" s="3" t="s">
        <v>930</v>
      </c>
      <c r="H32" s="308" t="s">
        <v>1012</v>
      </c>
      <c r="I32" s="308" t="s">
        <v>1101</v>
      </c>
      <c r="J32" s="308" t="s">
        <v>1351</v>
      </c>
      <c r="K32" s="308" t="s">
        <v>943</v>
      </c>
      <c r="L32" s="308" t="s">
        <v>1125</v>
      </c>
      <c r="M32" s="308" t="s">
        <v>1214</v>
      </c>
      <c r="N32" s="309">
        <v>45701</v>
      </c>
      <c r="O32" s="308" t="s">
        <v>1286</v>
      </c>
      <c r="P32" s="308" t="s">
        <v>1335</v>
      </c>
    </row>
    <row r="33" spans="2:16" x14ac:dyDescent="0.3">
      <c r="B33" t="str">
        <f t="shared" si="1"/>
        <v>Feb-25</v>
      </c>
      <c r="C33" s="307">
        <v>45708</v>
      </c>
      <c r="D33" s="310">
        <v>1</v>
      </c>
      <c r="E33" s="308">
        <v>60000</v>
      </c>
      <c r="F33" s="3">
        <f t="shared" si="0"/>
        <v>60000</v>
      </c>
      <c r="G33" s="3" t="s">
        <v>1351</v>
      </c>
      <c r="H33" s="308" t="s">
        <v>1012</v>
      </c>
      <c r="I33" s="308" t="s">
        <v>1102</v>
      </c>
      <c r="J33" s="308" t="s">
        <v>1351</v>
      </c>
      <c r="K33" s="308" t="s">
        <v>943</v>
      </c>
      <c r="L33" s="308" t="s">
        <v>1125</v>
      </c>
      <c r="M33" s="308" t="s">
        <v>1215</v>
      </c>
      <c r="N33" s="309">
        <v>45707</v>
      </c>
      <c r="O33" s="308" t="s">
        <v>1286</v>
      </c>
      <c r="P33" s="308" t="s">
        <v>1334</v>
      </c>
    </row>
    <row r="34" spans="2:16" x14ac:dyDescent="0.3">
      <c r="B34" t="str">
        <f t="shared" si="1"/>
        <v>Apr-25</v>
      </c>
      <c r="C34" s="307">
        <v>45754</v>
      </c>
      <c r="D34" s="310">
        <v>156</v>
      </c>
      <c r="E34" s="308">
        <v>4</v>
      </c>
      <c r="F34" s="3">
        <f t="shared" si="0"/>
        <v>624</v>
      </c>
      <c r="G34" s="3" t="s">
        <v>930</v>
      </c>
      <c r="H34" s="308" t="s">
        <v>998</v>
      </c>
      <c r="I34" s="308" t="s">
        <v>1015</v>
      </c>
      <c r="J34" s="308" t="s">
        <v>1353</v>
      </c>
      <c r="K34" s="308" t="s">
        <v>1121</v>
      </c>
      <c r="L34" s="308">
        <v>0</v>
      </c>
      <c r="M34" s="308" t="s">
        <v>1126</v>
      </c>
      <c r="N34" s="309">
        <v>45751</v>
      </c>
      <c r="O34" s="308">
        <v>0</v>
      </c>
      <c r="P34" s="308">
        <v>0</v>
      </c>
    </row>
    <row r="35" spans="2:16" x14ac:dyDescent="0.3">
      <c r="B35" t="str">
        <f t="shared" si="1"/>
        <v>Apr-25</v>
      </c>
      <c r="C35" s="307">
        <v>45763</v>
      </c>
      <c r="D35" s="310">
        <v>159</v>
      </c>
      <c r="E35" s="308">
        <v>4</v>
      </c>
      <c r="F35" s="3">
        <f t="shared" ref="F35:F66" si="2">D35*E35</f>
        <v>636</v>
      </c>
      <c r="G35" s="3" t="s">
        <v>930</v>
      </c>
      <c r="H35" s="308" t="s">
        <v>998</v>
      </c>
      <c r="I35" s="308" t="s">
        <v>1016</v>
      </c>
      <c r="J35" s="308" t="s">
        <v>1356</v>
      </c>
      <c r="K35" s="308" t="s">
        <v>1121</v>
      </c>
      <c r="L35" s="308">
        <v>0</v>
      </c>
      <c r="M35" s="308" t="s">
        <v>1127</v>
      </c>
      <c r="N35" s="309">
        <v>45757</v>
      </c>
      <c r="O35" s="308">
        <v>0</v>
      </c>
      <c r="P35" s="308">
        <v>0</v>
      </c>
    </row>
    <row r="36" spans="2:16" x14ac:dyDescent="0.3">
      <c r="B36" t="str">
        <f t="shared" si="1"/>
        <v>Apr-25</v>
      </c>
      <c r="C36" s="307">
        <v>45772</v>
      </c>
      <c r="D36" s="310">
        <v>115</v>
      </c>
      <c r="E36" s="308">
        <v>4</v>
      </c>
      <c r="F36" s="3">
        <f t="shared" si="2"/>
        <v>460</v>
      </c>
      <c r="G36" s="3" t="s">
        <v>930</v>
      </c>
      <c r="H36" s="308" t="s">
        <v>998</v>
      </c>
      <c r="I36" s="308" t="s">
        <v>1017</v>
      </c>
      <c r="J36" s="308" t="s">
        <v>1351</v>
      </c>
      <c r="K36" s="308" t="s">
        <v>1121</v>
      </c>
      <c r="L36" s="308">
        <v>0</v>
      </c>
      <c r="M36" s="308" t="s">
        <v>1128</v>
      </c>
      <c r="N36" s="309">
        <v>45771</v>
      </c>
      <c r="O36" s="308">
        <v>0</v>
      </c>
      <c r="P36" s="308">
        <v>0</v>
      </c>
    </row>
    <row r="37" spans="2:16" x14ac:dyDescent="0.3">
      <c r="B37" t="str">
        <f t="shared" si="1"/>
        <v>May-25</v>
      </c>
      <c r="C37" s="307">
        <v>45791</v>
      </c>
      <c r="D37" s="310">
        <v>149</v>
      </c>
      <c r="E37" s="308">
        <v>4</v>
      </c>
      <c r="F37" s="3">
        <f t="shared" si="2"/>
        <v>596</v>
      </c>
      <c r="G37" s="3" t="s">
        <v>930</v>
      </c>
      <c r="H37" s="308" t="s">
        <v>998</v>
      </c>
      <c r="I37" s="308" t="s">
        <v>1022</v>
      </c>
      <c r="J37" s="308" t="s">
        <v>1356</v>
      </c>
      <c r="K37" s="308" t="s">
        <v>1121</v>
      </c>
      <c r="L37" s="308">
        <v>0</v>
      </c>
      <c r="M37" s="308" t="s">
        <v>1133</v>
      </c>
      <c r="N37" s="309">
        <v>45786</v>
      </c>
      <c r="O37" s="308">
        <v>0</v>
      </c>
      <c r="P37" s="308">
        <v>0</v>
      </c>
    </row>
    <row r="38" spans="2:16" x14ac:dyDescent="0.3">
      <c r="B38" t="str">
        <f t="shared" si="1"/>
        <v>Jun-25</v>
      </c>
      <c r="C38" s="307">
        <v>45825</v>
      </c>
      <c r="D38" s="310">
        <v>708</v>
      </c>
      <c r="E38" s="308">
        <v>4</v>
      </c>
      <c r="F38" s="3">
        <f t="shared" si="2"/>
        <v>2832</v>
      </c>
      <c r="G38" s="3" t="s">
        <v>930</v>
      </c>
      <c r="H38" s="308" t="s">
        <v>998</v>
      </c>
      <c r="I38" s="308" t="s">
        <v>1024</v>
      </c>
      <c r="J38" s="308" t="s">
        <v>1356</v>
      </c>
      <c r="K38" s="308" t="s">
        <v>1121</v>
      </c>
      <c r="L38" s="308">
        <v>0</v>
      </c>
      <c r="M38" s="308" t="s">
        <v>1135</v>
      </c>
      <c r="N38" s="309">
        <v>45822</v>
      </c>
      <c r="O38" s="308" t="s">
        <v>1249</v>
      </c>
      <c r="P38" s="308">
        <v>0</v>
      </c>
    </row>
    <row r="39" spans="2:16" x14ac:dyDescent="0.3">
      <c r="B39" t="str">
        <f t="shared" si="1"/>
        <v>Jun-25</v>
      </c>
      <c r="C39" s="307">
        <v>45835</v>
      </c>
      <c r="D39" s="310">
        <v>171</v>
      </c>
      <c r="E39" s="308">
        <v>4</v>
      </c>
      <c r="F39" s="3">
        <f t="shared" si="2"/>
        <v>684</v>
      </c>
      <c r="G39" s="3" t="s">
        <v>930</v>
      </c>
      <c r="H39" s="308" t="s">
        <v>998</v>
      </c>
      <c r="I39" s="308" t="s">
        <v>1026</v>
      </c>
      <c r="J39" s="308" t="s">
        <v>1356</v>
      </c>
      <c r="K39" s="308" t="s">
        <v>1121</v>
      </c>
      <c r="L39" s="308">
        <v>0</v>
      </c>
      <c r="M39" s="308" t="s">
        <v>1137</v>
      </c>
      <c r="N39" s="309">
        <v>45828</v>
      </c>
      <c r="O39" s="308">
        <v>0</v>
      </c>
      <c r="P39" s="308">
        <v>0</v>
      </c>
    </row>
    <row r="40" spans="2:16" x14ac:dyDescent="0.3">
      <c r="B40" t="str">
        <f t="shared" si="1"/>
        <v>Oct-24</v>
      </c>
      <c r="C40" s="307">
        <v>45572</v>
      </c>
      <c r="D40" s="310">
        <v>1</v>
      </c>
      <c r="E40" s="308">
        <v>505</v>
      </c>
      <c r="F40" s="3">
        <f t="shared" si="2"/>
        <v>505</v>
      </c>
      <c r="G40" s="3" t="s">
        <v>930</v>
      </c>
      <c r="H40" s="308" t="s">
        <v>999</v>
      </c>
      <c r="I40" s="308" t="s">
        <v>1027</v>
      </c>
      <c r="J40" s="308" t="s">
        <v>1353</v>
      </c>
      <c r="K40" s="308" t="s">
        <v>933</v>
      </c>
      <c r="L40" s="308">
        <v>0</v>
      </c>
      <c r="M40" s="308" t="s">
        <v>1138</v>
      </c>
      <c r="N40" s="309">
        <v>45569</v>
      </c>
      <c r="O40" s="308">
        <v>0</v>
      </c>
      <c r="P40" s="308">
        <v>0</v>
      </c>
    </row>
    <row r="41" spans="2:16" x14ac:dyDescent="0.3">
      <c r="B41" t="str">
        <f t="shared" si="1"/>
        <v>Oct-24</v>
      </c>
      <c r="C41" s="307">
        <v>45572</v>
      </c>
      <c r="D41" s="310">
        <v>1</v>
      </c>
      <c r="E41" s="308">
        <v>416</v>
      </c>
      <c r="F41" s="3">
        <f t="shared" si="2"/>
        <v>416</v>
      </c>
      <c r="G41" s="3" t="s">
        <v>930</v>
      </c>
      <c r="H41" s="308" t="s">
        <v>999</v>
      </c>
      <c r="I41" s="308" t="s">
        <v>1028</v>
      </c>
      <c r="J41" s="308" t="s">
        <v>1353</v>
      </c>
      <c r="K41" s="308" t="s">
        <v>929</v>
      </c>
      <c r="L41" s="308">
        <v>0</v>
      </c>
      <c r="M41" s="308" t="s">
        <v>1139</v>
      </c>
      <c r="N41" s="309">
        <v>45569</v>
      </c>
      <c r="O41" s="308">
        <v>0</v>
      </c>
      <c r="P41" s="308">
        <v>0</v>
      </c>
    </row>
    <row r="42" spans="2:16" x14ac:dyDescent="0.3">
      <c r="B42" t="str">
        <f t="shared" si="1"/>
        <v>Oct-24</v>
      </c>
      <c r="C42" s="307">
        <v>45572</v>
      </c>
      <c r="D42" s="310">
        <v>1</v>
      </c>
      <c r="E42" s="308">
        <v>455</v>
      </c>
      <c r="F42" s="3">
        <f t="shared" si="2"/>
        <v>455</v>
      </c>
      <c r="G42" s="3" t="s">
        <v>930</v>
      </c>
      <c r="H42" s="308" t="s">
        <v>999</v>
      </c>
      <c r="I42" s="308" t="s">
        <v>1028</v>
      </c>
      <c r="J42" s="308" t="s">
        <v>1353</v>
      </c>
      <c r="K42" s="308" t="s">
        <v>932</v>
      </c>
      <c r="L42" s="308">
        <v>0</v>
      </c>
      <c r="M42" s="308" t="s">
        <v>1139</v>
      </c>
      <c r="N42" s="309">
        <v>45569</v>
      </c>
      <c r="O42" s="308">
        <v>0</v>
      </c>
      <c r="P42" s="308">
        <v>0</v>
      </c>
    </row>
    <row r="43" spans="2:16" x14ac:dyDescent="0.3">
      <c r="B43" t="str">
        <f t="shared" si="1"/>
        <v>Oct-24</v>
      </c>
      <c r="C43" s="307">
        <v>45574</v>
      </c>
      <c r="D43" s="310">
        <v>1</v>
      </c>
      <c r="E43" s="308">
        <v>1500</v>
      </c>
      <c r="F43" s="3">
        <f t="shared" si="2"/>
        <v>1500</v>
      </c>
      <c r="G43" s="3" t="s">
        <v>930</v>
      </c>
      <c r="H43" s="308" t="s">
        <v>999</v>
      </c>
      <c r="I43" s="308" t="s">
        <v>1030</v>
      </c>
      <c r="J43" s="308" t="s">
        <v>1353</v>
      </c>
      <c r="K43" s="308" t="s">
        <v>935</v>
      </c>
      <c r="L43" s="308">
        <v>0</v>
      </c>
      <c r="M43" s="308" t="s">
        <v>1141</v>
      </c>
      <c r="N43" s="309">
        <v>45574</v>
      </c>
      <c r="O43" s="308" t="s">
        <v>1251</v>
      </c>
      <c r="P43" s="308" t="s">
        <v>1303</v>
      </c>
    </row>
    <row r="44" spans="2:16" x14ac:dyDescent="0.3">
      <c r="B44" t="str">
        <f t="shared" si="1"/>
        <v>Oct-24</v>
      </c>
      <c r="C44" s="307">
        <v>45579</v>
      </c>
      <c r="D44" s="310">
        <v>1</v>
      </c>
      <c r="E44" s="308">
        <v>263</v>
      </c>
      <c r="F44" s="3">
        <f t="shared" si="2"/>
        <v>263</v>
      </c>
      <c r="G44" s="3" t="s">
        <v>930</v>
      </c>
      <c r="H44" s="308" t="s">
        <v>999</v>
      </c>
      <c r="I44" s="308" t="s">
        <v>1031</v>
      </c>
      <c r="J44" s="308" t="s">
        <v>1353</v>
      </c>
      <c r="K44" s="308" t="s">
        <v>933</v>
      </c>
      <c r="L44" s="308">
        <v>0</v>
      </c>
      <c r="M44" s="308" t="s">
        <v>1142</v>
      </c>
      <c r="N44" s="309">
        <v>45575</v>
      </c>
      <c r="O44" s="308">
        <v>0</v>
      </c>
      <c r="P44" s="308">
        <v>0</v>
      </c>
    </row>
    <row r="45" spans="2:16" x14ac:dyDescent="0.3">
      <c r="B45" t="str">
        <f t="shared" si="1"/>
        <v>Oct-24</v>
      </c>
      <c r="C45" s="307">
        <v>45579</v>
      </c>
      <c r="D45" s="310">
        <v>1</v>
      </c>
      <c r="E45" s="308">
        <v>970</v>
      </c>
      <c r="F45" s="3">
        <f t="shared" si="2"/>
        <v>970</v>
      </c>
      <c r="G45" s="3" t="s">
        <v>930</v>
      </c>
      <c r="H45" s="308" t="s">
        <v>999</v>
      </c>
      <c r="I45" s="308" t="s">
        <v>1032</v>
      </c>
      <c r="J45" s="308" t="s">
        <v>1353</v>
      </c>
      <c r="K45" s="308" t="s">
        <v>929</v>
      </c>
      <c r="L45" s="308">
        <v>0</v>
      </c>
      <c r="M45" s="308" t="s">
        <v>1143</v>
      </c>
      <c r="N45" s="309">
        <v>45576</v>
      </c>
      <c r="O45" s="308">
        <v>0</v>
      </c>
      <c r="P45" s="308">
        <v>0</v>
      </c>
    </row>
    <row r="46" spans="2:16" x14ac:dyDescent="0.3">
      <c r="B46" t="str">
        <f t="shared" si="1"/>
        <v>Oct-24</v>
      </c>
      <c r="C46" s="307">
        <v>45579</v>
      </c>
      <c r="D46" s="310">
        <v>1</v>
      </c>
      <c r="E46" s="308">
        <v>970</v>
      </c>
      <c r="F46" s="3">
        <f t="shared" si="2"/>
        <v>970</v>
      </c>
      <c r="G46" s="3" t="s">
        <v>930</v>
      </c>
      <c r="H46" s="308" t="s">
        <v>999</v>
      </c>
      <c r="I46" s="308" t="s">
        <v>1032</v>
      </c>
      <c r="J46" s="308" t="s">
        <v>1354</v>
      </c>
      <c r="K46" s="308" t="s">
        <v>932</v>
      </c>
      <c r="L46" s="308">
        <v>0</v>
      </c>
      <c r="M46" s="308" t="s">
        <v>1143</v>
      </c>
      <c r="N46" s="309">
        <v>45576</v>
      </c>
      <c r="O46" s="308">
        <v>0</v>
      </c>
      <c r="P46" s="308">
        <v>0</v>
      </c>
    </row>
    <row r="47" spans="2:16" x14ac:dyDescent="0.3">
      <c r="B47" t="str">
        <f t="shared" si="1"/>
        <v>Oct-24</v>
      </c>
      <c r="C47" s="307">
        <v>45586</v>
      </c>
      <c r="D47" s="310">
        <v>1</v>
      </c>
      <c r="E47" s="308">
        <v>968</v>
      </c>
      <c r="F47" s="3">
        <f t="shared" si="2"/>
        <v>968</v>
      </c>
      <c r="G47" s="3" t="s">
        <v>930</v>
      </c>
      <c r="H47" s="308" t="s">
        <v>999</v>
      </c>
      <c r="I47" s="308" t="s">
        <v>1033</v>
      </c>
      <c r="J47" s="308" t="s">
        <v>1354</v>
      </c>
      <c r="K47" s="308" t="s">
        <v>929</v>
      </c>
      <c r="L47" s="308">
        <v>0</v>
      </c>
      <c r="M47" s="308" t="s">
        <v>1144</v>
      </c>
      <c r="N47" s="309">
        <v>45583</v>
      </c>
      <c r="O47" s="308">
        <v>0</v>
      </c>
      <c r="P47" s="308">
        <v>0</v>
      </c>
    </row>
    <row r="48" spans="2:16" x14ac:dyDescent="0.3">
      <c r="B48" t="str">
        <f t="shared" si="1"/>
        <v>Oct-24</v>
      </c>
      <c r="C48" s="307">
        <v>45586</v>
      </c>
      <c r="D48" s="310">
        <v>1</v>
      </c>
      <c r="E48" s="308">
        <v>970</v>
      </c>
      <c r="F48" s="3">
        <f t="shared" si="2"/>
        <v>970</v>
      </c>
      <c r="G48" s="3" t="s">
        <v>930</v>
      </c>
      <c r="H48" s="308" t="s">
        <v>999</v>
      </c>
      <c r="I48" s="308" t="s">
        <v>1033</v>
      </c>
      <c r="J48" s="308" t="s">
        <v>1354</v>
      </c>
      <c r="K48" s="308" t="s">
        <v>932</v>
      </c>
      <c r="L48" s="308">
        <v>0</v>
      </c>
      <c r="M48" s="308" t="s">
        <v>1144</v>
      </c>
      <c r="N48" s="309">
        <v>45583</v>
      </c>
      <c r="O48" s="308">
        <v>0</v>
      </c>
      <c r="P48" s="308">
        <v>0</v>
      </c>
    </row>
    <row r="49" spans="2:16" x14ac:dyDescent="0.3">
      <c r="B49" t="str">
        <f t="shared" si="1"/>
        <v>Oct-24</v>
      </c>
      <c r="C49" s="307">
        <v>45586</v>
      </c>
      <c r="D49" s="310">
        <v>1</v>
      </c>
      <c r="E49" s="308">
        <v>257</v>
      </c>
      <c r="F49" s="3">
        <f t="shared" si="2"/>
        <v>257</v>
      </c>
      <c r="G49" s="3" t="s">
        <v>930</v>
      </c>
      <c r="H49" s="308" t="s">
        <v>999</v>
      </c>
      <c r="I49" s="308" t="s">
        <v>1034</v>
      </c>
      <c r="J49" s="308" t="s">
        <v>1354</v>
      </c>
      <c r="K49" s="308" t="s">
        <v>933</v>
      </c>
      <c r="L49" s="308">
        <v>0</v>
      </c>
      <c r="M49" s="308" t="s">
        <v>1145</v>
      </c>
      <c r="N49" s="309">
        <v>45583</v>
      </c>
      <c r="O49" s="308">
        <v>0</v>
      </c>
      <c r="P49" s="308">
        <v>0</v>
      </c>
    </row>
    <row r="50" spans="2:16" x14ac:dyDescent="0.3">
      <c r="B50" t="str">
        <f t="shared" si="1"/>
        <v>Oct-24</v>
      </c>
      <c r="C50" s="307">
        <v>45593</v>
      </c>
      <c r="D50" s="310">
        <v>1</v>
      </c>
      <c r="E50" s="308">
        <v>790</v>
      </c>
      <c r="F50" s="3">
        <f t="shared" si="2"/>
        <v>790</v>
      </c>
      <c r="G50" s="3" t="s">
        <v>930</v>
      </c>
      <c r="H50" s="308" t="s">
        <v>999</v>
      </c>
      <c r="I50" s="308" t="s">
        <v>1035</v>
      </c>
      <c r="J50" s="308" t="s">
        <v>1354</v>
      </c>
      <c r="K50" s="308" t="s">
        <v>932</v>
      </c>
      <c r="L50" s="308">
        <v>0</v>
      </c>
      <c r="M50" s="308" t="s">
        <v>1146</v>
      </c>
      <c r="N50" s="309">
        <v>45590</v>
      </c>
      <c r="O50" s="308">
        <v>0</v>
      </c>
      <c r="P50" s="308">
        <v>0</v>
      </c>
    </row>
    <row r="51" spans="2:16" x14ac:dyDescent="0.3">
      <c r="B51" t="str">
        <f t="shared" si="1"/>
        <v>Oct-24</v>
      </c>
      <c r="C51" s="307">
        <v>45593</v>
      </c>
      <c r="D51" s="310">
        <v>1</v>
      </c>
      <c r="E51" s="308">
        <v>1173</v>
      </c>
      <c r="F51" s="3">
        <f t="shared" si="2"/>
        <v>1173</v>
      </c>
      <c r="G51" s="3" t="s">
        <v>930</v>
      </c>
      <c r="H51" s="308" t="s">
        <v>999</v>
      </c>
      <c r="I51" s="308" t="s">
        <v>1035</v>
      </c>
      <c r="J51" s="308" t="s">
        <v>1353</v>
      </c>
      <c r="K51" s="308" t="s">
        <v>929</v>
      </c>
      <c r="L51" s="308">
        <v>0</v>
      </c>
      <c r="M51" s="308" t="s">
        <v>1146</v>
      </c>
      <c r="N51" s="309">
        <v>45590</v>
      </c>
      <c r="O51" s="308">
        <v>0</v>
      </c>
      <c r="P51" s="308">
        <v>0</v>
      </c>
    </row>
    <row r="52" spans="2:16" x14ac:dyDescent="0.3">
      <c r="B52" t="str">
        <f t="shared" si="1"/>
        <v>Oct-24</v>
      </c>
      <c r="C52" s="307">
        <v>45593</v>
      </c>
      <c r="D52" s="310">
        <v>1</v>
      </c>
      <c r="E52" s="308">
        <v>552</v>
      </c>
      <c r="F52" s="3">
        <f t="shared" si="2"/>
        <v>552</v>
      </c>
      <c r="G52" s="3" t="s">
        <v>930</v>
      </c>
      <c r="H52" s="308" t="s">
        <v>999</v>
      </c>
      <c r="I52" s="308" t="s">
        <v>1036</v>
      </c>
      <c r="J52" s="308" t="s">
        <v>1353</v>
      </c>
      <c r="K52" s="308" t="s">
        <v>933</v>
      </c>
      <c r="L52" s="308">
        <v>0</v>
      </c>
      <c r="M52" s="308" t="s">
        <v>1147</v>
      </c>
      <c r="N52" s="309">
        <v>45590</v>
      </c>
      <c r="O52" s="308">
        <v>0</v>
      </c>
      <c r="P52" s="308">
        <v>0</v>
      </c>
    </row>
    <row r="53" spans="2:16" x14ac:dyDescent="0.3">
      <c r="B53" t="str">
        <f t="shared" si="1"/>
        <v>Oct-24</v>
      </c>
      <c r="C53" s="307">
        <v>45594</v>
      </c>
      <c r="D53" s="310">
        <v>1</v>
      </c>
      <c r="E53" s="308">
        <v>3282.44</v>
      </c>
      <c r="F53" s="3">
        <f t="shared" si="2"/>
        <v>3282.44</v>
      </c>
      <c r="G53" s="3" t="s">
        <v>930</v>
      </c>
      <c r="H53" s="308" t="s">
        <v>999</v>
      </c>
      <c r="I53" s="308" t="s">
        <v>1037</v>
      </c>
      <c r="J53" s="308" t="s">
        <v>1353</v>
      </c>
      <c r="K53" s="308" t="s">
        <v>935</v>
      </c>
      <c r="L53" s="308">
        <v>0</v>
      </c>
      <c r="M53" s="308" t="s">
        <v>1148</v>
      </c>
      <c r="N53" s="309">
        <v>45593</v>
      </c>
      <c r="O53" s="308" t="s">
        <v>1252</v>
      </c>
      <c r="P53" s="308" t="s">
        <v>1303</v>
      </c>
    </row>
    <row r="54" spans="2:16" x14ac:dyDescent="0.3">
      <c r="B54" t="str">
        <f t="shared" si="1"/>
        <v>Oct-24</v>
      </c>
      <c r="C54" s="307">
        <v>45596</v>
      </c>
      <c r="D54" s="310">
        <v>1</v>
      </c>
      <c r="E54" s="308">
        <v>711</v>
      </c>
      <c r="F54" s="3">
        <f t="shared" si="2"/>
        <v>711</v>
      </c>
      <c r="G54" s="3" t="s">
        <v>930</v>
      </c>
      <c r="H54" s="308" t="s">
        <v>999</v>
      </c>
      <c r="I54" s="308" t="s">
        <v>1038</v>
      </c>
      <c r="J54" s="308" t="s">
        <v>1355</v>
      </c>
      <c r="K54" s="308" t="s">
        <v>929</v>
      </c>
      <c r="L54" s="308">
        <v>0</v>
      </c>
      <c r="M54" s="308" t="s">
        <v>1149</v>
      </c>
      <c r="N54" s="309">
        <v>45595</v>
      </c>
      <c r="O54" s="308">
        <v>0</v>
      </c>
      <c r="P54" s="308">
        <v>0</v>
      </c>
    </row>
    <row r="55" spans="2:16" x14ac:dyDescent="0.3">
      <c r="B55" t="str">
        <f t="shared" si="1"/>
        <v>Oct-24</v>
      </c>
      <c r="C55" s="307">
        <v>45596</v>
      </c>
      <c r="D55" s="310">
        <v>1</v>
      </c>
      <c r="E55" s="308">
        <v>1030</v>
      </c>
      <c r="F55" s="3">
        <f t="shared" si="2"/>
        <v>1030</v>
      </c>
      <c r="G55" s="3" t="s">
        <v>930</v>
      </c>
      <c r="H55" s="308" t="s">
        <v>999</v>
      </c>
      <c r="I55" s="308" t="s">
        <v>1038</v>
      </c>
      <c r="J55" s="308" t="s">
        <v>1355</v>
      </c>
      <c r="K55" s="308" t="s">
        <v>932</v>
      </c>
      <c r="L55" s="308">
        <v>0</v>
      </c>
      <c r="M55" s="308" t="s">
        <v>1149</v>
      </c>
      <c r="N55" s="309">
        <v>45595</v>
      </c>
      <c r="O55" s="308">
        <v>0</v>
      </c>
      <c r="P55" s="308">
        <v>0</v>
      </c>
    </row>
    <row r="56" spans="2:16" x14ac:dyDescent="0.3">
      <c r="B56" t="str">
        <f t="shared" si="1"/>
        <v>Oct-24</v>
      </c>
      <c r="C56" s="307">
        <v>45596</v>
      </c>
      <c r="D56" s="310">
        <v>1</v>
      </c>
      <c r="E56" s="308">
        <v>465</v>
      </c>
      <c r="F56" s="3">
        <f t="shared" si="2"/>
        <v>465</v>
      </c>
      <c r="G56" s="3" t="s">
        <v>930</v>
      </c>
      <c r="H56" s="308" t="s">
        <v>999</v>
      </c>
      <c r="I56" s="308" t="s">
        <v>1039</v>
      </c>
      <c r="J56" s="308" t="s">
        <v>1353</v>
      </c>
      <c r="K56" s="308" t="s">
        <v>933</v>
      </c>
      <c r="L56" s="308">
        <v>0</v>
      </c>
      <c r="M56" s="308" t="s">
        <v>1150</v>
      </c>
      <c r="N56" s="309">
        <v>45595</v>
      </c>
      <c r="O56" s="308">
        <v>0</v>
      </c>
      <c r="P56" s="308">
        <v>0</v>
      </c>
    </row>
    <row r="57" spans="2:16" x14ac:dyDescent="0.3">
      <c r="B57" t="str">
        <f t="shared" si="1"/>
        <v>Nov-24</v>
      </c>
      <c r="C57" s="307">
        <v>45600</v>
      </c>
      <c r="D57" s="310">
        <v>1</v>
      </c>
      <c r="E57" s="308">
        <v>505</v>
      </c>
      <c r="F57" s="3">
        <f t="shared" si="2"/>
        <v>505</v>
      </c>
      <c r="G57" s="3" t="s">
        <v>930</v>
      </c>
      <c r="H57" s="308" t="s">
        <v>999</v>
      </c>
      <c r="I57" s="308" t="s">
        <v>1040</v>
      </c>
      <c r="J57" s="308" t="s">
        <v>1353</v>
      </c>
      <c r="K57" s="308" t="s">
        <v>929</v>
      </c>
      <c r="L57" s="308">
        <v>0</v>
      </c>
      <c r="M57" s="308" t="s">
        <v>1151</v>
      </c>
      <c r="N57" s="309">
        <v>45599</v>
      </c>
      <c r="O57" s="308">
        <v>0</v>
      </c>
      <c r="P57" s="308">
        <v>0</v>
      </c>
    </row>
    <row r="58" spans="2:16" x14ac:dyDescent="0.3">
      <c r="B58" t="str">
        <f t="shared" si="1"/>
        <v>Nov-24</v>
      </c>
      <c r="C58" s="307">
        <v>45607</v>
      </c>
      <c r="D58" s="310">
        <v>1</v>
      </c>
      <c r="E58" s="308">
        <v>1055</v>
      </c>
      <c r="F58" s="3">
        <f t="shared" si="2"/>
        <v>1055</v>
      </c>
      <c r="G58" s="3" t="s">
        <v>930</v>
      </c>
      <c r="H58" s="308" t="s">
        <v>999</v>
      </c>
      <c r="I58" s="308" t="s">
        <v>1042</v>
      </c>
      <c r="J58" s="308" t="s">
        <v>1353</v>
      </c>
      <c r="K58" s="308" t="s">
        <v>929</v>
      </c>
      <c r="L58" s="308">
        <v>0</v>
      </c>
      <c r="M58" s="308" t="s">
        <v>1153</v>
      </c>
      <c r="N58" s="309">
        <v>45606</v>
      </c>
      <c r="O58" s="308">
        <v>0</v>
      </c>
      <c r="P58" s="308">
        <v>0</v>
      </c>
    </row>
    <row r="59" spans="2:16" x14ac:dyDescent="0.3">
      <c r="B59" t="str">
        <f t="shared" si="1"/>
        <v>Nov-24</v>
      </c>
      <c r="C59" s="307">
        <v>45607</v>
      </c>
      <c r="D59" s="310">
        <v>1</v>
      </c>
      <c r="E59" s="308">
        <v>830</v>
      </c>
      <c r="F59" s="3">
        <f t="shared" si="2"/>
        <v>830</v>
      </c>
      <c r="G59" s="3" t="s">
        <v>930</v>
      </c>
      <c r="H59" s="308" t="s">
        <v>999</v>
      </c>
      <c r="I59" s="308" t="s">
        <v>1042</v>
      </c>
      <c r="J59" s="308" t="s">
        <v>1353</v>
      </c>
      <c r="K59" s="308" t="s">
        <v>932</v>
      </c>
      <c r="L59" s="308">
        <v>0</v>
      </c>
      <c r="M59" s="308" t="s">
        <v>1153</v>
      </c>
      <c r="N59" s="309">
        <v>45606</v>
      </c>
      <c r="O59" s="308">
        <v>0</v>
      </c>
      <c r="P59" s="308">
        <v>0</v>
      </c>
    </row>
    <row r="60" spans="2:16" x14ac:dyDescent="0.3">
      <c r="B60" t="str">
        <f t="shared" si="1"/>
        <v>Nov-24</v>
      </c>
      <c r="C60" s="307">
        <v>45607</v>
      </c>
      <c r="D60" s="310">
        <v>1</v>
      </c>
      <c r="E60" s="308">
        <v>1576</v>
      </c>
      <c r="F60" s="3">
        <f t="shared" si="2"/>
        <v>1576</v>
      </c>
      <c r="G60" s="3" t="s">
        <v>930</v>
      </c>
      <c r="H60" s="308" t="s">
        <v>999</v>
      </c>
      <c r="I60" s="308" t="s">
        <v>1043</v>
      </c>
      <c r="J60" s="308" t="s">
        <v>1353</v>
      </c>
      <c r="K60" s="308" t="s">
        <v>933</v>
      </c>
      <c r="L60" s="308">
        <v>0</v>
      </c>
      <c r="M60" s="308" t="s">
        <v>1154</v>
      </c>
      <c r="N60" s="309">
        <v>45605</v>
      </c>
      <c r="O60" s="308" t="s">
        <v>1254</v>
      </c>
      <c r="P60" s="308">
        <v>0</v>
      </c>
    </row>
    <row r="61" spans="2:16" x14ac:dyDescent="0.3">
      <c r="B61" t="str">
        <f t="shared" si="1"/>
        <v>Nov-24</v>
      </c>
      <c r="C61" s="307">
        <v>45616</v>
      </c>
      <c r="D61" s="310">
        <v>1</v>
      </c>
      <c r="E61" s="308">
        <v>715</v>
      </c>
      <c r="F61" s="3">
        <f t="shared" si="2"/>
        <v>715</v>
      </c>
      <c r="G61" s="3" t="s">
        <v>930</v>
      </c>
      <c r="H61" s="308" t="s">
        <v>999</v>
      </c>
      <c r="I61" s="308" t="s">
        <v>1046</v>
      </c>
      <c r="J61" s="308" t="s">
        <v>1353</v>
      </c>
      <c r="K61" s="308" t="s">
        <v>932</v>
      </c>
      <c r="L61" s="308">
        <v>0</v>
      </c>
      <c r="M61" s="308" t="s">
        <v>1157</v>
      </c>
      <c r="N61" s="309">
        <v>45615</v>
      </c>
      <c r="O61" s="308">
        <v>0</v>
      </c>
      <c r="P61" s="308">
        <v>0</v>
      </c>
    </row>
    <row r="62" spans="2:16" x14ac:dyDescent="0.3">
      <c r="B62" t="str">
        <f t="shared" si="1"/>
        <v>Nov-24</v>
      </c>
      <c r="C62" s="307">
        <v>45616</v>
      </c>
      <c r="D62" s="310">
        <v>1</v>
      </c>
      <c r="E62" s="308">
        <v>848</v>
      </c>
      <c r="F62" s="3">
        <f t="shared" si="2"/>
        <v>848</v>
      </c>
      <c r="G62" s="3" t="s">
        <v>930</v>
      </c>
      <c r="H62" s="308" t="s">
        <v>999</v>
      </c>
      <c r="I62" s="308" t="s">
        <v>1046</v>
      </c>
      <c r="J62" s="308" t="s">
        <v>1355</v>
      </c>
      <c r="K62" s="308" t="s">
        <v>929</v>
      </c>
      <c r="L62" s="308">
        <v>0</v>
      </c>
      <c r="M62" s="308" t="s">
        <v>1157</v>
      </c>
      <c r="N62" s="309">
        <v>45615</v>
      </c>
      <c r="O62" s="308">
        <v>0</v>
      </c>
      <c r="P62" s="308">
        <v>0</v>
      </c>
    </row>
    <row r="63" spans="2:16" x14ac:dyDescent="0.3">
      <c r="B63" t="str">
        <f t="shared" si="1"/>
        <v>Nov-24</v>
      </c>
      <c r="C63" s="307">
        <v>45626</v>
      </c>
      <c r="D63" s="310">
        <v>1</v>
      </c>
      <c r="E63" s="308">
        <v>8840</v>
      </c>
      <c r="F63" s="3">
        <f t="shared" si="2"/>
        <v>8840</v>
      </c>
      <c r="G63" s="3" t="s">
        <v>930</v>
      </c>
      <c r="H63" s="308" t="s">
        <v>999</v>
      </c>
      <c r="I63" s="308" t="s">
        <v>1111</v>
      </c>
      <c r="J63" s="308" t="s">
        <v>1353</v>
      </c>
      <c r="K63" s="308" t="s">
        <v>936</v>
      </c>
      <c r="L63" s="308" t="s">
        <v>1125</v>
      </c>
      <c r="M63" s="308" t="s">
        <v>1230</v>
      </c>
      <c r="N63" s="309">
        <v>45608</v>
      </c>
      <c r="O63" s="308" t="s">
        <v>1267</v>
      </c>
      <c r="P63" s="308" t="s">
        <v>1341</v>
      </c>
    </row>
    <row r="64" spans="2:16" x14ac:dyDescent="0.3">
      <c r="B64" t="str">
        <f t="shared" si="1"/>
        <v>Nov-24</v>
      </c>
      <c r="C64" s="307">
        <v>45626</v>
      </c>
      <c r="D64" s="310">
        <v>1</v>
      </c>
      <c r="E64" s="308">
        <v>4165</v>
      </c>
      <c r="F64" s="3">
        <f t="shared" si="2"/>
        <v>4165</v>
      </c>
      <c r="G64" s="3" t="s">
        <v>930</v>
      </c>
      <c r="H64" s="308" t="s">
        <v>999</v>
      </c>
      <c r="I64" s="308" t="s">
        <v>1069</v>
      </c>
      <c r="J64" s="308" t="s">
        <v>1353</v>
      </c>
      <c r="K64" s="308" t="s">
        <v>936</v>
      </c>
      <c r="L64" s="308" t="s">
        <v>1125</v>
      </c>
      <c r="M64" s="308" t="s">
        <v>1231</v>
      </c>
      <c r="N64" s="309">
        <v>45608</v>
      </c>
      <c r="O64" s="308" t="s">
        <v>1267</v>
      </c>
      <c r="P64" s="308" t="s">
        <v>1341</v>
      </c>
    </row>
    <row r="65" spans="2:16" x14ac:dyDescent="0.3">
      <c r="B65" t="str">
        <f t="shared" si="1"/>
        <v>Nov-24</v>
      </c>
      <c r="C65" s="307">
        <v>45626</v>
      </c>
      <c r="D65" s="310">
        <v>1</v>
      </c>
      <c r="E65" s="308">
        <v>2210</v>
      </c>
      <c r="F65" s="3">
        <f t="shared" si="2"/>
        <v>2210</v>
      </c>
      <c r="G65" s="3" t="s">
        <v>930</v>
      </c>
      <c r="H65" s="308" t="s">
        <v>999</v>
      </c>
      <c r="I65" s="308" t="s">
        <v>1077</v>
      </c>
      <c r="J65" s="308" t="s">
        <v>1355</v>
      </c>
      <c r="K65" s="308" t="s">
        <v>936</v>
      </c>
      <c r="L65" s="308" t="s">
        <v>1125</v>
      </c>
      <c r="M65" s="308" t="s">
        <v>1232</v>
      </c>
      <c r="N65" s="309">
        <v>45626</v>
      </c>
      <c r="O65" s="308" t="s">
        <v>1267</v>
      </c>
      <c r="P65" s="308" t="s">
        <v>1341</v>
      </c>
    </row>
    <row r="66" spans="2:16" x14ac:dyDescent="0.3">
      <c r="B66" t="str">
        <f t="shared" si="1"/>
        <v>Dec-24</v>
      </c>
      <c r="C66" s="307">
        <v>45628</v>
      </c>
      <c r="D66" s="310">
        <v>1</v>
      </c>
      <c r="E66" s="308">
        <v>910</v>
      </c>
      <c r="F66" s="3">
        <f t="shared" si="2"/>
        <v>910</v>
      </c>
      <c r="G66" s="3" t="s">
        <v>930</v>
      </c>
      <c r="H66" s="308" t="s">
        <v>999</v>
      </c>
      <c r="I66" s="308" t="s">
        <v>1047</v>
      </c>
      <c r="J66" s="308" t="s">
        <v>1353</v>
      </c>
      <c r="K66" s="308" t="s">
        <v>932</v>
      </c>
      <c r="L66" s="308">
        <v>0</v>
      </c>
      <c r="M66" s="308" t="s">
        <v>1158</v>
      </c>
      <c r="N66" s="309">
        <v>45626</v>
      </c>
      <c r="O66" s="308">
        <v>0</v>
      </c>
      <c r="P66" s="308">
        <v>0</v>
      </c>
    </row>
    <row r="67" spans="2:16" x14ac:dyDescent="0.3">
      <c r="B67" t="str">
        <f t="shared" si="1"/>
        <v>Dec-24</v>
      </c>
      <c r="C67" s="307">
        <v>45638</v>
      </c>
      <c r="D67" s="310">
        <v>1</v>
      </c>
      <c r="E67" s="308">
        <v>6436</v>
      </c>
      <c r="F67" s="3">
        <f t="shared" ref="F67:F98" si="3">D67*E67</f>
        <v>6436</v>
      </c>
      <c r="G67" s="3" t="s">
        <v>930</v>
      </c>
      <c r="H67" s="308" t="s">
        <v>999</v>
      </c>
      <c r="I67" s="308" t="s">
        <v>1105</v>
      </c>
      <c r="J67" s="308" t="s">
        <v>1353</v>
      </c>
      <c r="K67" s="308" t="s">
        <v>936</v>
      </c>
      <c r="L67" s="308" t="s">
        <v>1125</v>
      </c>
      <c r="M67" s="308" t="s">
        <v>1233</v>
      </c>
      <c r="N67" s="309">
        <v>45636</v>
      </c>
      <c r="O67" s="308" t="s">
        <v>1267</v>
      </c>
      <c r="P67" s="308" t="s">
        <v>1341</v>
      </c>
    </row>
    <row r="68" spans="2:16" x14ac:dyDescent="0.3">
      <c r="B68" t="str">
        <f t="shared" ref="B68:B131" si="4">TEXT(C68,"mmm-yy")</f>
        <v>Dec-24</v>
      </c>
      <c r="C68" s="307">
        <v>45644</v>
      </c>
      <c r="D68" s="310">
        <v>1</v>
      </c>
      <c r="E68" s="308">
        <v>6980</v>
      </c>
      <c r="F68" s="3">
        <f t="shared" si="3"/>
        <v>6980</v>
      </c>
      <c r="G68" s="3" t="s">
        <v>930</v>
      </c>
      <c r="H68" s="308" t="s">
        <v>999</v>
      </c>
      <c r="I68" s="308" t="s">
        <v>1108</v>
      </c>
      <c r="J68" s="308" t="s">
        <v>1353</v>
      </c>
      <c r="K68" s="308" t="s">
        <v>936</v>
      </c>
      <c r="L68" s="308" t="s">
        <v>1125</v>
      </c>
      <c r="M68" s="308" t="s">
        <v>1234</v>
      </c>
      <c r="N68" s="309">
        <v>45643</v>
      </c>
      <c r="O68" s="308" t="s">
        <v>1267</v>
      </c>
      <c r="P68" s="308" t="s">
        <v>1341</v>
      </c>
    </row>
    <row r="69" spans="2:16" x14ac:dyDescent="0.3">
      <c r="B69" t="str">
        <f t="shared" si="4"/>
        <v>Dec-24</v>
      </c>
      <c r="C69" s="307">
        <v>45646</v>
      </c>
      <c r="D69" s="310">
        <v>1</v>
      </c>
      <c r="E69" s="308">
        <v>385</v>
      </c>
      <c r="F69" s="3">
        <f t="shared" si="3"/>
        <v>385</v>
      </c>
      <c r="G69" s="3" t="s">
        <v>930</v>
      </c>
      <c r="H69" s="308" t="s">
        <v>999</v>
      </c>
      <c r="I69" s="308" t="s">
        <v>1049</v>
      </c>
      <c r="J69" s="308" t="s">
        <v>1353</v>
      </c>
      <c r="K69" s="308" t="s">
        <v>929</v>
      </c>
      <c r="L69" s="308">
        <v>0</v>
      </c>
      <c r="M69" s="308" t="s">
        <v>1160</v>
      </c>
      <c r="N69" s="309">
        <v>45645</v>
      </c>
      <c r="O69" s="308">
        <v>0</v>
      </c>
      <c r="P69" s="308">
        <v>0</v>
      </c>
    </row>
    <row r="70" spans="2:16" x14ac:dyDescent="0.3">
      <c r="B70" t="str">
        <f t="shared" si="4"/>
        <v>Dec-24</v>
      </c>
      <c r="C70" s="307">
        <v>45646</v>
      </c>
      <c r="D70" s="310">
        <v>1</v>
      </c>
      <c r="E70" s="308">
        <v>2885</v>
      </c>
      <c r="F70" s="3">
        <f t="shared" si="3"/>
        <v>2885</v>
      </c>
      <c r="G70" s="3" t="s">
        <v>930</v>
      </c>
      <c r="H70" s="308" t="s">
        <v>999</v>
      </c>
      <c r="I70" s="308" t="s">
        <v>1050</v>
      </c>
      <c r="J70" s="308" t="s">
        <v>1353</v>
      </c>
      <c r="K70" s="308" t="s">
        <v>933</v>
      </c>
      <c r="L70" s="308">
        <v>0</v>
      </c>
      <c r="M70" s="308" t="s">
        <v>1161</v>
      </c>
      <c r="N70" s="309">
        <v>45643</v>
      </c>
      <c r="O70" s="308" t="s">
        <v>1257</v>
      </c>
      <c r="P70" s="308">
        <v>0</v>
      </c>
    </row>
    <row r="71" spans="2:16" x14ac:dyDescent="0.3">
      <c r="B71" t="str">
        <f t="shared" si="4"/>
        <v>Dec-24</v>
      </c>
      <c r="C71" s="307">
        <v>45650</v>
      </c>
      <c r="D71" s="310">
        <v>1</v>
      </c>
      <c r="E71" s="308">
        <v>125</v>
      </c>
      <c r="F71" s="3">
        <f t="shared" si="3"/>
        <v>125</v>
      </c>
      <c r="G71" s="3" t="s">
        <v>930</v>
      </c>
      <c r="H71" s="308" t="s">
        <v>999</v>
      </c>
      <c r="I71" s="308" t="s">
        <v>1051</v>
      </c>
      <c r="J71" s="308" t="s">
        <v>1353</v>
      </c>
      <c r="K71" s="308" t="s">
        <v>929</v>
      </c>
      <c r="L71" s="308">
        <v>0</v>
      </c>
      <c r="M71" s="308" t="s">
        <v>1162</v>
      </c>
      <c r="N71" s="309">
        <v>45649</v>
      </c>
      <c r="O71" s="308">
        <v>0</v>
      </c>
      <c r="P71" s="308">
        <v>0</v>
      </c>
    </row>
    <row r="72" spans="2:16" x14ac:dyDescent="0.3">
      <c r="B72" t="str">
        <f t="shared" si="4"/>
        <v>Dec-24</v>
      </c>
      <c r="C72" s="307">
        <v>45650</v>
      </c>
      <c r="D72" s="310">
        <v>1</v>
      </c>
      <c r="E72" s="308">
        <v>1030</v>
      </c>
      <c r="F72" s="3">
        <f t="shared" si="3"/>
        <v>1030</v>
      </c>
      <c r="G72" s="3" t="s">
        <v>930</v>
      </c>
      <c r="H72" s="308" t="s">
        <v>999</v>
      </c>
      <c r="I72" s="308" t="s">
        <v>1051</v>
      </c>
      <c r="J72" s="308" t="s">
        <v>1353</v>
      </c>
      <c r="K72" s="308" t="s">
        <v>932</v>
      </c>
      <c r="L72" s="308">
        <v>0</v>
      </c>
      <c r="M72" s="308" t="s">
        <v>1162</v>
      </c>
      <c r="N72" s="309">
        <v>45649</v>
      </c>
      <c r="O72" s="308">
        <v>0</v>
      </c>
      <c r="P72" s="308">
        <v>0</v>
      </c>
    </row>
    <row r="73" spans="2:16" x14ac:dyDescent="0.3">
      <c r="B73" t="str">
        <f t="shared" si="4"/>
        <v>Dec-24</v>
      </c>
      <c r="C73" s="307">
        <v>45656</v>
      </c>
      <c r="D73" s="310">
        <v>1</v>
      </c>
      <c r="E73" s="308">
        <v>324</v>
      </c>
      <c r="F73" s="3">
        <f t="shared" si="3"/>
        <v>324</v>
      </c>
      <c r="G73" s="3" t="s">
        <v>930</v>
      </c>
      <c r="H73" s="308" t="s">
        <v>999</v>
      </c>
      <c r="I73" s="308" t="s">
        <v>1052</v>
      </c>
      <c r="J73" s="308" t="s">
        <v>1355</v>
      </c>
      <c r="K73" s="308" t="s">
        <v>929</v>
      </c>
      <c r="L73" s="308">
        <v>0</v>
      </c>
      <c r="M73" s="308" t="s">
        <v>1163</v>
      </c>
      <c r="N73" s="309">
        <v>45653</v>
      </c>
      <c r="O73" s="308">
        <v>0</v>
      </c>
      <c r="P73" s="308">
        <v>0</v>
      </c>
    </row>
    <row r="74" spans="2:16" x14ac:dyDescent="0.3">
      <c r="B74" t="str">
        <f t="shared" si="4"/>
        <v>Dec-24</v>
      </c>
      <c r="C74" s="307">
        <v>45656</v>
      </c>
      <c r="D74" s="310">
        <v>1</v>
      </c>
      <c r="E74" s="308">
        <v>455</v>
      </c>
      <c r="F74" s="3">
        <f t="shared" si="3"/>
        <v>455</v>
      </c>
      <c r="G74" s="3" t="s">
        <v>930</v>
      </c>
      <c r="H74" s="308" t="s">
        <v>999</v>
      </c>
      <c r="I74" s="308" t="s">
        <v>1052</v>
      </c>
      <c r="J74" s="308" t="s">
        <v>1353</v>
      </c>
      <c r="K74" s="308" t="s">
        <v>932</v>
      </c>
      <c r="L74" s="308">
        <v>0</v>
      </c>
      <c r="M74" s="308" t="s">
        <v>1163</v>
      </c>
      <c r="N74" s="309">
        <v>45653</v>
      </c>
      <c r="O74" s="308">
        <v>0</v>
      </c>
      <c r="P74" s="308">
        <v>0</v>
      </c>
    </row>
    <row r="75" spans="2:16" x14ac:dyDescent="0.3">
      <c r="B75" t="str">
        <f t="shared" si="4"/>
        <v>Dec-24</v>
      </c>
      <c r="C75" s="307">
        <v>45656</v>
      </c>
      <c r="D75" s="310">
        <v>1</v>
      </c>
      <c r="E75" s="308">
        <v>974</v>
      </c>
      <c r="F75" s="3">
        <f t="shared" si="3"/>
        <v>974</v>
      </c>
      <c r="G75" s="3" t="s">
        <v>930</v>
      </c>
      <c r="H75" s="308" t="s">
        <v>999</v>
      </c>
      <c r="I75" s="308" t="s">
        <v>1053</v>
      </c>
      <c r="J75" s="308" t="s">
        <v>1353</v>
      </c>
      <c r="K75" s="308" t="s">
        <v>933</v>
      </c>
      <c r="L75" s="308">
        <v>0</v>
      </c>
      <c r="M75" s="308" t="s">
        <v>1164</v>
      </c>
      <c r="N75" s="309">
        <v>45651</v>
      </c>
      <c r="O75" s="308" t="s">
        <v>1258</v>
      </c>
      <c r="P75" s="308">
        <v>0</v>
      </c>
    </row>
    <row r="76" spans="2:16" x14ac:dyDescent="0.3">
      <c r="B76" t="str">
        <f t="shared" si="4"/>
        <v>Dec-24</v>
      </c>
      <c r="C76" s="307">
        <v>45656</v>
      </c>
      <c r="D76" s="310">
        <v>1</v>
      </c>
      <c r="E76" s="308">
        <v>6714</v>
      </c>
      <c r="F76" s="3">
        <f t="shared" si="3"/>
        <v>6714</v>
      </c>
      <c r="G76" s="3" t="s">
        <v>930</v>
      </c>
      <c r="H76" s="308" t="s">
        <v>999</v>
      </c>
      <c r="I76" s="308" t="s">
        <v>1109</v>
      </c>
      <c r="J76" s="308" t="s">
        <v>1355</v>
      </c>
      <c r="K76" s="308" t="s">
        <v>936</v>
      </c>
      <c r="L76" s="308" t="s">
        <v>1125</v>
      </c>
      <c r="M76" s="308" t="s">
        <v>1235</v>
      </c>
      <c r="N76" s="309">
        <v>45654</v>
      </c>
      <c r="O76" s="308" t="s">
        <v>1267</v>
      </c>
      <c r="P76" s="308" t="s">
        <v>1341</v>
      </c>
    </row>
    <row r="77" spans="2:16" x14ac:dyDescent="0.3">
      <c r="B77" t="str">
        <f t="shared" si="4"/>
        <v>Jan-25</v>
      </c>
      <c r="C77" s="307">
        <v>45665</v>
      </c>
      <c r="D77" s="310">
        <v>1</v>
      </c>
      <c r="E77" s="308">
        <v>9616.76</v>
      </c>
      <c r="F77" s="3">
        <f t="shared" si="3"/>
        <v>9616.76</v>
      </c>
      <c r="G77" s="3" t="s">
        <v>930</v>
      </c>
      <c r="H77" s="308" t="s">
        <v>999</v>
      </c>
      <c r="I77" s="308" t="s">
        <v>1054</v>
      </c>
      <c r="J77" s="308" t="s">
        <v>1353</v>
      </c>
      <c r="K77" s="308" t="s">
        <v>940</v>
      </c>
      <c r="L77" s="308">
        <v>0</v>
      </c>
      <c r="M77" s="308" t="s">
        <v>1165</v>
      </c>
      <c r="N77" s="309">
        <v>45643</v>
      </c>
      <c r="O77" s="308" t="s">
        <v>1259</v>
      </c>
      <c r="P77" s="308" t="s">
        <v>1307</v>
      </c>
    </row>
    <row r="78" spans="2:16" x14ac:dyDescent="0.3">
      <c r="B78" t="str">
        <f t="shared" si="4"/>
        <v>Jan-25</v>
      </c>
      <c r="C78" s="307">
        <v>45677</v>
      </c>
      <c r="D78" s="310">
        <v>1</v>
      </c>
      <c r="E78" s="308">
        <v>655</v>
      </c>
      <c r="F78" s="3">
        <f t="shared" si="3"/>
        <v>655</v>
      </c>
      <c r="G78" s="3" t="s">
        <v>930</v>
      </c>
      <c r="H78" s="308" t="s">
        <v>999</v>
      </c>
      <c r="I78" s="308" t="s">
        <v>1055</v>
      </c>
      <c r="J78" s="308" t="s">
        <v>1353</v>
      </c>
      <c r="K78" s="308" t="s">
        <v>929</v>
      </c>
      <c r="L78" s="308">
        <v>0</v>
      </c>
      <c r="M78" s="308" t="s">
        <v>1166</v>
      </c>
      <c r="N78" s="309">
        <v>45674</v>
      </c>
      <c r="O78" s="308">
        <v>0</v>
      </c>
      <c r="P78" s="308">
        <v>0</v>
      </c>
    </row>
    <row r="79" spans="2:16" x14ac:dyDescent="0.3">
      <c r="B79" t="str">
        <f t="shared" si="4"/>
        <v>Jan-25</v>
      </c>
      <c r="C79" s="307">
        <v>45677</v>
      </c>
      <c r="D79" s="310">
        <v>1</v>
      </c>
      <c r="E79" s="308">
        <v>1030</v>
      </c>
      <c r="F79" s="3">
        <f t="shared" si="3"/>
        <v>1030</v>
      </c>
      <c r="G79" s="3" t="s">
        <v>930</v>
      </c>
      <c r="H79" s="308" t="s">
        <v>999</v>
      </c>
      <c r="I79" s="308" t="s">
        <v>1055</v>
      </c>
      <c r="J79" s="308" t="s">
        <v>1353</v>
      </c>
      <c r="K79" s="308" t="s">
        <v>932</v>
      </c>
      <c r="L79" s="308">
        <v>0</v>
      </c>
      <c r="M79" s="308" t="s">
        <v>1166</v>
      </c>
      <c r="N79" s="309">
        <v>45674</v>
      </c>
      <c r="O79" s="308">
        <v>0</v>
      </c>
      <c r="P79" s="308">
        <v>0</v>
      </c>
    </row>
    <row r="80" spans="2:16" x14ac:dyDescent="0.3">
      <c r="B80" t="str">
        <f t="shared" si="4"/>
        <v>Jan-25</v>
      </c>
      <c r="C80" s="307">
        <v>45677</v>
      </c>
      <c r="D80" s="310">
        <v>1</v>
      </c>
      <c r="E80" s="308">
        <v>3464</v>
      </c>
      <c r="F80" s="3">
        <f t="shared" si="3"/>
        <v>3464</v>
      </c>
      <c r="G80" s="3" t="s">
        <v>930</v>
      </c>
      <c r="H80" s="308" t="s">
        <v>999</v>
      </c>
      <c r="I80" s="308" t="s">
        <v>1056</v>
      </c>
      <c r="J80" s="308" t="s">
        <v>1353</v>
      </c>
      <c r="K80" s="308" t="s">
        <v>933</v>
      </c>
      <c r="L80" s="308">
        <v>0</v>
      </c>
      <c r="M80" s="308" t="s">
        <v>1167</v>
      </c>
      <c r="N80" s="309">
        <v>45674</v>
      </c>
      <c r="O80" s="308" t="s">
        <v>1260</v>
      </c>
      <c r="P80" s="308">
        <v>0</v>
      </c>
    </row>
    <row r="81" spans="2:16" x14ac:dyDescent="0.3">
      <c r="B81" t="str">
        <f t="shared" si="4"/>
        <v>Jan-25</v>
      </c>
      <c r="C81" s="307">
        <v>45677</v>
      </c>
      <c r="D81" s="310">
        <v>1</v>
      </c>
      <c r="E81" s="308">
        <v>7553</v>
      </c>
      <c r="F81" s="3">
        <f t="shared" si="3"/>
        <v>7553</v>
      </c>
      <c r="G81" s="3" t="s">
        <v>930</v>
      </c>
      <c r="H81" s="308" t="s">
        <v>999</v>
      </c>
      <c r="I81" s="308" t="s">
        <v>1090</v>
      </c>
      <c r="J81" s="308" t="s">
        <v>1356</v>
      </c>
      <c r="K81" s="308" t="s">
        <v>942</v>
      </c>
      <c r="L81" s="308" t="s">
        <v>1125</v>
      </c>
      <c r="M81" s="308" t="s">
        <v>1203</v>
      </c>
      <c r="N81" s="309">
        <v>45670</v>
      </c>
      <c r="O81" s="308" t="s">
        <v>1267</v>
      </c>
      <c r="P81" s="308" t="s">
        <v>1330</v>
      </c>
    </row>
    <row r="82" spans="2:16" x14ac:dyDescent="0.3">
      <c r="B82" t="str">
        <f t="shared" si="4"/>
        <v>Jan-25</v>
      </c>
      <c r="C82" s="307">
        <v>45677</v>
      </c>
      <c r="D82" s="310">
        <v>1</v>
      </c>
      <c r="E82" s="308">
        <v>4856</v>
      </c>
      <c r="F82" s="3">
        <f t="shared" si="3"/>
        <v>4856</v>
      </c>
      <c r="G82" s="3" t="s">
        <v>930</v>
      </c>
      <c r="H82" s="308" t="s">
        <v>999</v>
      </c>
      <c r="I82" s="308" t="s">
        <v>1090</v>
      </c>
      <c r="J82" s="308" t="s">
        <v>1355</v>
      </c>
      <c r="K82" s="308" t="s">
        <v>936</v>
      </c>
      <c r="L82" s="308" t="s">
        <v>1125</v>
      </c>
      <c r="M82" s="308" t="s">
        <v>1203</v>
      </c>
      <c r="N82" s="309">
        <v>45670</v>
      </c>
      <c r="O82" s="308" t="s">
        <v>1267</v>
      </c>
      <c r="P82" s="308" t="s">
        <v>1341</v>
      </c>
    </row>
    <row r="83" spans="2:16" x14ac:dyDescent="0.3">
      <c r="B83" t="str">
        <f t="shared" si="4"/>
        <v>Jan-25</v>
      </c>
      <c r="C83" s="307">
        <v>45686</v>
      </c>
      <c r="D83" s="310">
        <v>1</v>
      </c>
      <c r="E83" s="308">
        <v>1335</v>
      </c>
      <c r="F83" s="3">
        <f t="shared" si="3"/>
        <v>1335</v>
      </c>
      <c r="G83" s="3" t="s">
        <v>930</v>
      </c>
      <c r="H83" s="308" t="s">
        <v>999</v>
      </c>
      <c r="I83" s="308" t="s">
        <v>1093</v>
      </c>
      <c r="J83" s="308" t="s">
        <v>1351</v>
      </c>
      <c r="K83" s="308" t="s">
        <v>929</v>
      </c>
      <c r="L83" s="308" t="s">
        <v>1125</v>
      </c>
      <c r="M83" s="308" t="s">
        <v>1206</v>
      </c>
      <c r="N83" s="309">
        <v>45685</v>
      </c>
      <c r="O83" s="308">
        <v>0</v>
      </c>
      <c r="P83" s="308">
        <v>0</v>
      </c>
    </row>
    <row r="84" spans="2:16" x14ac:dyDescent="0.3">
      <c r="B84" t="str">
        <f t="shared" si="4"/>
        <v>Jan-25</v>
      </c>
      <c r="C84" s="307">
        <v>45686</v>
      </c>
      <c r="D84" s="310">
        <v>1</v>
      </c>
      <c r="E84" s="308">
        <v>1933</v>
      </c>
      <c r="F84" s="3">
        <f t="shared" si="3"/>
        <v>1933</v>
      </c>
      <c r="G84" s="3" t="s">
        <v>930</v>
      </c>
      <c r="H84" s="308" t="s">
        <v>999</v>
      </c>
      <c r="I84" s="308" t="s">
        <v>1093</v>
      </c>
      <c r="J84" s="308" t="s">
        <v>1351</v>
      </c>
      <c r="K84" s="308" t="s">
        <v>932</v>
      </c>
      <c r="L84" s="308" t="s">
        <v>1125</v>
      </c>
      <c r="M84" s="308" t="s">
        <v>1206</v>
      </c>
      <c r="N84" s="309">
        <v>45685</v>
      </c>
      <c r="O84" s="308">
        <v>0</v>
      </c>
      <c r="P84" s="308">
        <v>0</v>
      </c>
    </row>
    <row r="85" spans="2:16" x14ac:dyDescent="0.3">
      <c r="B85" t="str">
        <f t="shared" si="4"/>
        <v>Jan-25</v>
      </c>
      <c r="C85" s="307">
        <v>45686</v>
      </c>
      <c r="D85" s="310">
        <v>1</v>
      </c>
      <c r="E85" s="308">
        <v>922</v>
      </c>
      <c r="F85" s="3">
        <f t="shared" si="3"/>
        <v>922</v>
      </c>
      <c r="G85" s="3" t="s">
        <v>930</v>
      </c>
      <c r="H85" s="308" t="s">
        <v>999</v>
      </c>
      <c r="I85" s="308" t="s">
        <v>1094</v>
      </c>
      <c r="J85" s="308" t="s">
        <v>1356</v>
      </c>
      <c r="K85" s="308" t="s">
        <v>933</v>
      </c>
      <c r="L85" s="308" t="s">
        <v>1125</v>
      </c>
      <c r="M85" s="308" t="s">
        <v>1207</v>
      </c>
      <c r="N85" s="309">
        <v>45682</v>
      </c>
      <c r="O85" s="308" t="s">
        <v>1283</v>
      </c>
      <c r="P85" s="308">
        <v>0</v>
      </c>
    </row>
    <row r="86" spans="2:16" x14ac:dyDescent="0.3">
      <c r="B86" t="str">
        <f t="shared" si="4"/>
        <v>Jan-25</v>
      </c>
      <c r="C86" s="307">
        <v>45688</v>
      </c>
      <c r="D86" s="310">
        <v>1</v>
      </c>
      <c r="E86" s="308">
        <v>7178</v>
      </c>
      <c r="F86" s="3">
        <f t="shared" si="3"/>
        <v>7178</v>
      </c>
      <c r="G86" s="3" t="s">
        <v>930</v>
      </c>
      <c r="H86" s="308" t="s">
        <v>999</v>
      </c>
      <c r="I86" s="308" t="s">
        <v>1110</v>
      </c>
      <c r="J86" s="308" t="s">
        <v>1356</v>
      </c>
      <c r="K86" s="308" t="s">
        <v>936</v>
      </c>
      <c r="L86" s="308" t="s">
        <v>1125</v>
      </c>
      <c r="M86" s="308" t="s">
        <v>1238</v>
      </c>
      <c r="N86" s="309">
        <v>45670</v>
      </c>
      <c r="O86" s="308" t="s">
        <v>1267</v>
      </c>
      <c r="P86" s="308" t="s">
        <v>1341</v>
      </c>
    </row>
    <row r="87" spans="2:16" x14ac:dyDescent="0.3">
      <c r="B87" t="str">
        <f t="shared" si="4"/>
        <v>Feb-25</v>
      </c>
      <c r="C87" s="307">
        <v>45698</v>
      </c>
      <c r="D87" s="310">
        <v>1</v>
      </c>
      <c r="E87" s="308">
        <v>2430</v>
      </c>
      <c r="F87" s="3">
        <f t="shared" si="3"/>
        <v>2430</v>
      </c>
      <c r="G87" s="3" t="s">
        <v>930</v>
      </c>
      <c r="H87" s="308" t="s">
        <v>999</v>
      </c>
      <c r="I87" s="308" t="s">
        <v>1107</v>
      </c>
      <c r="J87" s="308" t="s">
        <v>1356</v>
      </c>
      <c r="K87" s="308" t="s">
        <v>936</v>
      </c>
      <c r="L87" s="308">
        <v>0</v>
      </c>
      <c r="M87" s="308" t="s">
        <v>1224</v>
      </c>
      <c r="N87" s="309">
        <v>45698</v>
      </c>
      <c r="O87" s="308" t="s">
        <v>1267</v>
      </c>
      <c r="P87" s="308" t="s">
        <v>1339</v>
      </c>
    </row>
    <row r="88" spans="2:16" x14ac:dyDescent="0.3">
      <c r="B88" t="str">
        <f t="shared" si="4"/>
        <v>Feb-25</v>
      </c>
      <c r="C88" s="307">
        <v>45698</v>
      </c>
      <c r="D88" s="310">
        <v>1</v>
      </c>
      <c r="E88" s="308">
        <v>9360</v>
      </c>
      <c r="F88" s="3">
        <f t="shared" si="3"/>
        <v>9360</v>
      </c>
      <c r="G88" s="3" t="s">
        <v>930</v>
      </c>
      <c r="H88" s="308" t="s">
        <v>999</v>
      </c>
      <c r="I88" s="308" t="s">
        <v>1107</v>
      </c>
      <c r="J88" s="308" t="s">
        <v>1356</v>
      </c>
      <c r="K88" s="308" t="s">
        <v>936</v>
      </c>
      <c r="L88" s="308">
        <v>0</v>
      </c>
      <c r="M88" s="308" t="s">
        <v>1224</v>
      </c>
      <c r="N88" s="309">
        <v>45698</v>
      </c>
      <c r="O88" s="308" t="s">
        <v>1267</v>
      </c>
      <c r="P88" s="308" t="s">
        <v>1340</v>
      </c>
    </row>
    <row r="89" spans="2:16" x14ac:dyDescent="0.3">
      <c r="B89" t="str">
        <f t="shared" si="4"/>
        <v>Feb-25</v>
      </c>
      <c r="C89" s="307">
        <v>45698</v>
      </c>
      <c r="D89" s="310">
        <v>1</v>
      </c>
      <c r="E89" s="308">
        <v>2300</v>
      </c>
      <c r="F89" s="3">
        <f t="shared" si="3"/>
        <v>2300</v>
      </c>
      <c r="G89" s="3" t="s">
        <v>930</v>
      </c>
      <c r="H89" s="308" t="s">
        <v>999</v>
      </c>
      <c r="I89" s="308" t="s">
        <v>1107</v>
      </c>
      <c r="J89" s="308" t="s">
        <v>1355</v>
      </c>
      <c r="K89" s="308" t="s">
        <v>936</v>
      </c>
      <c r="L89" s="308" t="s">
        <v>1125</v>
      </c>
      <c r="M89" s="308" t="s">
        <v>1224</v>
      </c>
      <c r="N89" s="309">
        <v>45698</v>
      </c>
      <c r="O89" s="308" t="s">
        <v>1267</v>
      </c>
      <c r="P89" s="308" t="s">
        <v>1344</v>
      </c>
    </row>
    <row r="90" spans="2:16" x14ac:dyDescent="0.3">
      <c r="B90" t="str">
        <f t="shared" si="4"/>
        <v>Feb-25</v>
      </c>
      <c r="C90" s="307">
        <v>45703</v>
      </c>
      <c r="D90" s="310">
        <v>1</v>
      </c>
      <c r="E90" s="308">
        <v>2159</v>
      </c>
      <c r="F90" s="3">
        <f t="shared" si="3"/>
        <v>2159</v>
      </c>
      <c r="G90" s="3" t="s">
        <v>930</v>
      </c>
      <c r="H90" s="308" t="s">
        <v>999</v>
      </c>
      <c r="I90" s="308" t="s">
        <v>1100</v>
      </c>
      <c r="J90" s="308" t="s">
        <v>1351</v>
      </c>
      <c r="K90" s="308" t="s">
        <v>932</v>
      </c>
      <c r="L90" s="308" t="s">
        <v>1125</v>
      </c>
      <c r="M90" s="308" t="s">
        <v>1213</v>
      </c>
      <c r="N90" s="309">
        <v>45702</v>
      </c>
      <c r="O90" s="308">
        <v>0</v>
      </c>
      <c r="P90" s="308">
        <v>0</v>
      </c>
    </row>
    <row r="91" spans="2:16" x14ac:dyDescent="0.3">
      <c r="B91" t="str">
        <f t="shared" si="4"/>
        <v>Feb-25</v>
      </c>
      <c r="C91" s="307">
        <v>45703</v>
      </c>
      <c r="D91" s="310">
        <v>1</v>
      </c>
      <c r="E91" s="308">
        <v>974</v>
      </c>
      <c r="F91" s="3">
        <f t="shared" si="3"/>
        <v>974</v>
      </c>
      <c r="G91" s="3" t="s">
        <v>930</v>
      </c>
      <c r="H91" s="308" t="s">
        <v>999</v>
      </c>
      <c r="I91" s="308" t="s">
        <v>1100</v>
      </c>
      <c r="J91" s="308" t="s">
        <v>1351</v>
      </c>
      <c r="K91" s="308" t="s">
        <v>929</v>
      </c>
      <c r="L91" s="308" t="s">
        <v>1125</v>
      </c>
      <c r="M91" s="308" t="s">
        <v>1213</v>
      </c>
      <c r="N91" s="309">
        <v>45702</v>
      </c>
      <c r="O91" s="308">
        <v>0</v>
      </c>
      <c r="P91" s="308">
        <v>0</v>
      </c>
    </row>
    <row r="92" spans="2:16" x14ac:dyDescent="0.3">
      <c r="B92" t="str">
        <f t="shared" si="4"/>
        <v>Mar-25</v>
      </c>
      <c r="C92" s="307">
        <v>45727</v>
      </c>
      <c r="D92" s="310">
        <v>1</v>
      </c>
      <c r="E92" s="308">
        <v>597</v>
      </c>
      <c r="F92" s="3">
        <f t="shared" si="3"/>
        <v>597</v>
      </c>
      <c r="G92" s="3" t="s">
        <v>930</v>
      </c>
      <c r="H92" s="308" t="s">
        <v>999</v>
      </c>
      <c r="I92" s="308" t="s">
        <v>1058</v>
      </c>
      <c r="J92" s="308" t="s">
        <v>1355</v>
      </c>
      <c r="K92" s="308" t="s">
        <v>929</v>
      </c>
      <c r="L92" s="308">
        <v>0</v>
      </c>
      <c r="M92" s="308" t="s">
        <v>1169</v>
      </c>
      <c r="N92" s="309">
        <v>45726</v>
      </c>
      <c r="O92" s="308">
        <v>0</v>
      </c>
      <c r="P92" s="308">
        <v>0</v>
      </c>
    </row>
    <row r="93" spans="2:16" x14ac:dyDescent="0.3">
      <c r="B93" t="str">
        <f t="shared" si="4"/>
        <v>Mar-25</v>
      </c>
      <c r="C93" s="307">
        <v>45727</v>
      </c>
      <c r="D93" s="310">
        <v>1</v>
      </c>
      <c r="E93" s="308">
        <v>1477</v>
      </c>
      <c r="F93" s="3">
        <f t="shared" si="3"/>
        <v>1477</v>
      </c>
      <c r="G93" s="3" t="s">
        <v>930</v>
      </c>
      <c r="H93" s="308" t="s">
        <v>999</v>
      </c>
      <c r="I93" s="308" t="s">
        <v>1058</v>
      </c>
      <c r="J93" s="308" t="s">
        <v>1355</v>
      </c>
      <c r="K93" s="308" t="s">
        <v>932</v>
      </c>
      <c r="L93" s="308">
        <v>0</v>
      </c>
      <c r="M93" s="308" t="s">
        <v>1169</v>
      </c>
      <c r="N93" s="309">
        <v>45726</v>
      </c>
      <c r="O93" s="308">
        <v>0</v>
      </c>
      <c r="P93" s="308">
        <v>0</v>
      </c>
    </row>
    <row r="94" spans="2:16" x14ac:dyDescent="0.3">
      <c r="B94" t="str">
        <f t="shared" si="4"/>
        <v>Mar-25</v>
      </c>
      <c r="C94" s="307">
        <v>45735</v>
      </c>
      <c r="D94" s="310">
        <v>1</v>
      </c>
      <c r="E94" s="308">
        <v>3500</v>
      </c>
      <c r="F94" s="3">
        <f t="shared" si="3"/>
        <v>3500</v>
      </c>
      <c r="G94" s="3" t="s">
        <v>930</v>
      </c>
      <c r="H94" s="308" t="s">
        <v>999</v>
      </c>
      <c r="I94" s="308" t="s">
        <v>1118</v>
      </c>
      <c r="J94" s="308" t="s">
        <v>1351</v>
      </c>
      <c r="K94" s="308" t="s">
        <v>936</v>
      </c>
      <c r="L94" s="308" t="s">
        <v>1125</v>
      </c>
      <c r="M94" s="308" t="s">
        <v>1243</v>
      </c>
      <c r="N94" s="309">
        <v>45735</v>
      </c>
      <c r="O94" s="308" t="s">
        <v>1267</v>
      </c>
      <c r="P94" s="308" t="s">
        <v>1348</v>
      </c>
    </row>
    <row r="95" spans="2:16" x14ac:dyDescent="0.3">
      <c r="B95" t="str">
        <f t="shared" si="4"/>
        <v>Mar-25</v>
      </c>
      <c r="C95" s="307">
        <v>45735</v>
      </c>
      <c r="D95" s="310">
        <v>1</v>
      </c>
      <c r="E95" s="308">
        <v>1300</v>
      </c>
      <c r="F95" s="3">
        <f t="shared" si="3"/>
        <v>1300</v>
      </c>
      <c r="G95" s="3" t="s">
        <v>930</v>
      </c>
      <c r="H95" s="308" t="s">
        <v>999</v>
      </c>
      <c r="I95" s="308" t="s">
        <v>1118</v>
      </c>
      <c r="J95" s="308" t="s">
        <v>1351</v>
      </c>
      <c r="K95" s="308" t="s">
        <v>936</v>
      </c>
      <c r="L95" s="308">
        <v>0</v>
      </c>
      <c r="M95" s="308" t="s">
        <v>1243</v>
      </c>
      <c r="N95" s="309">
        <v>45735</v>
      </c>
      <c r="O95" s="308" t="s">
        <v>1267</v>
      </c>
      <c r="P95" s="308" t="s">
        <v>1313</v>
      </c>
    </row>
    <row r="96" spans="2:16" x14ac:dyDescent="0.3">
      <c r="B96" t="str">
        <f t="shared" si="4"/>
        <v>Mar-25</v>
      </c>
      <c r="C96" s="307">
        <v>45737</v>
      </c>
      <c r="D96" s="310">
        <v>1</v>
      </c>
      <c r="E96" s="308">
        <v>9322</v>
      </c>
      <c r="F96" s="3">
        <f t="shared" si="3"/>
        <v>9322</v>
      </c>
      <c r="G96" s="3" t="s">
        <v>930</v>
      </c>
      <c r="H96" s="308" t="s">
        <v>999</v>
      </c>
      <c r="I96" s="308" t="s">
        <v>1061</v>
      </c>
      <c r="J96" s="308" t="s">
        <v>1353</v>
      </c>
      <c r="K96" s="308" t="s">
        <v>932</v>
      </c>
      <c r="L96" s="308">
        <v>0</v>
      </c>
      <c r="M96" s="308" t="s">
        <v>1172</v>
      </c>
      <c r="N96" s="309">
        <v>45736</v>
      </c>
      <c r="O96" s="308">
        <v>0</v>
      </c>
      <c r="P96" s="308">
        <v>0</v>
      </c>
    </row>
    <row r="97" spans="2:16" x14ac:dyDescent="0.3">
      <c r="B97" t="str">
        <f t="shared" si="4"/>
        <v>Mar-25</v>
      </c>
      <c r="C97" s="307">
        <v>45737</v>
      </c>
      <c r="D97" s="310">
        <v>1</v>
      </c>
      <c r="E97" s="308">
        <v>4720</v>
      </c>
      <c r="F97" s="3">
        <f t="shared" si="3"/>
        <v>4720</v>
      </c>
      <c r="G97" s="3" t="s">
        <v>930</v>
      </c>
      <c r="H97" s="308" t="s">
        <v>999</v>
      </c>
      <c r="I97" s="308" t="s">
        <v>1062</v>
      </c>
      <c r="J97" s="308" t="s">
        <v>1353</v>
      </c>
      <c r="K97" s="308" t="s">
        <v>931</v>
      </c>
      <c r="L97" s="308">
        <v>0</v>
      </c>
      <c r="M97" s="308" t="s">
        <v>1173</v>
      </c>
      <c r="N97" s="309">
        <v>45736</v>
      </c>
      <c r="O97" s="308">
        <v>0</v>
      </c>
      <c r="P97" s="308">
        <v>0</v>
      </c>
    </row>
    <row r="98" spans="2:16" x14ac:dyDescent="0.3">
      <c r="B98" t="str">
        <f t="shared" si="4"/>
        <v>Mar-25</v>
      </c>
      <c r="C98" s="307">
        <v>45738</v>
      </c>
      <c r="D98" s="310">
        <v>1</v>
      </c>
      <c r="E98" s="308">
        <v>1430</v>
      </c>
      <c r="F98" s="3">
        <f t="shared" si="3"/>
        <v>1430</v>
      </c>
      <c r="G98" s="3" t="s">
        <v>930</v>
      </c>
      <c r="H98" s="308" t="s">
        <v>999</v>
      </c>
      <c r="I98" s="308" t="s">
        <v>1063</v>
      </c>
      <c r="J98" s="308" t="s">
        <v>1355</v>
      </c>
      <c r="K98" s="308" t="s">
        <v>933</v>
      </c>
      <c r="L98" s="308">
        <v>0</v>
      </c>
      <c r="M98" s="308" t="s">
        <v>1174</v>
      </c>
      <c r="N98" s="309">
        <v>45737</v>
      </c>
      <c r="O98" s="308">
        <v>0</v>
      </c>
      <c r="P98" s="308">
        <v>0</v>
      </c>
    </row>
    <row r="99" spans="2:16" x14ac:dyDescent="0.3">
      <c r="B99" t="str">
        <f t="shared" si="4"/>
        <v>Mar-25</v>
      </c>
      <c r="C99" s="307">
        <v>45738</v>
      </c>
      <c r="D99" s="310">
        <v>1</v>
      </c>
      <c r="E99" s="308">
        <v>2135</v>
      </c>
      <c r="F99" s="3">
        <f t="shared" ref="F99:F130" si="5">D99*E99</f>
        <v>2135</v>
      </c>
      <c r="G99" s="3" t="s">
        <v>930</v>
      </c>
      <c r="H99" s="308" t="s">
        <v>999</v>
      </c>
      <c r="I99" s="308" t="s">
        <v>1064</v>
      </c>
      <c r="J99" s="308" t="s">
        <v>1356</v>
      </c>
      <c r="K99" s="308" t="s">
        <v>929</v>
      </c>
      <c r="L99" s="308">
        <v>0</v>
      </c>
      <c r="M99" s="308" t="s">
        <v>1175</v>
      </c>
      <c r="N99" s="309">
        <v>45737</v>
      </c>
      <c r="O99" s="308">
        <v>0</v>
      </c>
      <c r="P99" s="308">
        <v>0</v>
      </c>
    </row>
    <row r="100" spans="2:16" x14ac:dyDescent="0.3">
      <c r="B100" t="str">
        <f t="shared" si="4"/>
        <v>Mar-25</v>
      </c>
      <c r="C100" s="307">
        <v>45747</v>
      </c>
      <c r="D100" s="310">
        <v>1</v>
      </c>
      <c r="E100" s="308">
        <v>5480</v>
      </c>
      <c r="F100" s="3">
        <f t="shared" si="5"/>
        <v>5480</v>
      </c>
      <c r="G100" s="3" t="s">
        <v>930</v>
      </c>
      <c r="H100" s="308" t="s">
        <v>999</v>
      </c>
      <c r="I100" s="308" t="s">
        <v>1120</v>
      </c>
      <c r="J100" s="308" t="s">
        <v>1355</v>
      </c>
      <c r="K100" s="308" t="s">
        <v>936</v>
      </c>
      <c r="L100" s="308">
        <v>0</v>
      </c>
      <c r="M100" s="308" t="s">
        <v>1245</v>
      </c>
      <c r="N100" s="309">
        <v>45747</v>
      </c>
      <c r="O100" s="308" t="s">
        <v>1267</v>
      </c>
      <c r="P100" s="308" t="s">
        <v>1313</v>
      </c>
    </row>
    <row r="101" spans="2:16" x14ac:dyDescent="0.3">
      <c r="B101" t="str">
        <f t="shared" si="4"/>
        <v>Apr-25</v>
      </c>
      <c r="C101" s="307">
        <v>45750</v>
      </c>
      <c r="D101" s="310">
        <v>1</v>
      </c>
      <c r="E101" s="308">
        <v>891</v>
      </c>
      <c r="F101" s="3">
        <f t="shared" si="5"/>
        <v>891</v>
      </c>
      <c r="G101" s="3" t="s">
        <v>930</v>
      </c>
      <c r="H101" s="308" t="s">
        <v>999</v>
      </c>
      <c r="I101" s="308" t="s">
        <v>1065</v>
      </c>
      <c r="J101" s="308" t="s">
        <v>1355</v>
      </c>
      <c r="K101" s="308" t="s">
        <v>932</v>
      </c>
      <c r="L101" s="308" t="s">
        <v>1125</v>
      </c>
      <c r="M101" s="308" t="s">
        <v>1176</v>
      </c>
      <c r="N101" s="309">
        <v>45748</v>
      </c>
      <c r="O101" s="308">
        <v>0</v>
      </c>
      <c r="P101" s="308">
        <v>0</v>
      </c>
    </row>
    <row r="102" spans="2:16" x14ac:dyDescent="0.3">
      <c r="B102" t="str">
        <f t="shared" si="4"/>
        <v>Apr-25</v>
      </c>
      <c r="C102" s="307">
        <v>45750</v>
      </c>
      <c r="D102" s="310">
        <v>1</v>
      </c>
      <c r="E102" s="308">
        <v>176</v>
      </c>
      <c r="F102" s="3">
        <f t="shared" si="5"/>
        <v>176</v>
      </c>
      <c r="G102" s="3" t="s">
        <v>930</v>
      </c>
      <c r="H102" s="308" t="s">
        <v>999</v>
      </c>
      <c r="I102" s="308" t="s">
        <v>1065</v>
      </c>
      <c r="J102" s="308" t="s">
        <v>1353</v>
      </c>
      <c r="K102" s="308" t="s">
        <v>929</v>
      </c>
      <c r="L102" s="308" t="s">
        <v>1125</v>
      </c>
      <c r="M102" s="308" t="s">
        <v>1176</v>
      </c>
      <c r="N102" s="309">
        <v>45748</v>
      </c>
      <c r="O102" s="308">
        <v>0</v>
      </c>
      <c r="P102" s="308">
        <v>0</v>
      </c>
    </row>
    <row r="103" spans="2:16" x14ac:dyDescent="0.3">
      <c r="B103" t="str">
        <f t="shared" si="4"/>
        <v>Apr-25</v>
      </c>
      <c r="C103" s="307">
        <v>45770</v>
      </c>
      <c r="D103" s="310">
        <v>1</v>
      </c>
      <c r="E103" s="308">
        <v>13753</v>
      </c>
      <c r="F103" s="3">
        <f t="shared" si="5"/>
        <v>13753</v>
      </c>
      <c r="G103" s="3" t="s">
        <v>930</v>
      </c>
      <c r="H103" s="308" t="s">
        <v>999</v>
      </c>
      <c r="I103" s="308" t="s">
        <v>1069</v>
      </c>
      <c r="J103" s="308" t="s">
        <v>1356</v>
      </c>
      <c r="K103" s="308" t="s">
        <v>936</v>
      </c>
      <c r="L103" s="308">
        <v>0</v>
      </c>
      <c r="M103" s="308" t="s">
        <v>1180</v>
      </c>
      <c r="N103" s="309">
        <v>45770</v>
      </c>
      <c r="O103" s="308" t="s">
        <v>1267</v>
      </c>
      <c r="P103" s="308" t="s">
        <v>1313</v>
      </c>
    </row>
    <row r="104" spans="2:16" x14ac:dyDescent="0.3">
      <c r="B104" t="str">
        <f t="shared" si="4"/>
        <v>Apr-25</v>
      </c>
      <c r="C104" s="307">
        <v>45776</v>
      </c>
      <c r="D104" s="310">
        <v>1</v>
      </c>
      <c r="E104" s="308">
        <v>690</v>
      </c>
      <c r="F104" s="3">
        <f t="shared" si="5"/>
        <v>690</v>
      </c>
      <c r="G104" s="3" t="s">
        <v>930</v>
      </c>
      <c r="H104" s="308" t="s">
        <v>999</v>
      </c>
      <c r="I104" s="308" t="s">
        <v>1018</v>
      </c>
      <c r="J104" s="308" t="s">
        <v>1356</v>
      </c>
      <c r="K104" s="308" t="s">
        <v>933</v>
      </c>
      <c r="L104" s="308">
        <v>0</v>
      </c>
      <c r="M104" s="308" t="s">
        <v>1129</v>
      </c>
      <c r="N104" s="309">
        <v>45769</v>
      </c>
      <c r="O104" s="308" t="s">
        <v>1247</v>
      </c>
      <c r="P104" s="308">
        <v>0</v>
      </c>
    </row>
    <row r="105" spans="2:16" x14ac:dyDescent="0.3">
      <c r="B105" t="str">
        <f t="shared" si="4"/>
        <v>Apr-25</v>
      </c>
      <c r="C105" s="307">
        <v>45776</v>
      </c>
      <c r="D105" s="310">
        <v>1</v>
      </c>
      <c r="E105" s="308">
        <v>127</v>
      </c>
      <c r="F105" s="3">
        <f t="shared" si="5"/>
        <v>127</v>
      </c>
      <c r="G105" s="3" t="s">
        <v>930</v>
      </c>
      <c r="H105" s="308" t="s">
        <v>999</v>
      </c>
      <c r="I105" s="308" t="s">
        <v>1019</v>
      </c>
      <c r="J105" s="308" t="s">
        <v>1356</v>
      </c>
      <c r="K105" s="308" t="s">
        <v>933</v>
      </c>
      <c r="L105" s="308">
        <v>0</v>
      </c>
      <c r="M105" s="308" t="s">
        <v>1130</v>
      </c>
      <c r="N105" s="309">
        <v>45769</v>
      </c>
      <c r="O105" s="308">
        <v>0</v>
      </c>
      <c r="P105" s="308">
        <v>0</v>
      </c>
    </row>
    <row r="106" spans="2:16" x14ac:dyDescent="0.3">
      <c r="B106" t="str">
        <f t="shared" si="4"/>
        <v>Apr-25</v>
      </c>
      <c r="C106" s="307">
        <v>45776</v>
      </c>
      <c r="D106" s="310">
        <v>364</v>
      </c>
      <c r="E106" s="308">
        <v>4</v>
      </c>
      <c r="F106" s="3">
        <f t="shared" si="5"/>
        <v>1456</v>
      </c>
      <c r="G106" s="3" t="s">
        <v>930</v>
      </c>
      <c r="H106" s="308" t="s">
        <v>999</v>
      </c>
      <c r="I106" s="308" t="s">
        <v>1020</v>
      </c>
      <c r="J106" s="308" t="s">
        <v>1356</v>
      </c>
      <c r="K106" s="308" t="s">
        <v>1121</v>
      </c>
      <c r="L106" s="308">
        <v>0</v>
      </c>
      <c r="M106" s="308" t="s">
        <v>1131</v>
      </c>
      <c r="N106" s="309">
        <v>45771</v>
      </c>
      <c r="O106" s="308">
        <v>0</v>
      </c>
      <c r="P106" s="308">
        <v>0</v>
      </c>
    </row>
    <row r="107" spans="2:16" x14ac:dyDescent="0.3">
      <c r="B107" t="str">
        <f t="shared" si="4"/>
        <v>Apr-25</v>
      </c>
      <c r="C107" s="307">
        <v>45776</v>
      </c>
      <c r="D107" s="310">
        <v>1</v>
      </c>
      <c r="E107" s="308">
        <v>1569</v>
      </c>
      <c r="F107" s="3">
        <f t="shared" si="5"/>
        <v>1569</v>
      </c>
      <c r="G107" s="3" t="s">
        <v>930</v>
      </c>
      <c r="H107" s="308" t="s">
        <v>999</v>
      </c>
      <c r="I107" s="308" t="s">
        <v>1021</v>
      </c>
      <c r="J107" s="308" t="s">
        <v>1356</v>
      </c>
      <c r="K107" s="308" t="s">
        <v>932</v>
      </c>
      <c r="L107" s="308">
        <v>0</v>
      </c>
      <c r="M107" s="308" t="s">
        <v>1132</v>
      </c>
      <c r="N107" s="309">
        <v>45769</v>
      </c>
      <c r="O107" s="308">
        <v>0</v>
      </c>
      <c r="P107" s="308">
        <v>0</v>
      </c>
    </row>
    <row r="108" spans="2:16" x14ac:dyDescent="0.3">
      <c r="B108" t="str">
        <f t="shared" si="4"/>
        <v>May-25</v>
      </c>
      <c r="C108" s="307">
        <v>45785</v>
      </c>
      <c r="D108" s="310">
        <v>1</v>
      </c>
      <c r="E108" s="308">
        <v>10780</v>
      </c>
      <c r="F108" s="3">
        <f t="shared" si="5"/>
        <v>10780</v>
      </c>
      <c r="G108" s="3" t="s">
        <v>930</v>
      </c>
      <c r="H108" s="308" t="s">
        <v>999</v>
      </c>
      <c r="I108" s="308" t="s">
        <v>1077</v>
      </c>
      <c r="J108" s="308" t="s">
        <v>1356</v>
      </c>
      <c r="K108" s="308" t="s">
        <v>936</v>
      </c>
      <c r="L108" s="308">
        <v>0</v>
      </c>
      <c r="M108" s="308" t="s">
        <v>1188</v>
      </c>
      <c r="N108" s="309">
        <v>45785</v>
      </c>
      <c r="O108" s="308" t="s">
        <v>1267</v>
      </c>
      <c r="P108" s="308" t="s">
        <v>1313</v>
      </c>
    </row>
    <row r="109" spans="2:16" x14ac:dyDescent="0.3">
      <c r="B109" t="str">
        <f t="shared" si="4"/>
        <v>May-25</v>
      </c>
      <c r="C109" s="307">
        <v>45804</v>
      </c>
      <c r="D109" s="310">
        <v>90</v>
      </c>
      <c r="E109" s="308">
        <v>4</v>
      </c>
      <c r="F109" s="3">
        <f t="shared" si="5"/>
        <v>360</v>
      </c>
      <c r="G109" s="3" t="s">
        <v>930</v>
      </c>
      <c r="H109" s="308" t="s">
        <v>999</v>
      </c>
      <c r="I109" s="308" t="s">
        <v>1023</v>
      </c>
      <c r="J109" s="308" t="s">
        <v>1356</v>
      </c>
      <c r="K109" s="308" t="s">
        <v>1121</v>
      </c>
      <c r="L109" s="308">
        <v>0</v>
      </c>
      <c r="M109" s="308" t="s">
        <v>1134</v>
      </c>
      <c r="N109" s="309">
        <v>45791</v>
      </c>
      <c r="O109" s="308" t="s">
        <v>1248</v>
      </c>
      <c r="P109" s="308">
        <v>0</v>
      </c>
    </row>
    <row r="110" spans="2:16" x14ac:dyDescent="0.3">
      <c r="B110" t="str">
        <f t="shared" si="4"/>
        <v>May-25</v>
      </c>
      <c r="C110" s="307">
        <v>45804</v>
      </c>
      <c r="D110" s="310">
        <v>1</v>
      </c>
      <c r="E110" s="308">
        <v>10660</v>
      </c>
      <c r="F110" s="3">
        <f t="shared" si="5"/>
        <v>10660</v>
      </c>
      <c r="G110" s="3" t="s">
        <v>930</v>
      </c>
      <c r="H110" s="308" t="s">
        <v>999</v>
      </c>
      <c r="I110" s="308" t="s">
        <v>1105</v>
      </c>
      <c r="J110" s="308" t="s">
        <v>1356</v>
      </c>
      <c r="K110" s="308" t="s">
        <v>936</v>
      </c>
      <c r="L110" s="308" t="s">
        <v>1125</v>
      </c>
      <c r="M110" s="308" t="s">
        <v>1222</v>
      </c>
      <c r="N110" s="309">
        <v>45804</v>
      </c>
      <c r="O110" s="308" t="s">
        <v>1267</v>
      </c>
      <c r="P110" s="308" t="s">
        <v>1313</v>
      </c>
    </row>
    <row r="111" spans="2:16" x14ac:dyDescent="0.3">
      <c r="B111" t="str">
        <f t="shared" si="4"/>
        <v>Jun-25</v>
      </c>
      <c r="C111" s="307">
        <v>45814</v>
      </c>
      <c r="D111" s="310">
        <v>1</v>
      </c>
      <c r="E111" s="308">
        <v>19220</v>
      </c>
      <c r="F111" s="3">
        <f t="shared" si="5"/>
        <v>19220</v>
      </c>
      <c r="G111" s="3" t="s">
        <v>930</v>
      </c>
      <c r="H111" s="308" t="s">
        <v>999</v>
      </c>
      <c r="I111" s="308" t="s">
        <v>1108</v>
      </c>
      <c r="J111" s="308" t="s">
        <v>1356</v>
      </c>
      <c r="K111" s="308" t="s">
        <v>936</v>
      </c>
      <c r="L111" s="308" t="s">
        <v>1125</v>
      </c>
      <c r="M111" s="308" t="s">
        <v>1225</v>
      </c>
      <c r="N111" s="309">
        <v>45814</v>
      </c>
      <c r="O111" s="308" t="s">
        <v>1267</v>
      </c>
      <c r="P111" s="308" t="s">
        <v>1313</v>
      </c>
    </row>
    <row r="112" spans="2:16" x14ac:dyDescent="0.3">
      <c r="B112" t="str">
        <f t="shared" si="4"/>
        <v>Jun-25</v>
      </c>
      <c r="C112" s="307">
        <v>45821</v>
      </c>
      <c r="D112" s="310">
        <v>1</v>
      </c>
      <c r="E112" s="308">
        <v>84945</v>
      </c>
      <c r="F112" s="3">
        <f t="shared" si="5"/>
        <v>84945</v>
      </c>
      <c r="G112" s="3" t="s">
        <v>930</v>
      </c>
      <c r="H112" s="308" t="s">
        <v>999</v>
      </c>
      <c r="I112" s="308" t="s">
        <v>1109</v>
      </c>
      <c r="J112" s="308" t="s">
        <v>1356</v>
      </c>
      <c r="K112" s="308" t="s">
        <v>936</v>
      </c>
      <c r="L112" s="308" t="s">
        <v>1125</v>
      </c>
      <c r="M112" s="308" t="s">
        <v>1227</v>
      </c>
      <c r="N112" s="309">
        <v>45820</v>
      </c>
      <c r="O112" s="308" t="s">
        <v>1267</v>
      </c>
      <c r="P112" s="308" t="s">
        <v>1313</v>
      </c>
    </row>
    <row r="113" spans="2:16" x14ac:dyDescent="0.3">
      <c r="B113" t="str">
        <f t="shared" si="4"/>
        <v>Jun-25</v>
      </c>
      <c r="C113" s="307">
        <v>45825</v>
      </c>
      <c r="D113" s="310">
        <v>76</v>
      </c>
      <c r="E113" s="308">
        <v>4</v>
      </c>
      <c r="F113" s="3">
        <f t="shared" si="5"/>
        <v>304</v>
      </c>
      <c r="G113" s="3" t="s">
        <v>930</v>
      </c>
      <c r="H113" s="308" t="s">
        <v>999</v>
      </c>
      <c r="I113" s="308" t="s">
        <v>1025</v>
      </c>
      <c r="J113" s="308" t="s">
        <v>1356</v>
      </c>
      <c r="K113" s="308" t="s">
        <v>1121</v>
      </c>
      <c r="L113" s="308">
        <v>0</v>
      </c>
      <c r="M113" s="308" t="s">
        <v>1136</v>
      </c>
      <c r="N113" s="309">
        <v>45821</v>
      </c>
      <c r="O113" s="308">
        <v>0</v>
      </c>
      <c r="P113" s="308">
        <v>0</v>
      </c>
    </row>
    <row r="114" spans="2:16" x14ac:dyDescent="0.3">
      <c r="B114" t="str">
        <f t="shared" si="4"/>
        <v>Jun-25</v>
      </c>
      <c r="C114" s="307">
        <v>45827</v>
      </c>
      <c r="D114" s="310">
        <v>1</v>
      </c>
      <c r="E114" s="308">
        <v>91050</v>
      </c>
      <c r="F114" s="3">
        <f t="shared" si="5"/>
        <v>91050</v>
      </c>
      <c r="G114" s="3" t="s">
        <v>930</v>
      </c>
      <c r="H114" s="308" t="s">
        <v>999</v>
      </c>
      <c r="I114" s="308" t="s">
        <v>1090</v>
      </c>
      <c r="J114" s="308" t="s">
        <v>1356</v>
      </c>
      <c r="K114" s="308" t="s">
        <v>936</v>
      </c>
      <c r="L114" s="308" t="s">
        <v>1125</v>
      </c>
      <c r="M114" s="308" t="s">
        <v>1228</v>
      </c>
      <c r="N114" s="309">
        <v>45827</v>
      </c>
      <c r="O114" s="308" t="s">
        <v>1267</v>
      </c>
      <c r="P114" s="308" t="s">
        <v>1313</v>
      </c>
    </row>
    <row r="115" spans="2:16" x14ac:dyDescent="0.3">
      <c r="B115" t="str">
        <f t="shared" si="4"/>
        <v>Jun-25</v>
      </c>
      <c r="C115" s="307">
        <v>45833</v>
      </c>
      <c r="D115" s="310">
        <v>1</v>
      </c>
      <c r="E115" s="308">
        <v>95200</v>
      </c>
      <c r="F115" s="3">
        <f t="shared" si="5"/>
        <v>95200</v>
      </c>
      <c r="G115" s="3" t="s">
        <v>930</v>
      </c>
      <c r="H115" s="308" t="s">
        <v>999</v>
      </c>
      <c r="I115" s="308" t="s">
        <v>1110</v>
      </c>
      <c r="J115" s="308" t="s">
        <v>1356</v>
      </c>
      <c r="K115" s="308" t="s">
        <v>936</v>
      </c>
      <c r="L115" s="308" t="s">
        <v>1125</v>
      </c>
      <c r="M115" s="308" t="s">
        <v>1229</v>
      </c>
      <c r="N115" s="309">
        <v>45833</v>
      </c>
      <c r="O115" s="308" t="s">
        <v>1267</v>
      </c>
      <c r="P115" s="308" t="s">
        <v>1313</v>
      </c>
    </row>
    <row r="116" spans="2:16" x14ac:dyDescent="0.3">
      <c r="B116" t="str">
        <f t="shared" si="4"/>
        <v>Nov-24</v>
      </c>
      <c r="C116" s="307">
        <v>45616</v>
      </c>
      <c r="D116" s="310">
        <v>10000</v>
      </c>
      <c r="E116" s="308">
        <v>10</v>
      </c>
      <c r="F116" s="3">
        <f t="shared" si="5"/>
        <v>100000</v>
      </c>
      <c r="G116" s="3" t="s">
        <v>930</v>
      </c>
      <c r="H116" s="308" t="s">
        <v>1007</v>
      </c>
      <c r="I116" s="308" t="s">
        <v>634</v>
      </c>
      <c r="J116" s="308" t="s">
        <v>1353</v>
      </c>
      <c r="K116" s="308" t="s">
        <v>934</v>
      </c>
      <c r="L116" s="308" t="s">
        <v>1125</v>
      </c>
      <c r="M116" s="308" t="s">
        <v>1193</v>
      </c>
      <c r="N116" s="309">
        <v>45604</v>
      </c>
      <c r="O116" s="308" t="s">
        <v>1276</v>
      </c>
      <c r="P116" s="308" t="s">
        <v>1320</v>
      </c>
    </row>
    <row r="117" spans="2:16" x14ac:dyDescent="0.3">
      <c r="B117" t="str">
        <f t="shared" si="4"/>
        <v>Mar-25</v>
      </c>
      <c r="C117" s="307">
        <v>45723</v>
      </c>
      <c r="D117" s="310">
        <v>1</v>
      </c>
      <c r="E117" s="308">
        <v>250000</v>
      </c>
      <c r="F117" s="3">
        <f t="shared" si="5"/>
        <v>250000</v>
      </c>
      <c r="G117" s="3" t="s">
        <v>930</v>
      </c>
      <c r="H117" s="308" t="s">
        <v>1004</v>
      </c>
      <c r="I117" s="308" t="s">
        <v>1067</v>
      </c>
      <c r="J117" s="308" t="s">
        <v>1355</v>
      </c>
      <c r="K117" s="308" t="s">
        <v>1122</v>
      </c>
      <c r="L117" s="308" t="s">
        <v>1125</v>
      </c>
      <c r="M117" s="308" t="s">
        <v>1216</v>
      </c>
      <c r="N117" s="309">
        <v>45719</v>
      </c>
      <c r="O117" s="308" t="s">
        <v>1287</v>
      </c>
      <c r="P117" s="308" t="s">
        <v>1311</v>
      </c>
    </row>
    <row r="118" spans="2:16" x14ac:dyDescent="0.3">
      <c r="B118" t="str">
        <f t="shared" si="4"/>
        <v>Mar-25</v>
      </c>
      <c r="C118" s="307">
        <v>45723</v>
      </c>
      <c r="D118" s="310">
        <v>1</v>
      </c>
      <c r="E118" s="308">
        <v>250000</v>
      </c>
      <c r="F118" s="3">
        <f t="shared" si="5"/>
        <v>250000</v>
      </c>
      <c r="G118" s="3" t="s">
        <v>930</v>
      </c>
      <c r="H118" s="308" t="s">
        <v>1004</v>
      </c>
      <c r="I118" s="308" t="s">
        <v>1073</v>
      </c>
      <c r="J118" s="308" t="s">
        <v>1356</v>
      </c>
      <c r="K118" s="308" t="s">
        <v>1122</v>
      </c>
      <c r="L118" s="308" t="s">
        <v>1125</v>
      </c>
      <c r="M118" s="308" t="s">
        <v>1217</v>
      </c>
      <c r="N118" s="309">
        <v>45719</v>
      </c>
      <c r="O118" s="308" t="s">
        <v>1288</v>
      </c>
      <c r="P118" s="308" t="s">
        <v>1311</v>
      </c>
    </row>
    <row r="119" spans="2:16" x14ac:dyDescent="0.3">
      <c r="B119" t="str">
        <f t="shared" si="4"/>
        <v>Apr-25</v>
      </c>
      <c r="C119" s="307">
        <v>45758</v>
      </c>
      <c r="D119" s="310">
        <v>1</v>
      </c>
      <c r="E119" s="308">
        <v>250000</v>
      </c>
      <c r="F119" s="3">
        <f t="shared" si="5"/>
        <v>250000</v>
      </c>
      <c r="G119" s="3" t="s">
        <v>930</v>
      </c>
      <c r="H119" s="308" t="s">
        <v>1004</v>
      </c>
      <c r="I119" s="308" t="s">
        <v>1067</v>
      </c>
      <c r="J119" s="308" t="s">
        <v>1356</v>
      </c>
      <c r="K119" s="308" t="s">
        <v>1122</v>
      </c>
      <c r="L119" s="308" t="s">
        <v>1125</v>
      </c>
      <c r="M119" s="308" t="s">
        <v>1178</v>
      </c>
      <c r="N119" s="309">
        <v>45749</v>
      </c>
      <c r="O119" s="308" t="s">
        <v>1265</v>
      </c>
      <c r="P119" s="308" t="s">
        <v>1311</v>
      </c>
    </row>
    <row r="120" spans="2:16" x14ac:dyDescent="0.3">
      <c r="B120" t="str">
        <f t="shared" si="4"/>
        <v>May-25</v>
      </c>
      <c r="C120" s="307">
        <v>45782</v>
      </c>
      <c r="D120" s="310">
        <v>1</v>
      </c>
      <c r="E120" s="308">
        <v>250000</v>
      </c>
      <c r="F120" s="3">
        <f t="shared" si="5"/>
        <v>250000</v>
      </c>
      <c r="G120" s="3" t="s">
        <v>930</v>
      </c>
      <c r="H120" s="308" t="s">
        <v>1004</v>
      </c>
      <c r="I120" s="308" t="s">
        <v>1073</v>
      </c>
      <c r="J120" s="308" t="s">
        <v>1356</v>
      </c>
      <c r="K120" s="308" t="s">
        <v>1122</v>
      </c>
      <c r="L120" s="308" t="s">
        <v>1125</v>
      </c>
      <c r="M120" s="308" t="s">
        <v>1184</v>
      </c>
      <c r="N120" s="309">
        <v>45780</v>
      </c>
      <c r="O120" s="308" t="s">
        <v>1270</v>
      </c>
      <c r="P120" s="308" t="s">
        <v>1311</v>
      </c>
    </row>
    <row r="121" spans="2:16" x14ac:dyDescent="0.3">
      <c r="B121" t="str">
        <f t="shared" si="4"/>
        <v>Jun-25</v>
      </c>
      <c r="C121" s="307">
        <v>45815</v>
      </c>
      <c r="D121" s="310">
        <v>1</v>
      </c>
      <c r="E121" s="308">
        <v>250000</v>
      </c>
      <c r="F121" s="3">
        <f t="shared" si="5"/>
        <v>250000</v>
      </c>
      <c r="G121" s="3" t="s">
        <v>930</v>
      </c>
      <c r="H121" s="308" t="s">
        <v>1004</v>
      </c>
      <c r="I121" s="308" t="s">
        <v>922</v>
      </c>
      <c r="J121" s="308" t="s">
        <v>1356</v>
      </c>
      <c r="K121" s="308" t="s">
        <v>1122</v>
      </c>
      <c r="L121" s="308" t="s">
        <v>1125</v>
      </c>
      <c r="M121" s="308" t="s">
        <v>1191</v>
      </c>
      <c r="N121" s="309">
        <v>45815</v>
      </c>
      <c r="O121" s="308" t="s">
        <v>1274</v>
      </c>
      <c r="P121" s="308" t="s">
        <v>1311</v>
      </c>
    </row>
    <row r="122" spans="2:16" x14ac:dyDescent="0.3">
      <c r="B122" t="str">
        <f t="shared" si="4"/>
        <v>Dec-24</v>
      </c>
      <c r="C122" s="307">
        <v>45643</v>
      </c>
      <c r="D122" s="310">
        <v>1</v>
      </c>
      <c r="E122" s="308">
        <v>8000</v>
      </c>
      <c r="F122" s="3">
        <f t="shared" si="5"/>
        <v>8000</v>
      </c>
      <c r="G122" s="3" t="s">
        <v>1351</v>
      </c>
      <c r="H122" s="308" t="s">
        <v>1009</v>
      </c>
      <c r="I122" s="308" t="s">
        <v>1085</v>
      </c>
      <c r="J122" s="308" t="s">
        <v>1353</v>
      </c>
      <c r="K122" s="308" t="s">
        <v>939</v>
      </c>
      <c r="L122" s="308" t="s">
        <v>1125</v>
      </c>
      <c r="M122" s="308" t="s">
        <v>1198</v>
      </c>
      <c r="N122" s="309">
        <v>45638</v>
      </c>
      <c r="O122" s="308" t="s">
        <v>1278</v>
      </c>
      <c r="P122" s="308" t="s">
        <v>1326</v>
      </c>
    </row>
    <row r="123" spans="2:16" x14ac:dyDescent="0.3">
      <c r="B123" t="str">
        <f t="shared" si="4"/>
        <v>Nov-24</v>
      </c>
      <c r="C123" s="307">
        <v>45608</v>
      </c>
      <c r="D123" s="310">
        <v>1</v>
      </c>
      <c r="E123" s="308">
        <v>63640</v>
      </c>
      <c r="F123" s="3">
        <f t="shared" si="5"/>
        <v>63640</v>
      </c>
      <c r="G123" s="3" t="s">
        <v>930</v>
      </c>
      <c r="H123" s="308" t="s">
        <v>1001</v>
      </c>
      <c r="I123" s="308" t="s">
        <v>1044</v>
      </c>
      <c r="J123" s="308" t="s">
        <v>1353</v>
      </c>
      <c r="K123" s="308" t="s">
        <v>935</v>
      </c>
      <c r="L123" s="308">
        <v>0</v>
      </c>
      <c r="M123" s="308" t="s">
        <v>1155</v>
      </c>
      <c r="N123" s="309">
        <v>45608</v>
      </c>
      <c r="O123" s="308" t="s">
        <v>1255</v>
      </c>
      <c r="P123" s="308" t="s">
        <v>1305</v>
      </c>
    </row>
    <row r="124" spans="2:16" x14ac:dyDescent="0.3">
      <c r="B124" t="str">
        <f t="shared" si="4"/>
        <v>Nov-24</v>
      </c>
      <c r="C124" s="307">
        <v>45615</v>
      </c>
      <c r="D124" s="310">
        <v>1</v>
      </c>
      <c r="E124" s="308">
        <v>8875</v>
      </c>
      <c r="F124" s="3">
        <f t="shared" si="5"/>
        <v>8875</v>
      </c>
      <c r="G124" s="3" t="s">
        <v>930</v>
      </c>
      <c r="H124" s="308" t="s">
        <v>1001</v>
      </c>
      <c r="I124" s="308" t="s">
        <v>1045</v>
      </c>
      <c r="J124" s="308" t="s">
        <v>1353</v>
      </c>
      <c r="K124" s="308" t="s">
        <v>935</v>
      </c>
      <c r="L124" s="308">
        <v>0</v>
      </c>
      <c r="M124" s="308" t="s">
        <v>1156</v>
      </c>
      <c r="N124" s="309">
        <v>45613</v>
      </c>
      <c r="O124" s="308" t="s">
        <v>1255</v>
      </c>
      <c r="P124" s="308" t="s">
        <v>1305</v>
      </c>
    </row>
    <row r="125" spans="2:16" x14ac:dyDescent="0.3">
      <c r="B125" t="str">
        <f t="shared" si="4"/>
        <v>Nov-24</v>
      </c>
      <c r="C125" s="307">
        <v>45626</v>
      </c>
      <c r="D125" s="310">
        <v>1</v>
      </c>
      <c r="E125" s="308">
        <v>18650</v>
      </c>
      <c r="F125" s="3">
        <f t="shared" si="5"/>
        <v>18650</v>
      </c>
      <c r="G125" s="3" t="s">
        <v>930</v>
      </c>
      <c r="H125" s="308" t="s">
        <v>1001</v>
      </c>
      <c r="I125" s="308" t="s">
        <v>1081</v>
      </c>
      <c r="J125" s="308" t="s">
        <v>1353</v>
      </c>
      <c r="K125" s="308" t="s">
        <v>935</v>
      </c>
      <c r="L125" s="308" t="s">
        <v>1125</v>
      </c>
      <c r="M125" s="308" t="s">
        <v>1194</v>
      </c>
      <c r="N125" s="309">
        <v>45626</v>
      </c>
      <c r="O125" s="308" t="s">
        <v>1255</v>
      </c>
      <c r="P125" s="308" t="s">
        <v>1305</v>
      </c>
    </row>
    <row r="126" spans="2:16" x14ac:dyDescent="0.3">
      <c r="B126" t="str">
        <f t="shared" si="4"/>
        <v>Dec-24</v>
      </c>
      <c r="C126" s="307">
        <v>45644</v>
      </c>
      <c r="D126" s="310">
        <v>1</v>
      </c>
      <c r="E126" s="308">
        <v>4690</v>
      </c>
      <c r="F126" s="3">
        <f t="shared" si="5"/>
        <v>4690</v>
      </c>
      <c r="G126" s="3" t="s">
        <v>930</v>
      </c>
      <c r="H126" s="308" t="s">
        <v>1001</v>
      </c>
      <c r="I126" s="308" t="s">
        <v>1084</v>
      </c>
      <c r="J126" s="308" t="s">
        <v>1353</v>
      </c>
      <c r="K126" s="308" t="s">
        <v>935</v>
      </c>
      <c r="L126" s="308" t="s">
        <v>1125</v>
      </c>
      <c r="M126" s="308" t="s">
        <v>1197</v>
      </c>
      <c r="N126" s="309">
        <v>45642</v>
      </c>
      <c r="O126" s="308" t="s">
        <v>1255</v>
      </c>
      <c r="P126" s="308" t="s">
        <v>1305</v>
      </c>
    </row>
    <row r="127" spans="2:16" x14ac:dyDescent="0.3">
      <c r="B127" t="str">
        <f t="shared" si="4"/>
        <v>Dec-24</v>
      </c>
      <c r="C127" s="307">
        <v>45656</v>
      </c>
      <c r="D127" s="310">
        <v>1</v>
      </c>
      <c r="E127" s="308">
        <v>1270</v>
      </c>
      <c r="F127" s="3">
        <f t="shared" si="5"/>
        <v>1270</v>
      </c>
      <c r="G127" s="3" t="s">
        <v>930</v>
      </c>
      <c r="H127" s="308" t="s">
        <v>1001</v>
      </c>
      <c r="I127" s="308" t="s">
        <v>1086</v>
      </c>
      <c r="J127" s="308" t="s">
        <v>1353</v>
      </c>
      <c r="K127" s="308" t="s">
        <v>935</v>
      </c>
      <c r="L127" s="308" t="s">
        <v>1125</v>
      </c>
      <c r="M127" s="308" t="s">
        <v>1199</v>
      </c>
      <c r="N127" s="309">
        <v>45656</v>
      </c>
      <c r="O127" s="308" t="s">
        <v>1255</v>
      </c>
      <c r="P127" s="308" t="s">
        <v>1305</v>
      </c>
    </row>
    <row r="128" spans="2:16" x14ac:dyDescent="0.3">
      <c r="B128" t="str">
        <f t="shared" si="4"/>
        <v>Dec-24</v>
      </c>
      <c r="C128" s="307">
        <v>45642</v>
      </c>
      <c r="D128" s="310">
        <v>15</v>
      </c>
      <c r="E128" s="308">
        <v>30</v>
      </c>
      <c r="F128" s="3">
        <f t="shared" si="5"/>
        <v>450</v>
      </c>
      <c r="G128" s="3" t="s">
        <v>930</v>
      </c>
      <c r="H128" s="308" t="s">
        <v>1003</v>
      </c>
      <c r="I128" s="308" t="s">
        <v>1083</v>
      </c>
      <c r="J128" s="308" t="s">
        <v>1353</v>
      </c>
      <c r="K128" s="308" t="s">
        <v>937</v>
      </c>
      <c r="L128" s="308" t="s">
        <v>1125</v>
      </c>
      <c r="M128" s="308" t="s">
        <v>1196</v>
      </c>
      <c r="N128" s="309">
        <v>45627</v>
      </c>
      <c r="O128" s="308" t="s">
        <v>1264</v>
      </c>
      <c r="P128" s="308" t="s">
        <v>1310</v>
      </c>
    </row>
    <row r="129" spans="2:16" x14ac:dyDescent="0.3">
      <c r="B129" t="str">
        <f t="shared" si="4"/>
        <v>Jan-25</v>
      </c>
      <c r="C129" s="307">
        <v>45663</v>
      </c>
      <c r="D129" s="310">
        <v>63</v>
      </c>
      <c r="E129" s="308">
        <v>30</v>
      </c>
      <c r="F129" s="3">
        <f t="shared" si="5"/>
        <v>1890</v>
      </c>
      <c r="G129" s="3" t="s">
        <v>930</v>
      </c>
      <c r="H129" s="308" t="s">
        <v>1003</v>
      </c>
      <c r="I129" s="308" t="s">
        <v>1088</v>
      </c>
      <c r="J129" s="308" t="s">
        <v>1351</v>
      </c>
      <c r="K129" s="308" t="s">
        <v>937</v>
      </c>
      <c r="L129" s="308" t="s">
        <v>1125</v>
      </c>
      <c r="M129" s="308" t="s">
        <v>1201</v>
      </c>
      <c r="N129" s="309">
        <v>45658</v>
      </c>
      <c r="O129" s="308" t="s">
        <v>1264</v>
      </c>
      <c r="P129" s="308" t="s">
        <v>1310</v>
      </c>
    </row>
    <row r="130" spans="2:16" x14ac:dyDescent="0.3">
      <c r="B130" t="str">
        <f t="shared" si="4"/>
        <v>Jan-25</v>
      </c>
      <c r="C130" s="307">
        <v>45663</v>
      </c>
      <c r="D130" s="310">
        <v>1</v>
      </c>
      <c r="E130" s="308">
        <v>150</v>
      </c>
      <c r="F130" s="3">
        <f t="shared" si="5"/>
        <v>150</v>
      </c>
      <c r="G130" s="3" t="s">
        <v>930</v>
      </c>
      <c r="H130" s="308" t="s">
        <v>1003</v>
      </c>
      <c r="I130" s="308" t="s">
        <v>1088</v>
      </c>
      <c r="J130" s="308" t="s">
        <v>1353</v>
      </c>
      <c r="K130" s="308" t="s">
        <v>937</v>
      </c>
      <c r="L130" s="308" t="s">
        <v>1125</v>
      </c>
      <c r="M130" s="308" t="s">
        <v>1201</v>
      </c>
      <c r="N130" s="309">
        <v>45658</v>
      </c>
      <c r="O130" s="308" t="s">
        <v>1264</v>
      </c>
      <c r="P130" s="308" t="s">
        <v>1328</v>
      </c>
    </row>
    <row r="131" spans="2:16" x14ac:dyDescent="0.3">
      <c r="B131" t="str">
        <f t="shared" si="4"/>
        <v>Feb-25</v>
      </c>
      <c r="C131" s="307">
        <v>45702</v>
      </c>
      <c r="D131" s="310">
        <v>26</v>
      </c>
      <c r="E131" s="308">
        <v>30</v>
      </c>
      <c r="F131" s="3">
        <f t="shared" ref="F131:F162" si="6">D131*E131</f>
        <v>780</v>
      </c>
      <c r="G131" s="3" t="s">
        <v>930</v>
      </c>
      <c r="H131" s="308" t="s">
        <v>1003</v>
      </c>
      <c r="I131" s="308" t="s">
        <v>1097</v>
      </c>
      <c r="J131" s="308" t="s">
        <v>1356</v>
      </c>
      <c r="K131" s="308" t="s">
        <v>937</v>
      </c>
      <c r="L131" s="308" t="s">
        <v>1125</v>
      </c>
      <c r="M131" s="308" t="s">
        <v>1210</v>
      </c>
      <c r="N131" s="309">
        <v>45689</v>
      </c>
      <c r="O131" s="308" t="s">
        <v>1264</v>
      </c>
      <c r="P131" s="308" t="s">
        <v>1310</v>
      </c>
    </row>
    <row r="132" spans="2:16" x14ac:dyDescent="0.3">
      <c r="B132" t="str">
        <f t="shared" ref="B132:B193" si="7">TEXT(C132,"mmm-yy")</f>
        <v>Apr-25</v>
      </c>
      <c r="C132" s="307">
        <v>45758</v>
      </c>
      <c r="D132" s="310">
        <v>13</v>
      </c>
      <c r="E132" s="308">
        <v>30</v>
      </c>
      <c r="F132" s="3">
        <f t="shared" si="6"/>
        <v>390</v>
      </c>
      <c r="G132" s="3" t="s">
        <v>930</v>
      </c>
      <c r="H132" s="308" t="s">
        <v>1003</v>
      </c>
      <c r="I132" s="308" t="s">
        <v>1066</v>
      </c>
      <c r="J132" s="308" t="s">
        <v>1356</v>
      </c>
      <c r="K132" s="308" t="s">
        <v>937</v>
      </c>
      <c r="L132" s="308" t="s">
        <v>1125</v>
      </c>
      <c r="M132" s="308" t="s">
        <v>1177</v>
      </c>
      <c r="N132" s="309">
        <v>45748</v>
      </c>
      <c r="O132" s="308" t="s">
        <v>1264</v>
      </c>
      <c r="P132" s="308" t="s">
        <v>1310</v>
      </c>
    </row>
    <row r="133" spans="2:16" x14ac:dyDescent="0.3">
      <c r="B133" t="str">
        <f t="shared" si="7"/>
        <v>Jun-25</v>
      </c>
      <c r="C133" s="307">
        <v>45815</v>
      </c>
      <c r="D133" s="310">
        <v>44</v>
      </c>
      <c r="E133" s="308">
        <v>30</v>
      </c>
      <c r="F133" s="3">
        <f t="shared" si="6"/>
        <v>1320</v>
      </c>
      <c r="G133" s="3" t="s">
        <v>930</v>
      </c>
      <c r="H133" s="308" t="s">
        <v>1003</v>
      </c>
      <c r="I133" s="308" t="s">
        <v>1079</v>
      </c>
      <c r="J133" s="308" t="s">
        <v>1356</v>
      </c>
      <c r="K133" s="308" t="s">
        <v>937</v>
      </c>
      <c r="L133" s="308" t="s">
        <v>1125</v>
      </c>
      <c r="M133" s="308" t="s">
        <v>1190</v>
      </c>
      <c r="N133" s="309">
        <v>45809</v>
      </c>
      <c r="O133" s="308" t="s">
        <v>1264</v>
      </c>
      <c r="P133" s="308" t="s">
        <v>1310</v>
      </c>
    </row>
    <row r="134" spans="2:16" x14ac:dyDescent="0.3">
      <c r="B134" t="str">
        <f t="shared" si="7"/>
        <v>Jan-25</v>
      </c>
      <c r="C134" s="307">
        <v>45680</v>
      </c>
      <c r="D134" s="310">
        <v>1</v>
      </c>
      <c r="E134" s="308">
        <v>1560000</v>
      </c>
      <c r="F134" s="3">
        <f t="shared" si="6"/>
        <v>1560000</v>
      </c>
      <c r="G134" s="3" t="s">
        <v>1351</v>
      </c>
      <c r="H134" s="308" t="s">
        <v>1002</v>
      </c>
      <c r="I134" s="308" t="s">
        <v>1091</v>
      </c>
      <c r="J134" s="308" t="s">
        <v>1356</v>
      </c>
      <c r="K134" s="308" t="s">
        <v>943</v>
      </c>
      <c r="L134" s="308" t="s">
        <v>1125</v>
      </c>
      <c r="M134" s="308" t="s">
        <v>1204</v>
      </c>
      <c r="N134" s="309">
        <v>45679</v>
      </c>
      <c r="O134" s="308" t="s">
        <v>1281</v>
      </c>
      <c r="P134" s="308" t="s">
        <v>1309</v>
      </c>
    </row>
    <row r="135" spans="2:16" x14ac:dyDescent="0.3">
      <c r="B135" t="str">
        <f t="shared" si="7"/>
        <v>Jan-25</v>
      </c>
      <c r="C135" s="307">
        <v>45680</v>
      </c>
      <c r="D135" s="310">
        <v>1025</v>
      </c>
      <c r="E135" s="308">
        <v>125</v>
      </c>
      <c r="F135" s="3">
        <f t="shared" si="6"/>
        <v>128125</v>
      </c>
      <c r="G135" s="3" t="s">
        <v>930</v>
      </c>
      <c r="H135" s="308" t="s">
        <v>1002</v>
      </c>
      <c r="I135" s="308" t="s">
        <v>1092</v>
      </c>
      <c r="J135" s="308" t="s">
        <v>1355</v>
      </c>
      <c r="K135" s="308" t="s">
        <v>943</v>
      </c>
      <c r="L135" s="308" t="s">
        <v>1125</v>
      </c>
      <c r="M135" s="308" t="s">
        <v>1205</v>
      </c>
      <c r="N135" s="309">
        <v>45679</v>
      </c>
      <c r="O135" s="308" t="s">
        <v>1282</v>
      </c>
      <c r="P135" s="308" t="s">
        <v>1331</v>
      </c>
    </row>
    <row r="136" spans="2:16" x14ac:dyDescent="0.3">
      <c r="B136" t="str">
        <f t="shared" si="7"/>
        <v>Mar-25</v>
      </c>
      <c r="C136" s="307">
        <v>45734</v>
      </c>
      <c r="D136" s="310">
        <v>210</v>
      </c>
      <c r="E136" s="308">
        <v>125</v>
      </c>
      <c r="F136" s="3">
        <f t="shared" si="6"/>
        <v>26250</v>
      </c>
      <c r="G136" s="3" t="s">
        <v>930</v>
      </c>
      <c r="H136" s="308" t="s">
        <v>1002</v>
      </c>
      <c r="I136" s="308" t="s">
        <v>1103</v>
      </c>
      <c r="J136" s="308" t="s">
        <v>1356</v>
      </c>
      <c r="K136" s="308" t="s">
        <v>943</v>
      </c>
      <c r="L136" s="308" t="s">
        <v>1125</v>
      </c>
      <c r="M136" s="308" t="s">
        <v>1218</v>
      </c>
      <c r="N136" s="309">
        <v>45733</v>
      </c>
      <c r="O136" s="308" t="s">
        <v>1282</v>
      </c>
      <c r="P136" s="308" t="s">
        <v>1331</v>
      </c>
    </row>
    <row r="137" spans="2:16" x14ac:dyDescent="0.3">
      <c r="B137" t="str">
        <f t="shared" si="7"/>
        <v>Mar-25</v>
      </c>
      <c r="C137" s="307">
        <v>45736</v>
      </c>
      <c r="D137" s="310">
        <v>1</v>
      </c>
      <c r="E137" s="308">
        <v>520500</v>
      </c>
      <c r="F137" s="3">
        <f t="shared" si="6"/>
        <v>520500</v>
      </c>
      <c r="G137" s="3" t="s">
        <v>1351</v>
      </c>
      <c r="H137" s="308" t="s">
        <v>1002</v>
      </c>
      <c r="I137" s="308" t="s">
        <v>1060</v>
      </c>
      <c r="J137" s="308" t="s">
        <v>1353</v>
      </c>
      <c r="K137" s="308" t="s">
        <v>943</v>
      </c>
      <c r="L137" s="308">
        <v>0</v>
      </c>
      <c r="M137" s="308" t="s">
        <v>1171</v>
      </c>
      <c r="N137" s="309">
        <v>45735</v>
      </c>
      <c r="O137" s="308" t="s">
        <v>1263</v>
      </c>
      <c r="P137" s="308" t="s">
        <v>1309</v>
      </c>
    </row>
    <row r="138" spans="2:16" x14ac:dyDescent="0.3">
      <c r="B138" t="str">
        <f t="shared" si="7"/>
        <v>Jan-25</v>
      </c>
      <c r="C138" s="307">
        <v>45665</v>
      </c>
      <c r="D138" s="310">
        <v>1</v>
      </c>
      <c r="E138" s="308">
        <v>8500</v>
      </c>
      <c r="F138" s="3">
        <f t="shared" si="6"/>
        <v>8500</v>
      </c>
      <c r="G138" s="3" t="s">
        <v>930</v>
      </c>
      <c r="H138" s="308" t="s">
        <v>1011</v>
      </c>
      <c r="I138" s="308" t="s">
        <v>1089</v>
      </c>
      <c r="J138" s="308" t="s">
        <v>1353</v>
      </c>
      <c r="K138" s="308" t="s">
        <v>939</v>
      </c>
      <c r="L138" s="308" t="s">
        <v>1125</v>
      </c>
      <c r="M138" s="308" t="s">
        <v>1202</v>
      </c>
      <c r="N138" s="309">
        <v>45664</v>
      </c>
      <c r="O138" s="308" t="s">
        <v>1280</v>
      </c>
      <c r="P138" s="308" t="s">
        <v>1329</v>
      </c>
    </row>
    <row r="139" spans="2:16" x14ac:dyDescent="0.3">
      <c r="B139" t="str">
        <f t="shared" si="7"/>
        <v>Dec-24</v>
      </c>
      <c r="C139" s="307">
        <v>45657</v>
      </c>
      <c r="D139" s="310">
        <v>1</v>
      </c>
      <c r="E139" s="308">
        <v>40000</v>
      </c>
      <c r="F139" s="3">
        <f t="shared" si="6"/>
        <v>40000</v>
      </c>
      <c r="G139" s="3" t="s">
        <v>930</v>
      </c>
      <c r="H139" s="308" t="s">
        <v>1010</v>
      </c>
      <c r="I139" s="308" t="s">
        <v>1087</v>
      </c>
      <c r="J139" s="308" t="s">
        <v>1353</v>
      </c>
      <c r="K139" s="308" t="s">
        <v>938</v>
      </c>
      <c r="L139" s="308" t="s">
        <v>1125</v>
      </c>
      <c r="M139" s="308" t="s">
        <v>1200</v>
      </c>
      <c r="N139" s="309">
        <v>45655</v>
      </c>
      <c r="O139" s="308" t="s">
        <v>1279</v>
      </c>
      <c r="P139" s="308" t="s">
        <v>1327</v>
      </c>
    </row>
    <row r="140" spans="2:16" x14ac:dyDescent="0.3">
      <c r="B140" t="str">
        <f t="shared" si="7"/>
        <v>Jan-25</v>
      </c>
      <c r="C140" s="307">
        <v>45658</v>
      </c>
      <c r="D140" s="310">
        <v>1</v>
      </c>
      <c r="E140" s="308">
        <v>155000</v>
      </c>
      <c r="F140" s="3">
        <f t="shared" si="6"/>
        <v>155000</v>
      </c>
      <c r="G140" s="3" t="s">
        <v>930</v>
      </c>
      <c r="H140" s="308" t="s">
        <v>1013</v>
      </c>
      <c r="I140" s="308" t="s">
        <v>1112</v>
      </c>
      <c r="J140" s="308" t="s">
        <v>1353</v>
      </c>
      <c r="K140" s="308" t="s">
        <v>1123</v>
      </c>
      <c r="L140" s="308" t="s">
        <v>1125</v>
      </c>
      <c r="M140" s="308" t="s">
        <v>1236</v>
      </c>
      <c r="N140" s="309">
        <v>45649</v>
      </c>
      <c r="O140" s="308" t="s">
        <v>1294</v>
      </c>
      <c r="P140" s="308" t="s">
        <v>1342</v>
      </c>
    </row>
    <row r="141" spans="2:16" x14ac:dyDescent="0.3">
      <c r="B141" t="str">
        <f t="shared" si="7"/>
        <v>Jan-25</v>
      </c>
      <c r="C141" s="307">
        <v>45660</v>
      </c>
      <c r="D141" s="310">
        <v>1</v>
      </c>
      <c r="E141" s="308">
        <v>155000</v>
      </c>
      <c r="F141" s="3">
        <f t="shared" si="6"/>
        <v>155000</v>
      </c>
      <c r="G141" s="3" t="s">
        <v>930</v>
      </c>
      <c r="H141" s="308" t="s">
        <v>1013</v>
      </c>
      <c r="I141" s="308" t="s">
        <v>1113</v>
      </c>
      <c r="J141" s="308" t="s">
        <v>1355</v>
      </c>
      <c r="K141" s="308" t="s">
        <v>1123</v>
      </c>
      <c r="L141" s="308" t="s">
        <v>1125</v>
      </c>
      <c r="M141" s="308" t="s">
        <v>1237</v>
      </c>
      <c r="N141" s="309">
        <v>45660</v>
      </c>
      <c r="O141" s="308" t="s">
        <v>1295</v>
      </c>
      <c r="P141" s="308" t="s">
        <v>1343</v>
      </c>
    </row>
    <row r="142" spans="2:16" x14ac:dyDescent="0.3">
      <c r="B142" t="str">
        <f t="shared" si="7"/>
        <v>Feb-25</v>
      </c>
      <c r="C142" s="307">
        <v>45702</v>
      </c>
      <c r="D142" s="310">
        <v>1</v>
      </c>
      <c r="E142" s="308">
        <v>155000</v>
      </c>
      <c r="F142" s="3">
        <f t="shared" si="6"/>
        <v>155000</v>
      </c>
      <c r="G142" s="3" t="s">
        <v>930</v>
      </c>
      <c r="H142" s="308" t="s">
        <v>1013</v>
      </c>
      <c r="I142" s="308" t="s">
        <v>1114</v>
      </c>
      <c r="J142" s="308" t="s">
        <v>1355</v>
      </c>
      <c r="K142" s="308" t="s">
        <v>1123</v>
      </c>
      <c r="L142" s="308" t="s">
        <v>1125</v>
      </c>
      <c r="M142" s="308" t="s">
        <v>1239</v>
      </c>
      <c r="N142" s="309">
        <v>45693</v>
      </c>
      <c r="O142" s="308" t="s">
        <v>1296</v>
      </c>
      <c r="P142" s="308" t="s">
        <v>1345</v>
      </c>
    </row>
    <row r="143" spans="2:16" x14ac:dyDescent="0.3">
      <c r="B143" t="str">
        <f t="shared" si="7"/>
        <v>Mar-25</v>
      </c>
      <c r="C143" s="307">
        <v>45721</v>
      </c>
      <c r="D143" s="310">
        <v>1</v>
      </c>
      <c r="E143" s="308">
        <v>155000</v>
      </c>
      <c r="F143" s="3">
        <f t="shared" si="6"/>
        <v>155000</v>
      </c>
      <c r="G143" s="3" t="s">
        <v>930</v>
      </c>
      <c r="H143" s="308" t="s">
        <v>1013</v>
      </c>
      <c r="I143" s="308" t="s">
        <v>1117</v>
      </c>
      <c r="J143" s="308" t="s">
        <v>1355</v>
      </c>
      <c r="K143" s="308" t="s">
        <v>1123</v>
      </c>
      <c r="L143" s="308" t="s">
        <v>1125</v>
      </c>
      <c r="M143" s="308" t="s">
        <v>1242</v>
      </c>
      <c r="N143" s="309">
        <v>45721</v>
      </c>
      <c r="O143" s="308" t="s">
        <v>1299</v>
      </c>
      <c r="P143" s="308" t="s">
        <v>1347</v>
      </c>
    </row>
    <row r="144" spans="2:16" x14ac:dyDescent="0.3">
      <c r="B144" t="str">
        <f t="shared" si="7"/>
        <v>Apr-25</v>
      </c>
      <c r="C144" s="307">
        <v>45758</v>
      </c>
      <c r="D144" s="310">
        <v>1</v>
      </c>
      <c r="E144" s="308">
        <v>155000</v>
      </c>
      <c r="F144" s="3">
        <f t="shared" si="6"/>
        <v>155000</v>
      </c>
      <c r="G144" s="3" t="s">
        <v>930</v>
      </c>
      <c r="H144" s="308" t="s">
        <v>1013</v>
      </c>
      <c r="I144" s="308" t="s">
        <v>1067</v>
      </c>
      <c r="J144" s="308" t="s">
        <v>1356</v>
      </c>
      <c r="K144" s="308" t="s">
        <v>1123</v>
      </c>
      <c r="L144" s="308" t="s">
        <v>1125</v>
      </c>
      <c r="M144" s="308" t="s">
        <v>1219</v>
      </c>
      <c r="N144" s="309">
        <v>45752</v>
      </c>
      <c r="O144" s="308" t="s">
        <v>1289</v>
      </c>
      <c r="P144" s="308" t="s">
        <v>1336</v>
      </c>
    </row>
    <row r="145" spans="2:16" x14ac:dyDescent="0.3">
      <c r="B145" t="str">
        <f t="shared" si="7"/>
        <v>May-25</v>
      </c>
      <c r="C145" s="307">
        <v>45782</v>
      </c>
      <c r="D145" s="310">
        <v>1</v>
      </c>
      <c r="E145" s="308">
        <v>155000</v>
      </c>
      <c r="F145" s="3">
        <f t="shared" si="6"/>
        <v>155000</v>
      </c>
      <c r="G145" s="3" t="s">
        <v>930</v>
      </c>
      <c r="H145" s="308" t="s">
        <v>1013</v>
      </c>
      <c r="I145" s="308" t="s">
        <v>922</v>
      </c>
      <c r="J145" s="308" t="s">
        <v>1356</v>
      </c>
      <c r="K145" s="308" t="s">
        <v>1123</v>
      </c>
      <c r="L145" s="308" t="s">
        <v>1125</v>
      </c>
      <c r="M145" s="308" t="s">
        <v>1221</v>
      </c>
      <c r="N145" s="309">
        <v>45782</v>
      </c>
      <c r="O145" s="308" t="s">
        <v>1291</v>
      </c>
      <c r="P145" s="308" t="s">
        <v>1337</v>
      </c>
    </row>
    <row r="146" spans="2:16" x14ac:dyDescent="0.3">
      <c r="B146" t="str">
        <f t="shared" si="7"/>
        <v>Jun-25</v>
      </c>
      <c r="C146" s="307">
        <v>45815</v>
      </c>
      <c r="D146" s="310">
        <v>1</v>
      </c>
      <c r="E146" s="308">
        <v>155000</v>
      </c>
      <c r="F146" s="3">
        <f t="shared" si="6"/>
        <v>155000</v>
      </c>
      <c r="G146" s="3" t="s">
        <v>930</v>
      </c>
      <c r="H146" s="308" t="s">
        <v>1013</v>
      </c>
      <c r="I146" s="308" t="s">
        <v>341</v>
      </c>
      <c r="J146" s="308" t="s">
        <v>1356</v>
      </c>
      <c r="K146" s="308" t="s">
        <v>1123</v>
      </c>
      <c r="L146" s="308" t="s">
        <v>1125</v>
      </c>
      <c r="M146" s="308" t="s">
        <v>1226</v>
      </c>
      <c r="N146" s="309">
        <v>45810</v>
      </c>
      <c r="O146" s="308" t="s">
        <v>1293</v>
      </c>
      <c r="P146" s="308" t="s">
        <v>1338</v>
      </c>
    </row>
    <row r="147" spans="2:16" x14ac:dyDescent="0.3">
      <c r="B147" t="str">
        <f t="shared" si="7"/>
        <v>Jul-25</v>
      </c>
      <c r="C147" s="242">
        <v>45869</v>
      </c>
      <c r="D147">
        <v>1</v>
      </c>
      <c r="E147">
        <v>35000</v>
      </c>
      <c r="F147" s="315">
        <f t="shared" si="6"/>
        <v>35000</v>
      </c>
      <c r="G147" s="3" t="s">
        <v>930</v>
      </c>
      <c r="H147" s="233" t="s">
        <v>1014</v>
      </c>
      <c r="I147" s="233" t="s">
        <v>1541</v>
      </c>
      <c r="J147" t="s">
        <v>1356</v>
      </c>
      <c r="K147" s="233" t="s">
        <v>1123</v>
      </c>
      <c r="L147" s="233" t="s">
        <v>1125</v>
      </c>
      <c r="M147" s="233" t="s">
        <v>1557</v>
      </c>
      <c r="N147" s="331">
        <v>45839</v>
      </c>
      <c r="O147" s="233" t="s">
        <v>1562</v>
      </c>
      <c r="P147" s="233" t="s">
        <v>1563</v>
      </c>
    </row>
    <row r="148" spans="2:16" x14ac:dyDescent="0.3">
      <c r="B148" t="str">
        <f t="shared" si="7"/>
        <v>Jul-25</v>
      </c>
      <c r="C148" s="242">
        <v>45866</v>
      </c>
      <c r="D148">
        <v>1</v>
      </c>
      <c r="E148">
        <v>47800</v>
      </c>
      <c r="F148" s="315">
        <f t="shared" si="6"/>
        <v>47800</v>
      </c>
      <c r="G148" s="3" t="s">
        <v>930</v>
      </c>
      <c r="H148" s="233" t="s">
        <v>1000</v>
      </c>
      <c r="I148" s="233" t="s">
        <v>1533</v>
      </c>
      <c r="J148" t="s">
        <v>1355</v>
      </c>
      <c r="K148" s="233" t="s">
        <v>941</v>
      </c>
      <c r="L148" s="233" t="s">
        <v>1125</v>
      </c>
      <c r="M148" s="233" t="s">
        <v>1549</v>
      </c>
      <c r="N148" s="331">
        <v>45845</v>
      </c>
      <c r="O148" s="233" t="s">
        <v>1560</v>
      </c>
      <c r="P148" s="233" t="s">
        <v>1565</v>
      </c>
    </row>
    <row r="149" spans="2:16" x14ac:dyDescent="0.3">
      <c r="B149" t="str">
        <f t="shared" si="7"/>
        <v>Jul-25</v>
      </c>
      <c r="C149" s="242">
        <v>45862</v>
      </c>
      <c r="D149">
        <v>1</v>
      </c>
      <c r="E149">
        <v>1579.05</v>
      </c>
      <c r="F149" s="315">
        <f t="shared" si="6"/>
        <v>1579.05</v>
      </c>
      <c r="G149" s="3" t="s">
        <v>930</v>
      </c>
      <c r="H149" s="233" t="s">
        <v>1530</v>
      </c>
      <c r="I149" s="233" t="s">
        <v>1537</v>
      </c>
      <c r="J149" t="s">
        <v>1353</v>
      </c>
      <c r="K149" s="233" t="s">
        <v>932</v>
      </c>
      <c r="L149" s="233" t="s">
        <v>329</v>
      </c>
      <c r="M149" s="233" t="s">
        <v>1553</v>
      </c>
      <c r="N149" s="331">
        <v>45844</v>
      </c>
      <c r="O149" s="233" t="s">
        <v>329</v>
      </c>
      <c r="P149" s="233" t="s">
        <v>329</v>
      </c>
    </row>
    <row r="150" spans="2:16" x14ac:dyDescent="0.3">
      <c r="B150" t="str">
        <f t="shared" si="7"/>
        <v>Jul-25</v>
      </c>
      <c r="C150" s="242">
        <v>45862</v>
      </c>
      <c r="D150">
        <v>1</v>
      </c>
      <c r="E150">
        <v>785</v>
      </c>
      <c r="F150" s="315">
        <f t="shared" si="6"/>
        <v>785</v>
      </c>
      <c r="G150" s="3" t="s">
        <v>930</v>
      </c>
      <c r="H150" s="233" t="s">
        <v>1530</v>
      </c>
      <c r="I150" s="233" t="s">
        <v>1537</v>
      </c>
      <c r="J150" t="s">
        <v>1353</v>
      </c>
      <c r="K150" s="233" t="s">
        <v>933</v>
      </c>
      <c r="L150" s="233" t="s">
        <v>329</v>
      </c>
      <c r="M150" s="233" t="s">
        <v>1553</v>
      </c>
      <c r="N150" s="331">
        <v>45844</v>
      </c>
      <c r="O150" s="233" t="s">
        <v>329</v>
      </c>
      <c r="P150" s="233" t="s">
        <v>329</v>
      </c>
    </row>
    <row r="151" spans="2:16" x14ac:dyDescent="0.3">
      <c r="B151" t="str">
        <f t="shared" si="7"/>
        <v>Jul-25</v>
      </c>
      <c r="C151" s="242">
        <v>45862</v>
      </c>
      <c r="D151">
        <v>1</v>
      </c>
      <c r="E151">
        <v>2315.9699999999998</v>
      </c>
      <c r="F151" s="315">
        <f t="shared" si="6"/>
        <v>2315.9699999999998</v>
      </c>
      <c r="G151" s="3" t="s">
        <v>930</v>
      </c>
      <c r="H151" s="233" t="s">
        <v>1530</v>
      </c>
      <c r="I151" s="233" t="s">
        <v>1538</v>
      </c>
      <c r="J151" t="s">
        <v>1353</v>
      </c>
      <c r="K151" s="233" t="s">
        <v>929</v>
      </c>
      <c r="L151" s="233" t="s">
        <v>329</v>
      </c>
      <c r="M151" s="233" t="s">
        <v>1554</v>
      </c>
      <c r="N151" s="331">
        <v>45844</v>
      </c>
      <c r="O151" s="233" t="s">
        <v>329</v>
      </c>
      <c r="P151" s="233" t="s">
        <v>329</v>
      </c>
    </row>
    <row r="152" spans="2:16" x14ac:dyDescent="0.3">
      <c r="B152" t="str">
        <f t="shared" si="7"/>
        <v>Jul-25</v>
      </c>
      <c r="C152" s="242">
        <v>45862</v>
      </c>
      <c r="D152">
        <v>1</v>
      </c>
      <c r="E152">
        <v>1480</v>
      </c>
      <c r="F152" s="315">
        <f t="shared" si="6"/>
        <v>1480</v>
      </c>
      <c r="G152" s="3" t="s">
        <v>930</v>
      </c>
      <c r="H152" s="233" t="s">
        <v>1530</v>
      </c>
      <c r="I152" s="233" t="s">
        <v>1538</v>
      </c>
      <c r="J152" t="s">
        <v>1353</v>
      </c>
      <c r="K152" s="233" t="s">
        <v>933</v>
      </c>
      <c r="L152" s="233" t="s">
        <v>329</v>
      </c>
      <c r="M152" s="233" t="s">
        <v>1554</v>
      </c>
      <c r="N152" s="331">
        <v>45844</v>
      </c>
      <c r="O152" s="233" t="s">
        <v>329</v>
      </c>
      <c r="P152" s="233" t="s">
        <v>329</v>
      </c>
    </row>
    <row r="153" spans="2:16" x14ac:dyDescent="0.3">
      <c r="B153" t="str">
        <f t="shared" si="7"/>
        <v>Jul-25</v>
      </c>
      <c r="C153" s="242">
        <v>45841</v>
      </c>
      <c r="D153">
        <v>1</v>
      </c>
      <c r="E153">
        <v>98275</v>
      </c>
      <c r="F153" s="315">
        <f t="shared" si="6"/>
        <v>98275</v>
      </c>
      <c r="G153" s="3" t="s">
        <v>930</v>
      </c>
      <c r="H153" s="233" t="s">
        <v>999</v>
      </c>
      <c r="I153" s="233" t="s">
        <v>1107</v>
      </c>
      <c r="J153" t="s">
        <v>1356</v>
      </c>
      <c r="K153" s="233" t="s">
        <v>936</v>
      </c>
      <c r="L153" s="233" t="s">
        <v>1125</v>
      </c>
      <c r="M153" s="233" t="s">
        <v>1545</v>
      </c>
      <c r="N153" s="331">
        <v>45841</v>
      </c>
      <c r="O153" s="233" t="s">
        <v>1267</v>
      </c>
      <c r="P153" s="233" t="s">
        <v>1564</v>
      </c>
    </row>
    <row r="154" spans="2:16" x14ac:dyDescent="0.3">
      <c r="B154" t="str">
        <f t="shared" si="7"/>
        <v>Jul-25</v>
      </c>
      <c r="C154" s="242">
        <v>45845</v>
      </c>
      <c r="D154">
        <v>1</v>
      </c>
      <c r="E154">
        <v>33761</v>
      </c>
      <c r="F154" s="315">
        <f t="shared" si="6"/>
        <v>33761</v>
      </c>
      <c r="G154" s="3" t="s">
        <v>930</v>
      </c>
      <c r="H154" s="233" t="s">
        <v>999</v>
      </c>
      <c r="I154" s="233" t="s">
        <v>1118</v>
      </c>
      <c r="J154" t="s">
        <v>1356</v>
      </c>
      <c r="K154" s="233" t="s">
        <v>936</v>
      </c>
      <c r="L154" s="233" t="s">
        <v>1125</v>
      </c>
      <c r="M154" s="233" t="s">
        <v>1546</v>
      </c>
      <c r="N154" s="331">
        <v>45845</v>
      </c>
      <c r="O154" s="233" t="s">
        <v>1267</v>
      </c>
      <c r="P154" s="233" t="s">
        <v>1564</v>
      </c>
    </row>
    <row r="155" spans="2:16" x14ac:dyDescent="0.3">
      <c r="B155" t="str">
        <f t="shared" si="7"/>
        <v>Jul-25</v>
      </c>
      <c r="C155" s="242">
        <v>45859</v>
      </c>
      <c r="D155">
        <v>99</v>
      </c>
      <c r="E155">
        <v>4</v>
      </c>
      <c r="F155" s="315">
        <f t="shared" si="6"/>
        <v>396</v>
      </c>
      <c r="G155" s="3" t="s">
        <v>930</v>
      </c>
      <c r="H155" s="233" t="s">
        <v>999</v>
      </c>
      <c r="I155" s="233" t="s">
        <v>1532</v>
      </c>
      <c r="J155" t="s">
        <v>1354</v>
      </c>
      <c r="K155" s="233" t="s">
        <v>1121</v>
      </c>
      <c r="L155" s="233" t="s">
        <v>329</v>
      </c>
      <c r="M155" s="233" t="s">
        <v>1547</v>
      </c>
      <c r="N155" s="331">
        <v>45847</v>
      </c>
      <c r="O155" s="233" t="s">
        <v>329</v>
      </c>
      <c r="P155" s="233" t="s">
        <v>329</v>
      </c>
    </row>
    <row r="156" spans="2:16" x14ac:dyDescent="0.3">
      <c r="B156" t="str">
        <f t="shared" si="7"/>
        <v>Jul-25</v>
      </c>
      <c r="C156" s="242">
        <v>45860</v>
      </c>
      <c r="D156">
        <v>1</v>
      </c>
      <c r="E156">
        <v>42644</v>
      </c>
      <c r="F156" s="315">
        <f t="shared" si="6"/>
        <v>42644</v>
      </c>
      <c r="G156" s="3" t="s">
        <v>930</v>
      </c>
      <c r="H156" s="233" t="s">
        <v>999</v>
      </c>
      <c r="I156" s="233" t="s">
        <v>1120</v>
      </c>
      <c r="J156" t="s">
        <v>1356</v>
      </c>
      <c r="K156" s="233" t="s">
        <v>936</v>
      </c>
      <c r="L156" s="233" t="s">
        <v>1125</v>
      </c>
      <c r="M156" s="233" t="s">
        <v>1548</v>
      </c>
      <c r="N156" s="331">
        <v>45859</v>
      </c>
      <c r="O156" s="233" t="s">
        <v>1267</v>
      </c>
      <c r="P156" s="233" t="s">
        <v>1564</v>
      </c>
    </row>
    <row r="157" spans="2:16" x14ac:dyDescent="0.3">
      <c r="B157" t="str">
        <f t="shared" si="7"/>
        <v>Jul-25</v>
      </c>
      <c r="C157" s="242">
        <v>45867</v>
      </c>
      <c r="D157">
        <v>1</v>
      </c>
      <c r="E157">
        <v>28000</v>
      </c>
      <c r="F157" s="315">
        <f t="shared" si="6"/>
        <v>28000</v>
      </c>
      <c r="G157" s="3" t="s">
        <v>930</v>
      </c>
      <c r="H157" s="233" t="s">
        <v>999</v>
      </c>
      <c r="I157" s="233" t="s">
        <v>1534</v>
      </c>
      <c r="J157" t="s">
        <v>1356</v>
      </c>
      <c r="K157" s="233" t="s">
        <v>936</v>
      </c>
      <c r="L157" s="233" t="s">
        <v>1125</v>
      </c>
      <c r="M157" s="233" t="s">
        <v>1550</v>
      </c>
      <c r="N157" s="331">
        <v>45867</v>
      </c>
      <c r="O157" s="233" t="s">
        <v>1267</v>
      </c>
      <c r="P157" s="233" t="s">
        <v>1564</v>
      </c>
    </row>
    <row r="158" spans="2:16" x14ac:dyDescent="0.3">
      <c r="B158" t="str">
        <f t="shared" si="7"/>
        <v>Jul-25</v>
      </c>
      <c r="C158" s="242">
        <v>45867</v>
      </c>
      <c r="D158">
        <v>146</v>
      </c>
      <c r="E158">
        <v>4</v>
      </c>
      <c r="F158" s="315">
        <f t="shared" si="6"/>
        <v>584</v>
      </c>
      <c r="G158" s="3" t="s">
        <v>930</v>
      </c>
      <c r="H158" s="233" t="s">
        <v>999</v>
      </c>
      <c r="I158" s="233" t="s">
        <v>1535</v>
      </c>
      <c r="J158" t="s">
        <v>1354</v>
      </c>
      <c r="K158" s="233" t="s">
        <v>1121</v>
      </c>
      <c r="L158" s="233" t="s">
        <v>329</v>
      </c>
      <c r="M158" s="233" t="s">
        <v>1551</v>
      </c>
      <c r="N158" s="331">
        <v>45864</v>
      </c>
      <c r="O158" s="233" t="s">
        <v>329</v>
      </c>
      <c r="P158" s="233" t="s">
        <v>329</v>
      </c>
    </row>
    <row r="159" spans="2:16" x14ac:dyDescent="0.3">
      <c r="B159" t="str">
        <f t="shared" si="7"/>
        <v>Jul-25</v>
      </c>
      <c r="C159" s="242">
        <v>45867</v>
      </c>
      <c r="D159">
        <v>1</v>
      </c>
      <c r="E159">
        <v>33940</v>
      </c>
      <c r="F159" s="315">
        <f t="shared" si="6"/>
        <v>33940</v>
      </c>
      <c r="G159" s="3" t="s">
        <v>930</v>
      </c>
      <c r="H159" s="233" t="s">
        <v>999</v>
      </c>
      <c r="I159" s="233" t="s">
        <v>1536</v>
      </c>
      <c r="J159" t="s">
        <v>1356</v>
      </c>
      <c r="K159" s="233" t="s">
        <v>936</v>
      </c>
      <c r="L159" s="233" t="s">
        <v>1125</v>
      </c>
      <c r="M159" s="233" t="s">
        <v>1552</v>
      </c>
      <c r="N159" s="331">
        <v>45865</v>
      </c>
      <c r="O159" s="233" t="s">
        <v>1267</v>
      </c>
      <c r="P159" s="233" t="s">
        <v>1564</v>
      </c>
    </row>
    <row r="160" spans="2:16" x14ac:dyDescent="0.3">
      <c r="B160" t="str">
        <f t="shared" si="7"/>
        <v>Jul-25</v>
      </c>
      <c r="C160" s="242">
        <v>45840</v>
      </c>
      <c r="D160">
        <v>1</v>
      </c>
      <c r="E160">
        <v>250000</v>
      </c>
      <c r="F160" s="315">
        <f t="shared" si="6"/>
        <v>250000</v>
      </c>
      <c r="G160" s="3" t="s">
        <v>930</v>
      </c>
      <c r="H160" s="233" t="s">
        <v>1004</v>
      </c>
      <c r="I160" s="233" t="s">
        <v>1531</v>
      </c>
      <c r="J160" t="s">
        <v>1356</v>
      </c>
      <c r="K160" s="233" t="s">
        <v>1122</v>
      </c>
      <c r="L160" s="233" t="s">
        <v>1125</v>
      </c>
      <c r="M160" s="233" t="s">
        <v>1544</v>
      </c>
      <c r="N160" s="331">
        <v>45840</v>
      </c>
      <c r="O160" s="233" t="s">
        <v>1559</v>
      </c>
      <c r="P160" s="233" t="s">
        <v>1311</v>
      </c>
    </row>
    <row r="161" spans="2:16" x14ac:dyDescent="0.3">
      <c r="B161" t="str">
        <f t="shared" si="7"/>
        <v>Jul-25</v>
      </c>
      <c r="C161" s="242">
        <v>45856</v>
      </c>
      <c r="D161">
        <v>62</v>
      </c>
      <c r="E161">
        <v>30</v>
      </c>
      <c r="F161" s="315">
        <f t="shared" si="6"/>
        <v>1860</v>
      </c>
      <c r="G161" s="3" t="s">
        <v>930</v>
      </c>
      <c r="H161" s="233" t="s">
        <v>1003</v>
      </c>
      <c r="I161" s="233" t="s">
        <v>1539</v>
      </c>
      <c r="J161" t="s">
        <v>1355</v>
      </c>
      <c r="K161" s="233" t="s">
        <v>937</v>
      </c>
      <c r="L161" s="233" t="s">
        <v>1125</v>
      </c>
      <c r="M161" s="233" t="s">
        <v>1555</v>
      </c>
      <c r="N161" s="331">
        <v>45839</v>
      </c>
      <c r="O161" s="233" t="s">
        <v>1264</v>
      </c>
      <c r="P161" s="233" t="s">
        <v>1310</v>
      </c>
    </row>
    <row r="162" spans="2:16" x14ac:dyDescent="0.3">
      <c r="B162" t="str">
        <f t="shared" si="7"/>
        <v>Jul-25</v>
      </c>
      <c r="C162" s="242">
        <v>45840</v>
      </c>
      <c r="D162">
        <v>1</v>
      </c>
      <c r="E162">
        <v>50500</v>
      </c>
      <c r="F162" s="3">
        <f t="shared" si="6"/>
        <v>50500</v>
      </c>
      <c r="G162" s="3" t="s">
        <v>1351</v>
      </c>
      <c r="H162" s="233" t="s">
        <v>1002</v>
      </c>
      <c r="I162" s="233" t="s">
        <v>1540</v>
      </c>
      <c r="J162" t="s">
        <v>1355</v>
      </c>
      <c r="K162" s="233" t="s">
        <v>935</v>
      </c>
      <c r="L162" s="233" t="s">
        <v>1542</v>
      </c>
      <c r="M162" s="233" t="s">
        <v>1556</v>
      </c>
      <c r="N162" s="331">
        <v>45839</v>
      </c>
      <c r="O162" s="233" t="s">
        <v>1561</v>
      </c>
      <c r="P162" s="233" t="s">
        <v>1566</v>
      </c>
    </row>
    <row r="163" spans="2:16" x14ac:dyDescent="0.3">
      <c r="B163" t="str">
        <f t="shared" si="7"/>
        <v>Jul-25</v>
      </c>
      <c r="C163" s="242">
        <v>45840</v>
      </c>
      <c r="D163">
        <v>1</v>
      </c>
      <c r="E163">
        <v>155000</v>
      </c>
      <c r="F163" s="315">
        <f t="shared" ref="F163:F188" si="8">D163*E163</f>
        <v>155000</v>
      </c>
      <c r="G163" s="3" t="s">
        <v>930</v>
      </c>
      <c r="H163" s="233" t="s">
        <v>1013</v>
      </c>
      <c r="I163" s="233" t="s">
        <v>343</v>
      </c>
      <c r="J163" t="s">
        <v>1356</v>
      </c>
      <c r="K163" s="233" t="s">
        <v>1123</v>
      </c>
      <c r="L163" s="233" t="s">
        <v>1125</v>
      </c>
      <c r="M163" s="233" t="s">
        <v>1543</v>
      </c>
      <c r="N163" s="331">
        <v>45839</v>
      </c>
      <c r="O163" s="233" t="s">
        <v>1558</v>
      </c>
      <c r="P163" s="233" t="s">
        <v>1563</v>
      </c>
    </row>
    <row r="164" spans="2:16" x14ac:dyDescent="0.3">
      <c r="B164" t="str">
        <f t="shared" si="7"/>
        <v>Aug-25</v>
      </c>
      <c r="C164" s="242">
        <v>45873</v>
      </c>
      <c r="D164">
        <v>1</v>
      </c>
      <c r="E164">
        <v>2150</v>
      </c>
      <c r="F164" s="315">
        <f t="shared" si="8"/>
        <v>2150</v>
      </c>
      <c r="G164" t="s">
        <v>930</v>
      </c>
      <c r="H164" s="233" t="s">
        <v>1736</v>
      </c>
      <c r="I164" s="233" t="s">
        <v>1743</v>
      </c>
      <c r="J164" t="s">
        <v>1764</v>
      </c>
      <c r="K164" s="233" t="s">
        <v>1765</v>
      </c>
      <c r="L164" s="233" t="s">
        <v>329</v>
      </c>
      <c r="M164" s="233" t="s">
        <v>1767</v>
      </c>
      <c r="N164" s="331">
        <v>45857</v>
      </c>
      <c r="O164" s="233" t="s">
        <v>329</v>
      </c>
      <c r="P164" s="233" t="s">
        <v>329</v>
      </c>
    </row>
    <row r="165" spans="2:16" x14ac:dyDescent="0.3">
      <c r="B165" t="str">
        <f t="shared" si="7"/>
        <v>Aug-25</v>
      </c>
      <c r="C165" s="242">
        <v>45874</v>
      </c>
      <c r="D165">
        <v>1</v>
      </c>
      <c r="E165">
        <v>250000</v>
      </c>
      <c r="F165" s="315">
        <f t="shared" si="8"/>
        <v>250000</v>
      </c>
      <c r="G165" t="s">
        <v>930</v>
      </c>
      <c r="H165" s="233" t="s">
        <v>1004</v>
      </c>
      <c r="I165" s="233" t="s">
        <v>1744</v>
      </c>
      <c r="J165" t="s">
        <v>1356</v>
      </c>
      <c r="K165" s="233" t="s">
        <v>1122</v>
      </c>
      <c r="L165" s="233" t="s">
        <v>1125</v>
      </c>
      <c r="M165" s="233" t="s">
        <v>1768</v>
      </c>
      <c r="N165" s="331">
        <v>45874</v>
      </c>
      <c r="O165" s="233" t="s">
        <v>1789</v>
      </c>
      <c r="P165" s="233" t="s">
        <v>1311</v>
      </c>
    </row>
    <row r="166" spans="2:16" x14ac:dyDescent="0.3">
      <c r="B166" t="str">
        <f t="shared" si="7"/>
        <v>Aug-25</v>
      </c>
      <c r="C166" s="242">
        <v>45875</v>
      </c>
      <c r="D166">
        <v>1</v>
      </c>
      <c r="E166">
        <v>7620</v>
      </c>
      <c r="F166" s="315">
        <f t="shared" si="8"/>
        <v>7620</v>
      </c>
      <c r="G166" t="s">
        <v>930</v>
      </c>
      <c r="H166" s="233" t="s">
        <v>999</v>
      </c>
      <c r="I166" s="233" t="s">
        <v>1745</v>
      </c>
      <c r="J166" t="s">
        <v>1356</v>
      </c>
      <c r="K166" s="233" t="s">
        <v>936</v>
      </c>
      <c r="L166" s="233" t="s">
        <v>1125</v>
      </c>
      <c r="M166" s="233" t="s">
        <v>1769</v>
      </c>
      <c r="N166" s="331">
        <v>45875</v>
      </c>
      <c r="O166" s="233" t="s">
        <v>1267</v>
      </c>
      <c r="P166" s="233" t="s">
        <v>1799</v>
      </c>
    </row>
    <row r="167" spans="2:16" x14ac:dyDescent="0.3">
      <c r="B167" t="str">
        <f t="shared" si="7"/>
        <v>Aug-25</v>
      </c>
      <c r="C167" s="242">
        <v>45875</v>
      </c>
      <c r="D167">
        <v>217</v>
      </c>
      <c r="E167">
        <v>8</v>
      </c>
      <c r="F167" s="315">
        <f t="shared" si="8"/>
        <v>1736</v>
      </c>
      <c r="G167" t="s">
        <v>930</v>
      </c>
      <c r="H167" s="233" t="s">
        <v>1737</v>
      </c>
      <c r="I167" s="233" t="s">
        <v>1746</v>
      </c>
      <c r="J167" t="s">
        <v>1354</v>
      </c>
      <c r="K167" s="233" t="s">
        <v>1121</v>
      </c>
      <c r="L167" s="233" t="s">
        <v>329</v>
      </c>
      <c r="M167" s="233" t="s">
        <v>1770</v>
      </c>
      <c r="N167" s="331">
        <v>45873</v>
      </c>
      <c r="O167" s="233" t="s">
        <v>329</v>
      </c>
      <c r="P167" s="233" t="s">
        <v>329</v>
      </c>
    </row>
    <row r="168" spans="2:16" x14ac:dyDescent="0.3">
      <c r="B168" t="str">
        <f t="shared" si="7"/>
        <v>Aug-25</v>
      </c>
      <c r="C168" s="242">
        <v>45876</v>
      </c>
      <c r="D168">
        <v>214</v>
      </c>
      <c r="E168">
        <v>4</v>
      </c>
      <c r="F168" s="315">
        <f t="shared" si="8"/>
        <v>856</v>
      </c>
      <c r="G168" t="s">
        <v>930</v>
      </c>
      <c r="H168" s="233" t="s">
        <v>998</v>
      </c>
      <c r="I168" s="233" t="s">
        <v>1747</v>
      </c>
      <c r="J168" t="s">
        <v>1354</v>
      </c>
      <c r="K168" s="233" t="s">
        <v>1121</v>
      </c>
      <c r="L168" s="233" t="s">
        <v>329</v>
      </c>
      <c r="M168" s="233" t="s">
        <v>1771</v>
      </c>
      <c r="N168" s="331">
        <v>45873</v>
      </c>
      <c r="O168" s="233" t="s">
        <v>329</v>
      </c>
      <c r="P168" s="233" t="s">
        <v>329</v>
      </c>
    </row>
    <row r="169" spans="2:16" x14ac:dyDescent="0.3">
      <c r="B169" t="str">
        <f t="shared" si="7"/>
        <v>Aug-25</v>
      </c>
      <c r="C169" s="242">
        <v>45876</v>
      </c>
      <c r="D169">
        <v>1</v>
      </c>
      <c r="E169">
        <v>155000</v>
      </c>
      <c r="F169" s="315">
        <f t="shared" si="8"/>
        <v>155000</v>
      </c>
      <c r="G169" t="s">
        <v>930</v>
      </c>
      <c r="H169" s="233" t="s">
        <v>1013</v>
      </c>
      <c r="I169" s="233" t="s">
        <v>345</v>
      </c>
      <c r="J169" t="s">
        <v>1356</v>
      </c>
      <c r="K169" s="233" t="s">
        <v>1123</v>
      </c>
      <c r="L169" s="233" t="s">
        <v>1125</v>
      </c>
      <c r="M169" s="233" t="s">
        <v>1772</v>
      </c>
      <c r="N169" s="331">
        <v>45870</v>
      </c>
      <c r="O169" s="233" t="s">
        <v>1790</v>
      </c>
      <c r="P169" s="233" t="s">
        <v>1800</v>
      </c>
    </row>
    <row r="170" spans="2:16" x14ac:dyDescent="0.3">
      <c r="B170" t="str">
        <f t="shared" si="7"/>
        <v>Aug-25</v>
      </c>
      <c r="C170" s="242">
        <v>45876</v>
      </c>
      <c r="D170">
        <v>1</v>
      </c>
      <c r="E170">
        <v>740000</v>
      </c>
      <c r="F170" s="315">
        <f t="shared" si="8"/>
        <v>740000</v>
      </c>
      <c r="G170" t="s">
        <v>1351</v>
      </c>
      <c r="H170" s="233" t="s">
        <v>1002</v>
      </c>
      <c r="I170" s="233" t="s">
        <v>1748</v>
      </c>
      <c r="J170" t="s">
        <v>1351</v>
      </c>
      <c r="K170" s="233" t="s">
        <v>943</v>
      </c>
      <c r="L170" s="233" t="s">
        <v>329</v>
      </c>
      <c r="M170" s="233" t="s">
        <v>1773</v>
      </c>
      <c r="N170" s="331">
        <v>45864</v>
      </c>
      <c r="O170" s="233" t="s">
        <v>1791</v>
      </c>
      <c r="P170" s="233" t="s">
        <v>1801</v>
      </c>
    </row>
    <row r="171" spans="2:16" x14ac:dyDescent="0.3">
      <c r="B171" t="str">
        <f t="shared" si="7"/>
        <v>Aug-25</v>
      </c>
      <c r="C171" s="242">
        <v>45876</v>
      </c>
      <c r="D171">
        <v>1</v>
      </c>
      <c r="E171">
        <v>20000</v>
      </c>
      <c r="F171" s="315">
        <f t="shared" si="8"/>
        <v>20000</v>
      </c>
      <c r="G171" t="s">
        <v>1351</v>
      </c>
      <c r="H171" s="233" t="s">
        <v>1002</v>
      </c>
      <c r="I171" s="233" t="s">
        <v>1748</v>
      </c>
      <c r="J171" t="s">
        <v>1351</v>
      </c>
      <c r="K171" s="233" t="s">
        <v>943</v>
      </c>
      <c r="L171" s="233" t="s">
        <v>1125</v>
      </c>
      <c r="M171" s="233" t="s">
        <v>1773</v>
      </c>
      <c r="N171" s="331">
        <v>45864</v>
      </c>
      <c r="O171" s="233" t="s">
        <v>1791</v>
      </c>
      <c r="P171" s="233" t="s">
        <v>1802</v>
      </c>
    </row>
    <row r="172" spans="2:16" x14ac:dyDescent="0.3">
      <c r="B172" t="str">
        <f t="shared" si="7"/>
        <v>Aug-25</v>
      </c>
      <c r="C172" s="242">
        <v>45876</v>
      </c>
      <c r="D172">
        <v>1</v>
      </c>
      <c r="E172">
        <v>31500</v>
      </c>
      <c r="F172" s="315">
        <f t="shared" si="8"/>
        <v>31500</v>
      </c>
      <c r="G172" t="s">
        <v>1351</v>
      </c>
      <c r="H172" s="233" t="s">
        <v>1002</v>
      </c>
      <c r="I172" s="233" t="s">
        <v>1749</v>
      </c>
      <c r="J172" t="s">
        <v>1351</v>
      </c>
      <c r="K172" s="233" t="s">
        <v>943</v>
      </c>
      <c r="L172" s="233" t="s">
        <v>1125</v>
      </c>
      <c r="M172" s="233" t="s">
        <v>1774</v>
      </c>
      <c r="N172" s="331">
        <v>45869</v>
      </c>
      <c r="O172" s="233" t="s">
        <v>1792</v>
      </c>
      <c r="P172" s="233" t="s">
        <v>1803</v>
      </c>
    </row>
    <row r="173" spans="2:16" x14ac:dyDescent="0.3">
      <c r="B173" t="str">
        <f t="shared" si="7"/>
        <v>Aug-25</v>
      </c>
      <c r="C173" s="242">
        <v>45876</v>
      </c>
      <c r="D173">
        <v>1</v>
      </c>
      <c r="E173">
        <v>1000</v>
      </c>
      <c r="F173" s="315">
        <f t="shared" si="8"/>
        <v>1000</v>
      </c>
      <c r="G173" t="s">
        <v>1351</v>
      </c>
      <c r="H173" s="233" t="s">
        <v>1002</v>
      </c>
      <c r="I173" s="233" t="s">
        <v>1749</v>
      </c>
      <c r="J173" t="s">
        <v>1351</v>
      </c>
      <c r="K173" s="233" t="s">
        <v>943</v>
      </c>
      <c r="L173" s="233" t="s">
        <v>1125</v>
      </c>
      <c r="M173" s="233" t="s">
        <v>1774</v>
      </c>
      <c r="N173" s="331">
        <v>45869</v>
      </c>
      <c r="O173" s="233" t="s">
        <v>1792</v>
      </c>
      <c r="P173" s="233" t="s">
        <v>1804</v>
      </c>
    </row>
    <row r="174" spans="2:16" x14ac:dyDescent="0.3">
      <c r="B174" t="str">
        <f t="shared" si="7"/>
        <v>Aug-25</v>
      </c>
      <c r="C174" s="242">
        <v>45876</v>
      </c>
      <c r="D174">
        <v>1</v>
      </c>
      <c r="E174">
        <v>6000</v>
      </c>
      <c r="F174" s="315">
        <f t="shared" si="8"/>
        <v>6000</v>
      </c>
      <c r="G174" t="s">
        <v>1351</v>
      </c>
      <c r="H174" s="233" t="s">
        <v>1002</v>
      </c>
      <c r="I174" s="233" t="s">
        <v>1749</v>
      </c>
      <c r="J174" t="s">
        <v>1351</v>
      </c>
      <c r="K174" s="233" t="s">
        <v>943</v>
      </c>
      <c r="L174" s="233" t="s">
        <v>1125</v>
      </c>
      <c r="M174" s="233" t="s">
        <v>1774</v>
      </c>
      <c r="N174" s="331">
        <v>45869</v>
      </c>
      <c r="O174" s="233" t="s">
        <v>1792</v>
      </c>
      <c r="P174" s="233" t="s">
        <v>1805</v>
      </c>
    </row>
    <row r="175" spans="2:16" x14ac:dyDescent="0.3">
      <c r="B175" t="str">
        <f t="shared" si="7"/>
        <v>Aug-25</v>
      </c>
      <c r="C175" s="242">
        <v>45881</v>
      </c>
      <c r="D175">
        <v>1</v>
      </c>
      <c r="E175">
        <v>1046</v>
      </c>
      <c r="F175" s="315">
        <f t="shared" si="8"/>
        <v>1046</v>
      </c>
      <c r="G175" t="s">
        <v>930</v>
      </c>
      <c r="H175" s="233" t="s">
        <v>1738</v>
      </c>
      <c r="I175" s="233" t="s">
        <v>1750</v>
      </c>
      <c r="J175" t="s">
        <v>1354</v>
      </c>
      <c r="K175" s="233" t="s">
        <v>932</v>
      </c>
      <c r="L175" s="233" t="s">
        <v>329</v>
      </c>
      <c r="M175" s="233" t="s">
        <v>1775</v>
      </c>
      <c r="N175" s="331">
        <v>45880</v>
      </c>
      <c r="O175" s="233" t="s">
        <v>329</v>
      </c>
      <c r="P175" s="233" t="s">
        <v>329</v>
      </c>
    </row>
    <row r="176" spans="2:16" x14ac:dyDescent="0.3">
      <c r="B176" t="str">
        <f t="shared" si="7"/>
        <v>Aug-25</v>
      </c>
      <c r="C176" s="242">
        <v>45882</v>
      </c>
      <c r="D176">
        <v>1</v>
      </c>
      <c r="E176">
        <v>26870</v>
      </c>
      <c r="F176" s="315">
        <f t="shared" si="8"/>
        <v>26870</v>
      </c>
      <c r="G176" t="s">
        <v>930</v>
      </c>
      <c r="H176" s="233" t="s">
        <v>999</v>
      </c>
      <c r="I176" s="233" t="s">
        <v>1751</v>
      </c>
      <c r="J176" t="s">
        <v>1356</v>
      </c>
      <c r="K176" s="233" t="s">
        <v>936</v>
      </c>
      <c r="L176" s="233" t="s">
        <v>1125</v>
      </c>
      <c r="M176" s="233" t="s">
        <v>1776</v>
      </c>
      <c r="N176" s="331">
        <v>45882</v>
      </c>
      <c r="O176" s="233" t="s">
        <v>1267</v>
      </c>
      <c r="P176" s="233" t="s">
        <v>1799</v>
      </c>
    </row>
    <row r="177" spans="2:16" x14ac:dyDescent="0.3">
      <c r="B177" t="str">
        <f t="shared" si="7"/>
        <v>Aug-25</v>
      </c>
      <c r="C177" s="242">
        <v>45883</v>
      </c>
      <c r="D177">
        <v>1</v>
      </c>
      <c r="E177">
        <v>2149</v>
      </c>
      <c r="F177" s="315">
        <f t="shared" si="8"/>
        <v>2149</v>
      </c>
      <c r="G177" t="s">
        <v>930</v>
      </c>
      <c r="H177" s="233" t="s">
        <v>1739</v>
      </c>
      <c r="I177" s="233" t="s">
        <v>1752</v>
      </c>
      <c r="J177" t="s">
        <v>1354</v>
      </c>
      <c r="K177" s="233" t="s">
        <v>933</v>
      </c>
      <c r="L177" s="233" t="s">
        <v>329</v>
      </c>
      <c r="M177" s="233" t="s">
        <v>1777</v>
      </c>
      <c r="N177" s="331">
        <v>45878</v>
      </c>
      <c r="O177" s="233" t="s">
        <v>329</v>
      </c>
      <c r="P177" s="233" t="s">
        <v>329</v>
      </c>
    </row>
    <row r="178" spans="2:16" x14ac:dyDescent="0.3">
      <c r="B178" t="str">
        <f t="shared" si="7"/>
        <v>Aug-25</v>
      </c>
      <c r="C178" s="242">
        <v>45883</v>
      </c>
      <c r="D178">
        <v>181</v>
      </c>
      <c r="E178">
        <v>4</v>
      </c>
      <c r="F178" s="315">
        <f t="shared" si="8"/>
        <v>724</v>
      </c>
      <c r="G178" t="s">
        <v>930</v>
      </c>
      <c r="H178" s="233" t="s">
        <v>998</v>
      </c>
      <c r="I178" s="233" t="s">
        <v>1753</v>
      </c>
      <c r="J178" t="s">
        <v>1354</v>
      </c>
      <c r="K178" s="233" t="s">
        <v>1121</v>
      </c>
      <c r="L178" s="233" t="s">
        <v>329</v>
      </c>
      <c r="M178" s="233" t="s">
        <v>1778</v>
      </c>
      <c r="N178" s="331">
        <v>45877</v>
      </c>
      <c r="O178" s="233" t="s">
        <v>329</v>
      </c>
      <c r="P178" s="233" t="s">
        <v>329</v>
      </c>
    </row>
    <row r="179" spans="2:16" x14ac:dyDescent="0.3">
      <c r="B179" t="str">
        <f t="shared" si="7"/>
        <v>Aug-25</v>
      </c>
      <c r="C179" s="242">
        <v>45887</v>
      </c>
      <c r="D179">
        <v>1</v>
      </c>
      <c r="E179">
        <v>310</v>
      </c>
      <c r="F179" s="315">
        <f t="shared" si="8"/>
        <v>310</v>
      </c>
      <c r="G179" t="s">
        <v>930</v>
      </c>
      <c r="H179" s="233" t="s">
        <v>1740</v>
      </c>
      <c r="I179" s="233" t="s">
        <v>1754</v>
      </c>
      <c r="J179" t="s">
        <v>1353</v>
      </c>
      <c r="K179" s="233" t="s">
        <v>933</v>
      </c>
      <c r="L179" s="233" t="s">
        <v>329</v>
      </c>
      <c r="M179" s="233" t="s">
        <v>1779</v>
      </c>
      <c r="N179" s="331">
        <v>45866</v>
      </c>
      <c r="O179" s="233" t="s">
        <v>329</v>
      </c>
      <c r="P179" s="233" t="s">
        <v>329</v>
      </c>
    </row>
    <row r="180" spans="2:16" x14ac:dyDescent="0.3">
      <c r="B180" t="str">
        <f t="shared" si="7"/>
        <v>Aug-25</v>
      </c>
      <c r="C180" s="242">
        <v>45887</v>
      </c>
      <c r="D180">
        <v>1</v>
      </c>
      <c r="E180">
        <v>1317</v>
      </c>
      <c r="F180" s="315">
        <f t="shared" si="8"/>
        <v>1317</v>
      </c>
      <c r="G180" t="s">
        <v>930</v>
      </c>
      <c r="H180" s="233" t="s">
        <v>1740</v>
      </c>
      <c r="I180" s="233" t="s">
        <v>1755</v>
      </c>
      <c r="J180" t="s">
        <v>1353</v>
      </c>
      <c r="K180" s="233" t="s">
        <v>1121</v>
      </c>
      <c r="L180" s="233" t="s">
        <v>329</v>
      </c>
      <c r="M180" s="233" t="s">
        <v>1780</v>
      </c>
      <c r="N180" s="331">
        <v>45881</v>
      </c>
      <c r="O180" s="233" t="s">
        <v>1793</v>
      </c>
      <c r="P180" s="233" t="s">
        <v>329</v>
      </c>
    </row>
    <row r="181" spans="2:16" x14ac:dyDescent="0.3">
      <c r="B181" t="str">
        <f t="shared" si="7"/>
        <v>Aug-25</v>
      </c>
      <c r="C181" s="242">
        <v>45887</v>
      </c>
      <c r="D181">
        <v>120</v>
      </c>
      <c r="E181">
        <v>8</v>
      </c>
      <c r="F181" s="315">
        <f t="shared" si="8"/>
        <v>960</v>
      </c>
      <c r="G181" t="s">
        <v>930</v>
      </c>
      <c r="H181" s="233" t="s">
        <v>1740</v>
      </c>
      <c r="I181" s="233" t="s">
        <v>1756</v>
      </c>
      <c r="J181" t="s">
        <v>1353</v>
      </c>
      <c r="K181" s="233" t="s">
        <v>1121</v>
      </c>
      <c r="L181" s="233" t="s">
        <v>329</v>
      </c>
      <c r="M181" s="233" t="s">
        <v>1781</v>
      </c>
      <c r="N181" s="331">
        <v>45877</v>
      </c>
      <c r="O181" s="233" t="s">
        <v>1794</v>
      </c>
      <c r="P181" s="233" t="s">
        <v>329</v>
      </c>
    </row>
    <row r="182" spans="2:16" x14ac:dyDescent="0.3">
      <c r="B182" t="str">
        <f t="shared" si="7"/>
        <v>Aug-25</v>
      </c>
      <c r="C182" s="242">
        <v>45887</v>
      </c>
      <c r="D182">
        <v>90</v>
      </c>
      <c r="E182">
        <v>8</v>
      </c>
      <c r="F182" s="315">
        <f t="shared" si="8"/>
        <v>720</v>
      </c>
      <c r="G182" t="s">
        <v>930</v>
      </c>
      <c r="H182" s="233" t="s">
        <v>1740</v>
      </c>
      <c r="I182" s="233" t="s">
        <v>1757</v>
      </c>
      <c r="J182" t="s">
        <v>1353</v>
      </c>
      <c r="K182" s="233" t="s">
        <v>1121</v>
      </c>
      <c r="L182" s="233" t="s">
        <v>329</v>
      </c>
      <c r="M182" s="233" t="s">
        <v>1782</v>
      </c>
      <c r="N182" s="331">
        <v>45866</v>
      </c>
      <c r="O182" s="233" t="s">
        <v>329</v>
      </c>
      <c r="P182" s="233" t="s">
        <v>329</v>
      </c>
    </row>
    <row r="183" spans="2:16" x14ac:dyDescent="0.3">
      <c r="B183" t="str">
        <f t="shared" si="7"/>
        <v>Aug-25</v>
      </c>
      <c r="C183" s="242">
        <v>45895</v>
      </c>
      <c r="D183">
        <v>1</v>
      </c>
      <c r="E183">
        <v>1000</v>
      </c>
      <c r="F183" s="315">
        <f t="shared" si="8"/>
        <v>1000</v>
      </c>
      <c r="G183" t="s">
        <v>930</v>
      </c>
      <c r="H183" s="233" t="s">
        <v>1741</v>
      </c>
      <c r="I183" s="233" t="s">
        <v>1758</v>
      </c>
      <c r="J183" t="s">
        <v>1355</v>
      </c>
      <c r="K183" s="233" t="s">
        <v>1766</v>
      </c>
      <c r="L183" s="233" t="s">
        <v>329</v>
      </c>
      <c r="M183" s="233" t="s">
        <v>1783</v>
      </c>
      <c r="N183" s="331">
        <v>45863</v>
      </c>
      <c r="O183" s="233" t="s">
        <v>1795</v>
      </c>
      <c r="P183" s="233" t="s">
        <v>1806</v>
      </c>
    </row>
    <row r="184" spans="2:16" x14ac:dyDescent="0.3">
      <c r="B184" t="str">
        <f t="shared" si="7"/>
        <v>Aug-25</v>
      </c>
      <c r="C184" s="242">
        <v>45895</v>
      </c>
      <c r="D184">
        <v>1</v>
      </c>
      <c r="E184">
        <v>15250</v>
      </c>
      <c r="F184" s="315">
        <f t="shared" si="8"/>
        <v>15250</v>
      </c>
      <c r="G184" t="s">
        <v>930</v>
      </c>
      <c r="H184" s="233" t="s">
        <v>999</v>
      </c>
      <c r="I184" s="233" t="s">
        <v>1759</v>
      </c>
      <c r="J184" t="s">
        <v>1356</v>
      </c>
      <c r="K184" s="233" t="s">
        <v>936</v>
      </c>
      <c r="L184" s="233" t="s">
        <v>1125</v>
      </c>
      <c r="M184" s="233" t="s">
        <v>1784</v>
      </c>
      <c r="N184" s="331">
        <v>45895</v>
      </c>
      <c r="O184" s="233" t="s">
        <v>1267</v>
      </c>
      <c r="P184" s="233" t="s">
        <v>1799</v>
      </c>
    </row>
    <row r="185" spans="2:16" x14ac:dyDescent="0.3">
      <c r="B185" t="str">
        <f t="shared" si="7"/>
        <v>Aug-25</v>
      </c>
      <c r="C185" s="242">
        <v>45897</v>
      </c>
      <c r="D185">
        <v>1</v>
      </c>
      <c r="E185">
        <v>1800000</v>
      </c>
      <c r="F185" s="315">
        <f t="shared" si="8"/>
        <v>1800000</v>
      </c>
      <c r="G185" t="s">
        <v>1351</v>
      </c>
      <c r="H185" s="233" t="s">
        <v>1742</v>
      </c>
      <c r="I185" s="233" t="s">
        <v>1760</v>
      </c>
      <c r="J185" t="s">
        <v>1351</v>
      </c>
      <c r="K185" s="233" t="s">
        <v>943</v>
      </c>
      <c r="L185" s="233" t="s">
        <v>1125</v>
      </c>
      <c r="M185" s="233" t="s">
        <v>1785</v>
      </c>
      <c r="N185" s="331">
        <v>45897</v>
      </c>
      <c r="O185" s="233" t="s">
        <v>1796</v>
      </c>
      <c r="P185" s="233" t="s">
        <v>1807</v>
      </c>
    </row>
    <row r="186" spans="2:16" x14ac:dyDescent="0.3">
      <c r="B186" t="str">
        <f t="shared" si="7"/>
        <v>Aug-25</v>
      </c>
      <c r="C186" s="242">
        <v>45900</v>
      </c>
      <c r="D186">
        <v>1</v>
      </c>
      <c r="E186">
        <v>1560000</v>
      </c>
      <c r="F186" s="315">
        <f t="shared" si="8"/>
        <v>1560000</v>
      </c>
      <c r="G186" t="s">
        <v>1351</v>
      </c>
      <c r="H186" s="233" t="s">
        <v>1002</v>
      </c>
      <c r="I186" s="233" t="s">
        <v>1761</v>
      </c>
      <c r="J186" t="s">
        <v>1351</v>
      </c>
      <c r="K186" s="233" t="s">
        <v>943</v>
      </c>
      <c r="L186" s="233" t="s">
        <v>1125</v>
      </c>
      <c r="M186" s="233" t="s">
        <v>1786</v>
      </c>
      <c r="N186" s="331">
        <v>45898</v>
      </c>
      <c r="O186" s="233" t="s">
        <v>1281</v>
      </c>
      <c r="P186" s="233" t="s">
        <v>1309</v>
      </c>
    </row>
    <row r="187" spans="2:16" x14ac:dyDescent="0.3">
      <c r="B187" t="str">
        <f t="shared" si="7"/>
        <v>Aug-25</v>
      </c>
      <c r="C187" s="242">
        <v>45900</v>
      </c>
      <c r="D187">
        <v>1</v>
      </c>
      <c r="E187">
        <v>35000</v>
      </c>
      <c r="F187" s="315">
        <f t="shared" si="8"/>
        <v>35000</v>
      </c>
      <c r="G187" t="s">
        <v>930</v>
      </c>
      <c r="H187" s="233" t="s">
        <v>1014</v>
      </c>
      <c r="I187" s="233" t="s">
        <v>1762</v>
      </c>
      <c r="J187" t="s">
        <v>1356</v>
      </c>
      <c r="K187" s="233" t="s">
        <v>1123</v>
      </c>
      <c r="L187" s="233" t="s">
        <v>1125</v>
      </c>
      <c r="M187" s="233" t="s">
        <v>1787</v>
      </c>
      <c r="N187" s="331">
        <v>45870</v>
      </c>
      <c r="O187" s="233" t="s">
        <v>1797</v>
      </c>
      <c r="P187" s="233" t="s">
        <v>1808</v>
      </c>
    </row>
    <row r="188" spans="2:16" x14ac:dyDescent="0.3">
      <c r="B188" t="str">
        <f t="shared" si="7"/>
        <v>Aug-25</v>
      </c>
      <c r="C188" s="242">
        <v>45900</v>
      </c>
      <c r="D188">
        <v>1</v>
      </c>
      <c r="E188">
        <v>51610</v>
      </c>
      <c r="F188" s="315">
        <f t="shared" si="8"/>
        <v>51610</v>
      </c>
      <c r="G188" t="s">
        <v>930</v>
      </c>
      <c r="H188" s="233" t="s">
        <v>1000</v>
      </c>
      <c r="I188" s="233" t="s">
        <v>1763</v>
      </c>
      <c r="J188" t="s">
        <v>1355</v>
      </c>
      <c r="K188" s="233" t="s">
        <v>941</v>
      </c>
      <c r="L188" s="233" t="s">
        <v>1125</v>
      </c>
      <c r="M188" s="233" t="s">
        <v>1788</v>
      </c>
      <c r="N188" s="331">
        <v>45890</v>
      </c>
      <c r="O188" s="233" t="s">
        <v>1798</v>
      </c>
    </row>
    <row r="189" spans="2:16" x14ac:dyDescent="0.3">
      <c r="B189" t="str">
        <f t="shared" si="7"/>
        <v>Sep-25</v>
      </c>
      <c r="C189" s="242">
        <v>45901</v>
      </c>
      <c r="F189">
        <v>80000</v>
      </c>
      <c r="G189" t="s">
        <v>930</v>
      </c>
      <c r="H189" s="233" t="s">
        <v>2177</v>
      </c>
      <c r="L189" s="233" t="s">
        <v>1123</v>
      </c>
    </row>
    <row r="190" spans="2:16" x14ac:dyDescent="0.3">
      <c r="B190" t="str">
        <f t="shared" si="7"/>
        <v>Sep-25</v>
      </c>
      <c r="C190" s="242">
        <v>45901</v>
      </c>
      <c r="F190">
        <v>35000</v>
      </c>
      <c r="G190" t="s">
        <v>930</v>
      </c>
      <c r="H190" s="233" t="s">
        <v>1014</v>
      </c>
      <c r="L190" s="233" t="s">
        <v>1123</v>
      </c>
    </row>
    <row r="191" spans="2:16" x14ac:dyDescent="0.3">
      <c r="B191" t="str">
        <f t="shared" si="7"/>
        <v>Sep-25</v>
      </c>
      <c r="C191" s="242">
        <v>45930</v>
      </c>
      <c r="F191">
        <v>0</v>
      </c>
      <c r="G191" t="s">
        <v>930</v>
      </c>
      <c r="H191" s="233" t="s">
        <v>1364</v>
      </c>
      <c r="L191" s="233" t="s">
        <v>2179</v>
      </c>
    </row>
    <row r="192" spans="2:16" x14ac:dyDescent="0.3">
      <c r="B192" t="str">
        <f t="shared" si="7"/>
        <v>Sep-25</v>
      </c>
      <c r="C192" s="242">
        <v>45930</v>
      </c>
      <c r="F192">
        <v>5054.82</v>
      </c>
      <c r="G192" t="s">
        <v>930</v>
      </c>
      <c r="H192" s="233" t="s">
        <v>1006</v>
      </c>
      <c r="L192" s="233" t="s">
        <v>1361</v>
      </c>
    </row>
    <row r="193" spans="2:12" x14ac:dyDescent="0.3">
      <c r="B193" t="str">
        <f t="shared" si="7"/>
        <v>Sep-25</v>
      </c>
      <c r="C193" s="242">
        <v>45930</v>
      </c>
      <c r="F193">
        <v>30000</v>
      </c>
      <c r="G193" t="s">
        <v>930</v>
      </c>
      <c r="H193" s="233" t="s">
        <v>1000</v>
      </c>
      <c r="L193" s="233" t="s">
        <v>941</v>
      </c>
    </row>
    <row r="194" spans="2:12" x14ac:dyDescent="0.3">
      <c r="B194" t="str">
        <f t="shared" ref="B194:B201" si="9">TEXT(C194,"mmm-yy")</f>
        <v>Sep-25</v>
      </c>
      <c r="C194" s="242">
        <v>45912</v>
      </c>
      <c r="F194">
        <v>273</v>
      </c>
      <c r="G194" t="s">
        <v>930</v>
      </c>
      <c r="H194" s="233" t="s">
        <v>2178</v>
      </c>
      <c r="L194" s="233" t="s">
        <v>933</v>
      </c>
    </row>
    <row r="195" spans="2:12" x14ac:dyDescent="0.3">
      <c r="B195" t="str">
        <f t="shared" si="9"/>
        <v>Sep-25</v>
      </c>
      <c r="C195" s="242">
        <v>45919</v>
      </c>
      <c r="F195">
        <v>4392</v>
      </c>
      <c r="G195" t="s">
        <v>930</v>
      </c>
      <c r="H195" s="233" t="s">
        <v>1737</v>
      </c>
      <c r="L195" s="233" t="s">
        <v>1121</v>
      </c>
    </row>
    <row r="196" spans="2:12" x14ac:dyDescent="0.3">
      <c r="B196" t="str">
        <f t="shared" si="9"/>
        <v>Sep-25</v>
      </c>
      <c r="C196" s="242">
        <v>45904</v>
      </c>
      <c r="F196">
        <v>5163</v>
      </c>
      <c r="G196" t="s">
        <v>930</v>
      </c>
      <c r="H196" s="233" t="s">
        <v>1738</v>
      </c>
      <c r="L196" s="233" t="s">
        <v>929</v>
      </c>
    </row>
    <row r="197" spans="2:12" x14ac:dyDescent="0.3">
      <c r="B197" t="str">
        <f t="shared" si="9"/>
        <v>Sep-25</v>
      </c>
      <c r="C197" s="242">
        <v>45912</v>
      </c>
      <c r="F197">
        <v>2532</v>
      </c>
      <c r="G197" t="s">
        <v>930</v>
      </c>
      <c r="H197" s="233" t="s">
        <v>1739</v>
      </c>
      <c r="L197" s="233" t="s">
        <v>929</v>
      </c>
    </row>
    <row r="198" spans="2:12" x14ac:dyDescent="0.3">
      <c r="B198" t="str">
        <f t="shared" si="9"/>
        <v>Sep-25</v>
      </c>
      <c r="C198" s="242">
        <v>45919</v>
      </c>
      <c r="F198">
        <v>1793</v>
      </c>
      <c r="G198" t="s">
        <v>930</v>
      </c>
      <c r="H198" s="233" t="s">
        <v>1739</v>
      </c>
      <c r="L198" s="233" t="s">
        <v>929</v>
      </c>
    </row>
    <row r="199" spans="2:12" x14ac:dyDescent="0.3">
      <c r="B199" t="str">
        <f t="shared" si="9"/>
        <v>Sep-25</v>
      </c>
      <c r="C199" s="242">
        <v>45926</v>
      </c>
      <c r="F199">
        <v>2504</v>
      </c>
      <c r="G199" t="s">
        <v>930</v>
      </c>
      <c r="H199" s="233" t="s">
        <v>1739</v>
      </c>
      <c r="L199" s="233" t="s">
        <v>929</v>
      </c>
    </row>
    <row r="200" spans="2:12" x14ac:dyDescent="0.3">
      <c r="B200" t="str">
        <f t="shared" si="9"/>
        <v>Sep-25</v>
      </c>
      <c r="C200" s="242">
        <v>45930</v>
      </c>
      <c r="F200">
        <v>18948.480000000003</v>
      </c>
      <c r="G200" t="s">
        <v>930</v>
      </c>
      <c r="H200" s="233" t="s">
        <v>1739</v>
      </c>
      <c r="L200" s="233" t="s">
        <v>932</v>
      </c>
    </row>
    <row r="201" spans="2:12" x14ac:dyDescent="0.3">
      <c r="B201" t="str">
        <f t="shared" si="9"/>
        <v>Sep-25</v>
      </c>
      <c r="C201" s="242">
        <v>45910</v>
      </c>
      <c r="F201">
        <v>5695.09</v>
      </c>
      <c r="G201" t="s">
        <v>930</v>
      </c>
      <c r="H201" s="233" t="s">
        <v>2178</v>
      </c>
      <c r="L201" s="233" t="s">
        <v>931</v>
      </c>
    </row>
    <row r="202" spans="2:12" x14ac:dyDescent="0.3">
      <c r="B202" t="str">
        <f t="shared" ref="B202:B213" si="10">TEXT(C202,"mmm-yy")</f>
        <v>Sep-25</v>
      </c>
      <c r="C202" s="242">
        <v>45904</v>
      </c>
      <c r="F202">
        <v>380</v>
      </c>
      <c r="G202" t="s">
        <v>930</v>
      </c>
      <c r="H202" s="233" t="s">
        <v>998</v>
      </c>
      <c r="L202" s="233" t="s">
        <v>1121</v>
      </c>
    </row>
    <row r="203" spans="2:12" x14ac:dyDescent="0.3">
      <c r="B203" t="str">
        <f t="shared" si="10"/>
        <v>Sep-25</v>
      </c>
      <c r="C203" s="242">
        <v>45902</v>
      </c>
      <c r="F203">
        <v>25300</v>
      </c>
      <c r="G203" t="s">
        <v>930</v>
      </c>
      <c r="H203" s="233" t="s">
        <v>999</v>
      </c>
      <c r="L203" s="233" t="s">
        <v>936</v>
      </c>
    </row>
    <row r="204" spans="2:12" x14ac:dyDescent="0.3">
      <c r="B204" t="str">
        <f t="shared" si="10"/>
        <v>Sep-25</v>
      </c>
      <c r="C204" s="242">
        <v>45901</v>
      </c>
      <c r="F204">
        <v>13577</v>
      </c>
      <c r="G204" t="s">
        <v>930</v>
      </c>
      <c r="H204" s="233" t="s">
        <v>999</v>
      </c>
      <c r="L204" s="233" t="s">
        <v>936</v>
      </c>
    </row>
    <row r="205" spans="2:12" x14ac:dyDescent="0.3">
      <c r="B205" t="str">
        <f t="shared" si="10"/>
        <v>Sep-25</v>
      </c>
      <c r="C205" s="242">
        <v>45908</v>
      </c>
      <c r="F205">
        <v>15375</v>
      </c>
      <c r="G205" t="s">
        <v>930</v>
      </c>
      <c r="H205" s="233" t="s">
        <v>999</v>
      </c>
      <c r="L205" s="233" t="s">
        <v>936</v>
      </c>
    </row>
    <row r="206" spans="2:12" x14ac:dyDescent="0.3">
      <c r="B206" t="str">
        <f t="shared" si="10"/>
        <v>Sep-25</v>
      </c>
      <c r="C206" s="242">
        <v>45906</v>
      </c>
      <c r="F206">
        <v>820</v>
      </c>
      <c r="G206" t="s">
        <v>930</v>
      </c>
      <c r="H206" s="233" t="s">
        <v>999</v>
      </c>
      <c r="L206" s="233" t="s">
        <v>1121</v>
      </c>
    </row>
    <row r="207" spans="2:12" x14ac:dyDescent="0.3">
      <c r="B207" t="str">
        <f t="shared" si="10"/>
        <v>Sep-25</v>
      </c>
      <c r="C207" s="242">
        <v>45917</v>
      </c>
      <c r="F207">
        <v>70808</v>
      </c>
      <c r="G207" t="s">
        <v>930</v>
      </c>
      <c r="H207" s="233" t="s">
        <v>999</v>
      </c>
      <c r="L207" s="233" t="s">
        <v>936</v>
      </c>
    </row>
    <row r="208" spans="2:12" x14ac:dyDescent="0.3">
      <c r="B208" t="str">
        <f t="shared" si="10"/>
        <v>Sep-25</v>
      </c>
      <c r="C208" s="242">
        <v>45919</v>
      </c>
      <c r="F208">
        <v>0</v>
      </c>
      <c r="G208" t="s">
        <v>930</v>
      </c>
      <c r="H208" s="233" t="s">
        <v>999</v>
      </c>
      <c r="L208" s="233" t="s">
        <v>943</v>
      </c>
    </row>
    <row r="209" spans="2:12" x14ac:dyDescent="0.3">
      <c r="B209" t="str">
        <f t="shared" si="10"/>
        <v>Sep-25</v>
      </c>
      <c r="C209" s="242">
        <v>45929</v>
      </c>
      <c r="F209">
        <v>49602</v>
      </c>
      <c r="G209" t="s">
        <v>930</v>
      </c>
      <c r="H209" s="233" t="s">
        <v>999</v>
      </c>
      <c r="L209" s="233" t="s">
        <v>936</v>
      </c>
    </row>
    <row r="210" spans="2:12" x14ac:dyDescent="0.3">
      <c r="B210" t="str">
        <f t="shared" si="10"/>
        <v>Sep-25</v>
      </c>
      <c r="C210" s="242">
        <v>45927</v>
      </c>
      <c r="F210">
        <v>1044</v>
      </c>
      <c r="G210" t="s">
        <v>930</v>
      </c>
      <c r="H210" s="233" t="s">
        <v>999</v>
      </c>
      <c r="L210" s="233" t="s">
        <v>1121</v>
      </c>
    </row>
    <row r="211" spans="2:12" x14ac:dyDescent="0.3">
      <c r="B211" t="str">
        <f t="shared" si="10"/>
        <v>Sep-25</v>
      </c>
      <c r="C211" s="242">
        <v>45905</v>
      </c>
      <c r="F211">
        <v>50000</v>
      </c>
      <c r="G211" t="s">
        <v>930</v>
      </c>
      <c r="H211" s="233" t="s">
        <v>1004</v>
      </c>
      <c r="L211" s="233" t="s">
        <v>1122</v>
      </c>
    </row>
    <row r="212" spans="2:12" x14ac:dyDescent="0.3">
      <c r="B212" t="str">
        <f t="shared" si="10"/>
        <v>Sep-25</v>
      </c>
      <c r="C212" s="242">
        <v>45908</v>
      </c>
      <c r="F212">
        <v>0</v>
      </c>
      <c r="G212" t="s">
        <v>930</v>
      </c>
      <c r="H212" s="233" t="s">
        <v>1002</v>
      </c>
      <c r="L212" s="233" t="s">
        <v>943</v>
      </c>
    </row>
    <row r="213" spans="2:12" x14ac:dyDescent="0.3">
      <c r="B213" t="str">
        <f t="shared" si="10"/>
        <v>Sep-25</v>
      </c>
      <c r="C213" s="242">
        <v>45901</v>
      </c>
      <c r="F213">
        <v>220000</v>
      </c>
      <c r="G213" t="s">
        <v>930</v>
      </c>
      <c r="H213" s="233" t="s">
        <v>1013</v>
      </c>
      <c r="L213" s="233" t="s">
        <v>1123</v>
      </c>
    </row>
  </sheetData>
  <autoFilter ref="B2:P213" xr:uid="{24C1E7F4-E733-480B-9597-1D0503CFD609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7A74-2941-4DED-8E0A-2348359522AA}">
  <sheetPr codeName="Sheet16"/>
  <dimension ref="B2:AZ22"/>
  <sheetViews>
    <sheetView showGridLines="0" topLeftCell="D1" workbookViewId="0">
      <selection activeCell="J18" sqref="J18"/>
    </sheetView>
  </sheetViews>
  <sheetFormatPr defaultRowHeight="14.4" x14ac:dyDescent="0.3"/>
  <cols>
    <col min="2" max="2" width="15.77734375" bestFit="1" customWidth="1"/>
    <col min="3" max="3" width="45" bestFit="1" customWidth="1"/>
    <col min="4" max="5" width="9.6640625" bestFit="1" customWidth="1"/>
    <col min="6" max="6" width="11.109375" bestFit="1" customWidth="1"/>
    <col min="7" max="8" width="9.6640625" bestFit="1" customWidth="1"/>
    <col min="9" max="9" width="11.109375" bestFit="1" customWidth="1"/>
    <col min="10" max="10" width="9.6640625" bestFit="1" customWidth="1"/>
    <col min="12" max="18" width="8.6640625" bestFit="1" customWidth="1"/>
    <col min="20" max="20" width="45" bestFit="1" customWidth="1"/>
    <col min="21" max="29" width="12.21875" bestFit="1" customWidth="1"/>
    <col min="30" max="30" width="13.77734375" bestFit="1" customWidth="1"/>
    <col min="31" max="31" width="12.21875" bestFit="1" customWidth="1"/>
    <col min="34" max="40" width="9.77734375" bestFit="1" customWidth="1"/>
    <col min="41" max="44" width="11.21875" bestFit="1" customWidth="1"/>
  </cols>
  <sheetData>
    <row r="2" spans="2:52" x14ac:dyDescent="0.3">
      <c r="B2" t="str" cm="1">
        <f t="array" ref="B2">_xlfn.UNIQUE(Details!CW4:CW4)</f>
        <v>Customer PAN No</v>
      </c>
      <c r="C2" t="s">
        <v>71</v>
      </c>
      <c r="D2" t="e" cm="1">
        <f t="array" ref="D2">TRANSPOSE(_xlfn.UNIQUE(Details!#REF!))</f>
        <v>#REF!</v>
      </c>
      <c r="L2" t="e" cm="1">
        <f t="array" ref="L2">TRANSPOSE(_xlfn.UNIQUE(Details!#REF!))</f>
        <v>#REF!</v>
      </c>
      <c r="T2" t="str" cm="1">
        <f t="array" ref="T2:T22">_xlfn.UNIQUE('Details PC'!AB4:AB389)</f>
        <v>Buyer Name</v>
      </c>
      <c r="U2" t="e" cm="1" vm="2">
        <f t="array" aca="1" ref="U2" ca="1">TRANSPOSE(_xlfn.UNIQUE('Details PC'!W5:W389))</f>
        <v>#VALUE!</v>
      </c>
      <c r="AH2" t="str" cm="1">
        <f t="array" ref="AH2:AZ2">TRANSPOSE(_xlfn.UNIQUE('Details PC'!W5:W389))</f>
        <v>Dec-24</v>
      </c>
      <c r="AI2" t="str">
        <v>Jan-25</v>
      </c>
      <c r="AJ2" t="str">
        <v>Feb-25</v>
      </c>
      <c r="AK2" t="str">
        <v>Mar-25</v>
      </c>
      <c r="AL2" t="str">
        <v>Apr-25</v>
      </c>
      <c r="AM2" t="str">
        <v>May-25</v>
      </c>
      <c r="AN2" t="str">
        <v>Jun-25</v>
      </c>
      <c r="AO2" t="str">
        <v>Jul-25</v>
      </c>
      <c r="AP2" t="str">
        <v>Aug-25</v>
      </c>
      <c r="AQ2" t="str">
        <v>Sep-25</v>
      </c>
      <c r="AR2" t="str">
        <v>Oct-25</v>
      </c>
      <c r="AS2" t="str">
        <v>Nov-25</v>
      </c>
      <c r="AT2" t="str">
        <v>Dec-25</v>
      </c>
      <c r="AU2" t="str">
        <v>Jan-26</v>
      </c>
      <c r="AV2" t="str">
        <v>Feb-26</v>
      </c>
      <c r="AW2" t="str">
        <v>Mar-26</v>
      </c>
      <c r="AX2" t="str">
        <v>Apr-26</v>
      </c>
      <c r="AY2" t="str">
        <v>May-26</v>
      </c>
      <c r="AZ2" t="str">
        <v>Jan-00</v>
      </c>
    </row>
    <row r="3" spans="2:52" x14ac:dyDescent="0.3">
      <c r="C3">
        <f>_xlfn.XLOOKUP(B3,Details!CW:CW,Details!AQ:AQ)</f>
        <v>0</v>
      </c>
      <c r="D3" s="3">
        <f>SUMIFS(Details!$BO:$BO,Details!$CW:$CW,'Co-hort'!$B3,Details!$C:$C,'Co-hort'!D$2)</f>
        <v>0</v>
      </c>
      <c r="E3" s="3">
        <f>SUMIFS(Details!$BO:$BO,Details!$CW:$CW,'Co-hort'!$B3,Details!$C:$C,'Co-hort'!E$2)</f>
        <v>0</v>
      </c>
      <c r="F3" s="3">
        <f>SUMIFS(Details!$BO:$BO,Details!$CW:$CW,'Co-hort'!$B3,Details!$C:$C,'Co-hort'!F$2)</f>
        <v>0</v>
      </c>
      <c r="G3" s="3">
        <f>SUMIFS(Details!$BO:$BO,Details!$CW:$CW,'Co-hort'!$B3,Details!$C:$C,'Co-hort'!G$2)</f>
        <v>0</v>
      </c>
      <c r="H3" s="3">
        <f>SUMIFS(Details!$BO:$BO,Details!$CW:$CW,'Co-hort'!$B3,Details!$C:$C,'Co-hort'!H$2)</f>
        <v>0</v>
      </c>
      <c r="I3" s="3">
        <f>SUMIFS(Details!$BO:$BO,Details!$CW:$CW,'Co-hort'!$B3,Details!$C:$C,'Co-hort'!I$2)</f>
        <v>0</v>
      </c>
      <c r="J3" s="3">
        <f>SUMIFS(Details!$BO:$BO,Details!$CW:$CW,'Co-hort'!$B3,Details!$C:$C,'Co-hort'!J$2)</f>
        <v>0</v>
      </c>
      <c r="L3" s="3">
        <f>SUMIFS(Details!$BB:$BB,Details!$CW:$CW,'Co-hort'!$B3,Details!$C:$C,'Co-hort'!L$2)</f>
        <v>0</v>
      </c>
      <c r="M3" s="3">
        <f>SUMIFS(Details!$BB:$BB,Details!$CW:$CW,'Co-hort'!$B3,Details!$C:$C,'Co-hort'!M$2)</f>
        <v>0</v>
      </c>
      <c r="N3" s="3">
        <f>SUMIFS(Details!$BB:$BB,Details!$CW:$CW,'Co-hort'!$B3,Details!$C:$C,'Co-hort'!N$2)</f>
        <v>0</v>
      </c>
      <c r="O3" s="3">
        <f>SUMIFS(Details!$BB:$BB,Details!$CW:$CW,'Co-hort'!$B3,Details!$C:$C,'Co-hort'!O$2)</f>
        <v>0</v>
      </c>
      <c r="P3" s="3">
        <f>SUMIFS(Details!$BB:$BB,Details!$CW:$CW,'Co-hort'!$B3,Details!$C:$C,'Co-hort'!P$2)</f>
        <v>0</v>
      </c>
      <c r="Q3" s="3">
        <f>SUMIFS(Details!$BB:$BB,Details!$CW:$CW,'Co-hort'!$B3,Details!$C:$C,'Co-hort'!Q$2)</f>
        <v>0</v>
      </c>
      <c r="R3" s="3">
        <f>SUMIFS(Details!$BB:$BB,Details!$CW:$CW,'Co-hort'!$B3,Details!$C:$C,'Co-hort'!R$2)</f>
        <v>0</v>
      </c>
      <c r="T3" t="str">
        <v>Prajapati Foundry Private Limited</v>
      </c>
      <c r="U3" s="3">
        <f ca="1">SUMIFS('Details PC'!$AG:$AG,'Details PC'!$AB:$AB,'Co-hort'!$T3,'Details PC'!$W:$W,'Co-hort'!U$2)+SUMIFS('Details PC'!$AH:$AH,'Details PC'!$AB:$AB,'Co-hort'!$T3,'Details PC'!$W:$W,'Co-hort'!U$2)</f>
        <v>0</v>
      </c>
      <c r="V3" s="3">
        <f>SUMIFS('Details PC'!$AG:$AG,'Details PC'!$AB:$AB,'Co-hort'!$T3,'Details PC'!$W:$W,'Co-hort'!V$2)+SUMIFS('Details PC'!$AH:$AH,'Details PC'!$AB:$AB,'Co-hort'!$T3,'Details PC'!$W:$W,'Co-hort'!V$2)</f>
        <v>0</v>
      </c>
      <c r="W3" s="3">
        <f>SUMIFS('Details PC'!$AG:$AG,'Details PC'!$AB:$AB,'Co-hort'!$T3,'Details PC'!$W:$W,'Co-hort'!W$2)+SUMIFS('Details PC'!$AH:$AH,'Details PC'!$AB:$AB,'Co-hort'!$T3,'Details PC'!$W:$W,'Co-hort'!W$2)</f>
        <v>0</v>
      </c>
      <c r="X3" s="3">
        <f>SUMIFS('Details PC'!$AG:$AG,'Details PC'!$AB:$AB,'Co-hort'!$T3,'Details PC'!$W:$W,'Co-hort'!X$2)+SUMIFS('Details PC'!$AH:$AH,'Details PC'!$AB:$AB,'Co-hort'!$T3,'Details PC'!$W:$W,'Co-hort'!X$2)</f>
        <v>0</v>
      </c>
      <c r="Y3" s="3">
        <f>SUMIFS('Details PC'!$AG:$AG,'Details PC'!$AB:$AB,'Co-hort'!$T3,'Details PC'!$W:$W,'Co-hort'!Y$2)+SUMIFS('Details PC'!$AH:$AH,'Details PC'!$AB:$AB,'Co-hort'!$T3,'Details PC'!$W:$W,'Co-hort'!Y$2)</f>
        <v>0</v>
      </c>
      <c r="Z3" s="3">
        <f>SUMIFS('Details PC'!$AG:$AG,'Details PC'!$AB:$AB,'Co-hort'!$T3,'Details PC'!$W:$W,'Co-hort'!Z$2)+SUMIFS('Details PC'!$AH:$AH,'Details PC'!$AB:$AB,'Co-hort'!$T3,'Details PC'!$W:$W,'Co-hort'!Z$2)</f>
        <v>0</v>
      </c>
      <c r="AA3" s="3">
        <f>SUMIFS('Details PC'!$AG:$AG,'Details PC'!$AB:$AB,'Co-hort'!$T3,'Details PC'!$W:$W,'Co-hort'!AA$2)+SUMIFS('Details PC'!$AH:$AH,'Details PC'!$AB:$AB,'Co-hort'!$T3,'Details PC'!$W:$W,'Co-hort'!AA$2)</f>
        <v>0</v>
      </c>
      <c r="AB3" s="3">
        <f>SUMIFS('Details PC'!$AG:$AG,'Details PC'!$AB:$AB,'Co-hort'!$T3,'Details PC'!$W:$W,'Co-hort'!AB$2)+SUMIFS('Details PC'!$AH:$AH,'Details PC'!$AB:$AB,'Co-hort'!$T3,'Details PC'!$W:$W,'Co-hort'!AB$2)</f>
        <v>0</v>
      </c>
      <c r="AC3" s="3">
        <f>SUMIFS('Details PC'!$AG:$AG,'Details PC'!$AB:$AB,'Co-hort'!$T3,'Details PC'!$W:$W,'Co-hort'!AC$2)+SUMIFS('Details PC'!$AH:$AH,'Details PC'!$AB:$AB,'Co-hort'!$T3,'Details PC'!$W:$W,'Co-hort'!AC$2)</f>
        <v>0</v>
      </c>
      <c r="AD3" s="3">
        <f>SUMIFS('Details PC'!$AG:$AG,'Details PC'!$AB:$AB,'Co-hort'!$T3,'Details PC'!$W:$W,'Co-hort'!AD$2)+SUMIFS('Details PC'!$AH:$AH,'Details PC'!$AB:$AB,'Co-hort'!$T3,'Details PC'!$W:$W,'Co-hort'!AD$2)</f>
        <v>0</v>
      </c>
      <c r="AE3" s="3">
        <f>SUMIFS('Details PC'!$AG:$AG,'Details PC'!$AB:$AB,'Co-hort'!$T3,'Details PC'!$W:$W,'Co-hort'!AE$2)+SUMIFS('Details PC'!$AH:$AH,'Details PC'!$AB:$AB,'Co-hort'!$T3,'Details PC'!$W:$W,'Co-hort'!AE$2)</f>
        <v>0</v>
      </c>
      <c r="AH3" s="3">
        <f ca="1">SUMIFS('Details PC'!$AE:$AE,'Details PC'!$AB:$AB,'Co-hort'!$T3,'Details PC'!$W:$W,'Co-hort'!U$2)</f>
        <v>0</v>
      </c>
      <c r="AI3" s="3">
        <f>SUMIFS('Details PC'!$AE:$AE,'Details PC'!$AB:$AB,'Co-hort'!$T3,'Details PC'!$W:$W,'Co-hort'!V$2)</f>
        <v>0</v>
      </c>
      <c r="AJ3" s="3">
        <f>SUMIFS('Details PC'!$AE:$AE,'Details PC'!$AB:$AB,'Co-hort'!$T3,'Details PC'!$W:$W,'Co-hort'!W$2)</f>
        <v>0</v>
      </c>
      <c r="AK3" s="3">
        <f>SUMIFS('Details PC'!$AE:$AE,'Details PC'!$AB:$AB,'Co-hort'!$T3,'Details PC'!$W:$W,'Co-hort'!X$2)</f>
        <v>0</v>
      </c>
      <c r="AL3" s="3">
        <f>SUMIFS('Details PC'!$AE:$AE,'Details PC'!$AB:$AB,'Co-hort'!$T3,'Details PC'!$W:$W,'Co-hort'!Y$2)</f>
        <v>0</v>
      </c>
      <c r="AM3" s="3">
        <f>SUMIFS('Details PC'!$AE:$AE,'Details PC'!$AB:$AB,'Co-hort'!$T3,'Details PC'!$W:$W,'Co-hort'!Z$2)</f>
        <v>0</v>
      </c>
      <c r="AN3" s="3">
        <f>SUMIFS('Details PC'!$AE:$AE,'Details PC'!$AB:$AB,'Co-hort'!$T3,'Details PC'!$W:$W,'Co-hort'!AA$2)</f>
        <v>0</v>
      </c>
      <c r="AO3" s="3">
        <f>SUMIFS('Details PC'!$AE:$AE,'Details PC'!$AB:$AB,'Co-hort'!$T3,'Details PC'!$W:$W,'Co-hort'!AB$2)</f>
        <v>0</v>
      </c>
      <c r="AP3" s="3">
        <f>SUMIFS('Details PC'!$AE:$AE,'Details PC'!$AB:$AB,'Co-hort'!$T3,'Details PC'!$W:$W,'Co-hort'!AC$2)</f>
        <v>0</v>
      </c>
      <c r="AQ3" s="3">
        <f>SUMIFS('Details PC'!$AE:$AE,'Details PC'!$AB:$AB,'Co-hort'!$T3,'Details PC'!$W:$W,'Co-hort'!AD$2)</f>
        <v>0</v>
      </c>
      <c r="AR3" s="3">
        <f>SUMIFS('Details PC'!$AE:$AE,'Details PC'!$AB:$AB,'Co-hort'!$T3,'Details PC'!$W:$W,'Co-hort'!AE$2)</f>
        <v>0</v>
      </c>
    </row>
    <row r="4" spans="2:52" x14ac:dyDescent="0.3">
      <c r="C4">
        <f>_xlfn.XLOOKUP(B4,Details!CW:CW,Details!AQ:AQ)</f>
        <v>0</v>
      </c>
      <c r="D4" s="3">
        <f>SUMIFS(Details!$BO:$BO,Details!$CW:$CW,'Co-hort'!$B4,Details!$C:$C,'Co-hort'!D$2)</f>
        <v>0</v>
      </c>
      <c r="E4" s="3">
        <f>SUMIFS(Details!$BO:$BO,Details!$CW:$CW,'Co-hort'!$B4,Details!$C:$C,'Co-hort'!E$2)</f>
        <v>0</v>
      </c>
      <c r="F4" s="3">
        <f>SUMIFS(Details!$BO:$BO,Details!$CW:$CW,'Co-hort'!$B4,Details!$C:$C,'Co-hort'!F$2)</f>
        <v>0</v>
      </c>
      <c r="G4" s="3">
        <f>SUMIFS(Details!$BO:$BO,Details!$CW:$CW,'Co-hort'!$B4,Details!$C:$C,'Co-hort'!G$2)</f>
        <v>0</v>
      </c>
      <c r="H4" s="3">
        <f>SUMIFS(Details!$BO:$BO,Details!$CW:$CW,'Co-hort'!$B4,Details!$C:$C,'Co-hort'!H$2)</f>
        <v>0</v>
      </c>
      <c r="I4" s="3">
        <f>SUMIFS(Details!$BO:$BO,Details!$CW:$CW,'Co-hort'!$B4,Details!$C:$C,'Co-hort'!I$2)</f>
        <v>0</v>
      </c>
      <c r="J4" s="3">
        <f>SUMIFS(Details!$BO:$BO,Details!$CW:$CW,'Co-hort'!$B4,Details!$C:$C,'Co-hort'!J$2)</f>
        <v>0</v>
      </c>
      <c r="L4" s="3">
        <f>SUMIFS(Details!$BB:$BB,Details!$CW:$CW,'Co-hort'!$B4,Details!$C:$C,'Co-hort'!L$2)</f>
        <v>0</v>
      </c>
      <c r="M4" s="3">
        <f>SUMIFS(Details!$BB:$BB,Details!$CW:$CW,'Co-hort'!$B4,Details!$C:$C,'Co-hort'!M$2)</f>
        <v>0</v>
      </c>
      <c r="N4" s="3">
        <f>SUMIFS(Details!$BB:$BB,Details!$CW:$CW,'Co-hort'!$B4,Details!$C:$C,'Co-hort'!N$2)</f>
        <v>0</v>
      </c>
      <c r="O4" s="3">
        <f>SUMIFS(Details!$BB:$BB,Details!$CW:$CW,'Co-hort'!$B4,Details!$C:$C,'Co-hort'!O$2)</f>
        <v>0</v>
      </c>
      <c r="P4" s="3">
        <f>SUMIFS(Details!$BB:$BB,Details!$CW:$CW,'Co-hort'!$B4,Details!$C:$C,'Co-hort'!P$2)</f>
        <v>0</v>
      </c>
      <c r="Q4" s="3">
        <f>SUMIFS(Details!$BB:$BB,Details!$CW:$CW,'Co-hort'!$B4,Details!$C:$C,'Co-hort'!Q$2)</f>
        <v>0</v>
      </c>
      <c r="R4" s="3">
        <f>SUMIFS(Details!$BB:$BB,Details!$CW:$CW,'Co-hort'!$B4,Details!$C:$C,'Co-hort'!R$2)</f>
        <v>0</v>
      </c>
      <c r="T4" t="str">
        <v>Kalyani Foundry Works</v>
      </c>
      <c r="U4" s="3">
        <f ca="1">SUMIFS('Details PC'!$AG:$AG,'Details PC'!$AB:$AB,'Co-hort'!$T4,'Details PC'!$W:$W,'Co-hort'!U$2)+SUMIFS('Details PC'!$AH:$AH,'Details PC'!$AB:$AB,'Co-hort'!$T4,'Details PC'!$W:$W,'Co-hort'!U$2)</f>
        <v>0</v>
      </c>
      <c r="V4" s="3">
        <f>SUMIFS('Details PC'!$AG:$AG,'Details PC'!$AB:$AB,'Co-hort'!$T4,'Details PC'!$W:$W,'Co-hort'!V$2)+SUMIFS('Details PC'!$AH:$AH,'Details PC'!$AB:$AB,'Co-hort'!$T4,'Details PC'!$W:$W,'Co-hort'!V$2)</f>
        <v>0</v>
      </c>
      <c r="W4" s="3">
        <f>SUMIFS('Details PC'!$AG:$AG,'Details PC'!$AB:$AB,'Co-hort'!$T4,'Details PC'!$W:$W,'Co-hort'!W$2)+SUMIFS('Details PC'!$AH:$AH,'Details PC'!$AB:$AB,'Co-hort'!$T4,'Details PC'!$W:$W,'Co-hort'!W$2)</f>
        <v>0</v>
      </c>
      <c r="X4" s="3">
        <f>SUMIFS('Details PC'!$AG:$AG,'Details PC'!$AB:$AB,'Co-hort'!$T4,'Details PC'!$W:$W,'Co-hort'!X$2)+SUMIFS('Details PC'!$AH:$AH,'Details PC'!$AB:$AB,'Co-hort'!$T4,'Details PC'!$W:$W,'Co-hort'!X$2)</f>
        <v>0</v>
      </c>
      <c r="Y4" s="3">
        <f>SUMIFS('Details PC'!$AG:$AG,'Details PC'!$AB:$AB,'Co-hort'!$T4,'Details PC'!$W:$W,'Co-hort'!Y$2)+SUMIFS('Details PC'!$AH:$AH,'Details PC'!$AB:$AB,'Co-hort'!$T4,'Details PC'!$W:$W,'Co-hort'!Y$2)</f>
        <v>0</v>
      </c>
      <c r="Z4" s="3">
        <f>SUMIFS('Details PC'!$AG:$AG,'Details PC'!$AB:$AB,'Co-hort'!$T4,'Details PC'!$W:$W,'Co-hort'!Z$2)+SUMIFS('Details PC'!$AH:$AH,'Details PC'!$AB:$AB,'Co-hort'!$T4,'Details PC'!$W:$W,'Co-hort'!Z$2)</f>
        <v>0</v>
      </c>
      <c r="AA4" s="3">
        <f>SUMIFS('Details PC'!$AG:$AG,'Details PC'!$AB:$AB,'Co-hort'!$T4,'Details PC'!$W:$W,'Co-hort'!AA$2)+SUMIFS('Details PC'!$AH:$AH,'Details PC'!$AB:$AB,'Co-hort'!$T4,'Details PC'!$W:$W,'Co-hort'!AA$2)</f>
        <v>0</v>
      </c>
      <c r="AB4" s="3">
        <f>SUMIFS('Details PC'!$AG:$AG,'Details PC'!$AB:$AB,'Co-hort'!$T4,'Details PC'!$W:$W,'Co-hort'!AB$2)+SUMIFS('Details PC'!$AH:$AH,'Details PC'!$AB:$AB,'Co-hort'!$T4,'Details PC'!$W:$W,'Co-hort'!AB$2)</f>
        <v>0</v>
      </c>
      <c r="AC4" s="3">
        <f>SUMIFS('Details PC'!$AG:$AG,'Details PC'!$AB:$AB,'Co-hort'!$T4,'Details PC'!$W:$W,'Co-hort'!AC$2)+SUMIFS('Details PC'!$AH:$AH,'Details PC'!$AB:$AB,'Co-hort'!$T4,'Details PC'!$W:$W,'Co-hort'!AC$2)</f>
        <v>0</v>
      </c>
      <c r="AD4" s="3">
        <f>SUMIFS('Details PC'!$AG:$AG,'Details PC'!$AB:$AB,'Co-hort'!$T4,'Details PC'!$W:$W,'Co-hort'!AD$2)+SUMIFS('Details PC'!$AH:$AH,'Details PC'!$AB:$AB,'Co-hort'!$T4,'Details PC'!$W:$W,'Co-hort'!AD$2)</f>
        <v>0</v>
      </c>
      <c r="AE4" s="3">
        <f>SUMIFS('Details PC'!$AG:$AG,'Details PC'!$AB:$AB,'Co-hort'!$T4,'Details PC'!$W:$W,'Co-hort'!AE$2)+SUMIFS('Details PC'!$AH:$AH,'Details PC'!$AB:$AB,'Co-hort'!$T4,'Details PC'!$W:$W,'Co-hort'!AE$2)</f>
        <v>0</v>
      </c>
      <c r="AH4" s="3">
        <f ca="1">SUMIFS('Details PC'!$AE:$AE,'Details PC'!$AB:$AB,'Co-hort'!$T4,'Details PC'!$W:$W,'Co-hort'!U$2)</f>
        <v>0</v>
      </c>
      <c r="AI4" s="3">
        <f>SUMIFS('Details PC'!$AE:$AE,'Details PC'!$AB:$AB,'Co-hort'!$T4,'Details PC'!$W:$W,'Co-hort'!V$2)</f>
        <v>0</v>
      </c>
      <c r="AJ4" s="3">
        <f>SUMIFS('Details PC'!$AE:$AE,'Details PC'!$AB:$AB,'Co-hort'!$T4,'Details PC'!$W:$W,'Co-hort'!W$2)</f>
        <v>0</v>
      </c>
      <c r="AK4" s="3">
        <f>SUMIFS('Details PC'!$AE:$AE,'Details PC'!$AB:$AB,'Co-hort'!$T4,'Details PC'!$W:$W,'Co-hort'!X$2)</f>
        <v>0</v>
      </c>
      <c r="AL4" s="3">
        <f>SUMIFS('Details PC'!$AE:$AE,'Details PC'!$AB:$AB,'Co-hort'!$T4,'Details PC'!$W:$W,'Co-hort'!Y$2)</f>
        <v>0</v>
      </c>
      <c r="AM4" s="3">
        <f>SUMIFS('Details PC'!$AE:$AE,'Details PC'!$AB:$AB,'Co-hort'!$T4,'Details PC'!$W:$W,'Co-hort'!Z$2)</f>
        <v>0</v>
      </c>
      <c r="AN4" s="3">
        <f>SUMIFS('Details PC'!$AE:$AE,'Details PC'!$AB:$AB,'Co-hort'!$T4,'Details PC'!$W:$W,'Co-hort'!AA$2)</f>
        <v>0</v>
      </c>
      <c r="AO4" s="3">
        <f>SUMIFS('Details PC'!$AE:$AE,'Details PC'!$AB:$AB,'Co-hort'!$T4,'Details PC'!$W:$W,'Co-hort'!AB$2)</f>
        <v>0</v>
      </c>
      <c r="AP4" s="3">
        <f>SUMIFS('Details PC'!$AE:$AE,'Details PC'!$AB:$AB,'Co-hort'!$T4,'Details PC'!$W:$W,'Co-hort'!AC$2)</f>
        <v>0</v>
      </c>
      <c r="AQ4" s="3">
        <f>SUMIFS('Details PC'!$AE:$AE,'Details PC'!$AB:$AB,'Co-hort'!$T4,'Details PC'!$W:$W,'Co-hort'!AD$2)</f>
        <v>0</v>
      </c>
      <c r="AR4" s="3">
        <f>SUMIFS('Details PC'!$AE:$AE,'Details PC'!$AB:$AB,'Co-hort'!$T4,'Details PC'!$W:$W,'Co-hort'!AE$2)</f>
        <v>0</v>
      </c>
    </row>
    <row r="5" spans="2:52" x14ac:dyDescent="0.3">
      <c r="C5">
        <f>_xlfn.XLOOKUP(B5,Details!CW:CW,Details!AQ:AQ)</f>
        <v>0</v>
      </c>
      <c r="D5" s="3">
        <f>SUMIFS(Details!$BO:$BO,Details!$CW:$CW,'Co-hort'!$B5,Details!$C:$C,'Co-hort'!D$2)</f>
        <v>0</v>
      </c>
      <c r="E5" s="3">
        <f>SUMIFS(Details!$BO:$BO,Details!$CW:$CW,'Co-hort'!$B5,Details!$C:$C,'Co-hort'!E$2)</f>
        <v>0</v>
      </c>
      <c r="F5" s="3">
        <f>SUMIFS(Details!$BO:$BO,Details!$CW:$CW,'Co-hort'!$B5,Details!$C:$C,'Co-hort'!F$2)</f>
        <v>0</v>
      </c>
      <c r="G5" s="3">
        <f>SUMIFS(Details!$BO:$BO,Details!$CW:$CW,'Co-hort'!$B5,Details!$C:$C,'Co-hort'!G$2)</f>
        <v>0</v>
      </c>
      <c r="H5" s="3">
        <f>SUMIFS(Details!$BO:$BO,Details!$CW:$CW,'Co-hort'!$B5,Details!$C:$C,'Co-hort'!H$2)</f>
        <v>0</v>
      </c>
      <c r="I5" s="3">
        <f>SUMIFS(Details!$BO:$BO,Details!$CW:$CW,'Co-hort'!$B5,Details!$C:$C,'Co-hort'!I$2)</f>
        <v>0</v>
      </c>
      <c r="J5" s="3">
        <f>SUMIFS(Details!$BO:$BO,Details!$CW:$CW,'Co-hort'!$B5,Details!$C:$C,'Co-hort'!J$2)</f>
        <v>0</v>
      </c>
      <c r="L5" s="3">
        <f>SUMIFS(Details!$BB:$BB,Details!$CW:$CW,'Co-hort'!$B5,Details!$C:$C,'Co-hort'!L$2)</f>
        <v>0</v>
      </c>
      <c r="M5" s="3">
        <f>SUMIFS(Details!$BB:$BB,Details!$CW:$CW,'Co-hort'!$B5,Details!$C:$C,'Co-hort'!M$2)</f>
        <v>0</v>
      </c>
      <c r="N5" s="3">
        <f>SUMIFS(Details!$BB:$BB,Details!$CW:$CW,'Co-hort'!$B5,Details!$C:$C,'Co-hort'!N$2)</f>
        <v>0</v>
      </c>
      <c r="O5" s="3">
        <f>SUMIFS(Details!$BB:$BB,Details!$CW:$CW,'Co-hort'!$B5,Details!$C:$C,'Co-hort'!O$2)</f>
        <v>0</v>
      </c>
      <c r="P5" s="3">
        <f>SUMIFS(Details!$BB:$BB,Details!$CW:$CW,'Co-hort'!$B5,Details!$C:$C,'Co-hort'!P$2)</f>
        <v>0</v>
      </c>
      <c r="Q5" s="3">
        <f>SUMIFS(Details!$BB:$BB,Details!$CW:$CW,'Co-hort'!$B5,Details!$C:$C,'Co-hort'!Q$2)</f>
        <v>0</v>
      </c>
      <c r="R5" s="3">
        <f>SUMIFS(Details!$BB:$BB,Details!$CW:$CW,'Co-hort'!$B5,Details!$C:$C,'Co-hort'!R$2)</f>
        <v>0</v>
      </c>
      <c r="T5" t="str">
        <v>Shree Balaji Metal Trading Company</v>
      </c>
      <c r="U5" s="3">
        <f ca="1">SUMIFS('Details PC'!$AG:$AG,'Details PC'!$AB:$AB,'Co-hort'!$T5,'Details PC'!$W:$W,'Co-hort'!U$2)+SUMIFS('Details PC'!$AH:$AH,'Details PC'!$AB:$AB,'Co-hort'!$T5,'Details PC'!$W:$W,'Co-hort'!U$2)</f>
        <v>0</v>
      </c>
      <c r="V5" s="3">
        <f>SUMIFS('Details PC'!$AG:$AG,'Details PC'!$AB:$AB,'Co-hort'!$T5,'Details PC'!$W:$W,'Co-hort'!V$2)+SUMIFS('Details PC'!$AH:$AH,'Details PC'!$AB:$AB,'Co-hort'!$T5,'Details PC'!$W:$W,'Co-hort'!V$2)</f>
        <v>0</v>
      </c>
      <c r="W5" s="3">
        <f>SUMIFS('Details PC'!$AG:$AG,'Details PC'!$AB:$AB,'Co-hort'!$T5,'Details PC'!$W:$W,'Co-hort'!W$2)+SUMIFS('Details PC'!$AH:$AH,'Details PC'!$AB:$AB,'Co-hort'!$T5,'Details PC'!$W:$W,'Co-hort'!W$2)</f>
        <v>0</v>
      </c>
      <c r="X5" s="3">
        <f>SUMIFS('Details PC'!$AG:$AG,'Details PC'!$AB:$AB,'Co-hort'!$T5,'Details PC'!$W:$W,'Co-hort'!X$2)+SUMIFS('Details PC'!$AH:$AH,'Details PC'!$AB:$AB,'Co-hort'!$T5,'Details PC'!$W:$W,'Co-hort'!X$2)</f>
        <v>0</v>
      </c>
      <c r="Y5" s="3">
        <f>SUMIFS('Details PC'!$AG:$AG,'Details PC'!$AB:$AB,'Co-hort'!$T5,'Details PC'!$W:$W,'Co-hort'!Y$2)+SUMIFS('Details PC'!$AH:$AH,'Details PC'!$AB:$AB,'Co-hort'!$T5,'Details PC'!$W:$W,'Co-hort'!Y$2)</f>
        <v>0</v>
      </c>
      <c r="Z5" s="3">
        <f>SUMIFS('Details PC'!$AG:$AG,'Details PC'!$AB:$AB,'Co-hort'!$T5,'Details PC'!$W:$W,'Co-hort'!Z$2)+SUMIFS('Details PC'!$AH:$AH,'Details PC'!$AB:$AB,'Co-hort'!$T5,'Details PC'!$W:$W,'Co-hort'!Z$2)</f>
        <v>0</v>
      </c>
      <c r="AA5" s="3">
        <f>SUMIFS('Details PC'!$AG:$AG,'Details PC'!$AB:$AB,'Co-hort'!$T5,'Details PC'!$W:$W,'Co-hort'!AA$2)+SUMIFS('Details PC'!$AH:$AH,'Details PC'!$AB:$AB,'Co-hort'!$T5,'Details PC'!$W:$W,'Co-hort'!AA$2)</f>
        <v>0</v>
      </c>
      <c r="AB5" s="3">
        <f>SUMIFS('Details PC'!$AG:$AG,'Details PC'!$AB:$AB,'Co-hort'!$T5,'Details PC'!$W:$W,'Co-hort'!AB$2)+SUMIFS('Details PC'!$AH:$AH,'Details PC'!$AB:$AB,'Co-hort'!$T5,'Details PC'!$W:$W,'Co-hort'!AB$2)</f>
        <v>0</v>
      </c>
      <c r="AC5" s="3">
        <f>SUMIFS('Details PC'!$AG:$AG,'Details PC'!$AB:$AB,'Co-hort'!$T5,'Details PC'!$W:$W,'Co-hort'!AC$2)+SUMIFS('Details PC'!$AH:$AH,'Details PC'!$AB:$AB,'Co-hort'!$T5,'Details PC'!$W:$W,'Co-hort'!AC$2)</f>
        <v>0</v>
      </c>
      <c r="AD5" s="3">
        <f>SUMIFS('Details PC'!$AG:$AG,'Details PC'!$AB:$AB,'Co-hort'!$T5,'Details PC'!$W:$W,'Co-hort'!AD$2)+SUMIFS('Details PC'!$AH:$AH,'Details PC'!$AB:$AB,'Co-hort'!$T5,'Details PC'!$W:$W,'Co-hort'!AD$2)</f>
        <v>0</v>
      </c>
      <c r="AE5" s="3">
        <f>SUMIFS('Details PC'!$AG:$AG,'Details PC'!$AB:$AB,'Co-hort'!$T5,'Details PC'!$W:$W,'Co-hort'!AE$2)+SUMIFS('Details PC'!$AH:$AH,'Details PC'!$AB:$AB,'Co-hort'!$T5,'Details PC'!$W:$W,'Co-hort'!AE$2)</f>
        <v>0</v>
      </c>
      <c r="AH5" s="3">
        <f ca="1">SUMIFS('Details PC'!$AE:$AE,'Details PC'!$AB:$AB,'Co-hort'!$T5,'Details PC'!$W:$W,'Co-hort'!U$2)</f>
        <v>0</v>
      </c>
      <c r="AI5" s="3">
        <f>SUMIFS('Details PC'!$AE:$AE,'Details PC'!$AB:$AB,'Co-hort'!$T5,'Details PC'!$W:$W,'Co-hort'!V$2)</f>
        <v>0</v>
      </c>
      <c r="AJ5" s="3">
        <f>SUMIFS('Details PC'!$AE:$AE,'Details PC'!$AB:$AB,'Co-hort'!$T5,'Details PC'!$W:$W,'Co-hort'!W$2)</f>
        <v>0</v>
      </c>
      <c r="AK5" s="3">
        <f>SUMIFS('Details PC'!$AE:$AE,'Details PC'!$AB:$AB,'Co-hort'!$T5,'Details PC'!$W:$W,'Co-hort'!X$2)</f>
        <v>0</v>
      </c>
      <c r="AL5" s="3">
        <f>SUMIFS('Details PC'!$AE:$AE,'Details PC'!$AB:$AB,'Co-hort'!$T5,'Details PC'!$W:$W,'Co-hort'!Y$2)</f>
        <v>0</v>
      </c>
      <c r="AM5" s="3">
        <f>SUMIFS('Details PC'!$AE:$AE,'Details PC'!$AB:$AB,'Co-hort'!$T5,'Details PC'!$W:$W,'Co-hort'!Z$2)</f>
        <v>0</v>
      </c>
      <c r="AN5" s="3">
        <f>SUMIFS('Details PC'!$AE:$AE,'Details PC'!$AB:$AB,'Co-hort'!$T5,'Details PC'!$W:$W,'Co-hort'!AA$2)</f>
        <v>0</v>
      </c>
      <c r="AO5" s="3">
        <f>SUMIFS('Details PC'!$AE:$AE,'Details PC'!$AB:$AB,'Co-hort'!$T5,'Details PC'!$W:$W,'Co-hort'!AB$2)</f>
        <v>0</v>
      </c>
      <c r="AP5" s="3">
        <f>SUMIFS('Details PC'!$AE:$AE,'Details PC'!$AB:$AB,'Co-hort'!$T5,'Details PC'!$W:$W,'Co-hort'!AC$2)</f>
        <v>0</v>
      </c>
      <c r="AQ5" s="3">
        <f>SUMIFS('Details PC'!$AE:$AE,'Details PC'!$AB:$AB,'Co-hort'!$T5,'Details PC'!$W:$W,'Co-hort'!AD$2)</f>
        <v>0</v>
      </c>
      <c r="AR5" s="3">
        <f>SUMIFS('Details PC'!$AE:$AE,'Details PC'!$AB:$AB,'Co-hort'!$T5,'Details PC'!$W:$W,'Co-hort'!AE$2)</f>
        <v>0</v>
      </c>
    </row>
    <row r="6" spans="2:52" x14ac:dyDescent="0.3">
      <c r="C6">
        <f>_xlfn.XLOOKUP(B6,Details!CW:CW,Details!AQ:AQ)</f>
        <v>0</v>
      </c>
      <c r="D6" s="3">
        <f>SUMIFS(Details!$BO:$BO,Details!$CW:$CW,'Co-hort'!$B6,Details!$C:$C,'Co-hort'!D$2)</f>
        <v>0</v>
      </c>
      <c r="E6" s="3">
        <f>SUMIFS(Details!$BO:$BO,Details!$CW:$CW,'Co-hort'!$B6,Details!$C:$C,'Co-hort'!E$2)</f>
        <v>0</v>
      </c>
      <c r="F6" s="3">
        <f>SUMIFS(Details!$BO:$BO,Details!$CW:$CW,'Co-hort'!$B6,Details!$C:$C,'Co-hort'!F$2)</f>
        <v>0</v>
      </c>
      <c r="G6" s="3">
        <f>SUMIFS(Details!$BO:$BO,Details!$CW:$CW,'Co-hort'!$B6,Details!$C:$C,'Co-hort'!G$2)</f>
        <v>0</v>
      </c>
      <c r="H6" s="3">
        <f>SUMIFS(Details!$BO:$BO,Details!$CW:$CW,'Co-hort'!$B6,Details!$C:$C,'Co-hort'!H$2)</f>
        <v>0</v>
      </c>
      <c r="I6" s="3">
        <f>SUMIFS(Details!$BO:$BO,Details!$CW:$CW,'Co-hort'!$B6,Details!$C:$C,'Co-hort'!I$2)</f>
        <v>0</v>
      </c>
      <c r="J6" s="3">
        <f>SUMIFS(Details!$BO:$BO,Details!$CW:$CW,'Co-hort'!$B6,Details!$C:$C,'Co-hort'!J$2)</f>
        <v>0</v>
      </c>
      <c r="L6" s="3">
        <f>SUMIFS(Details!$BB:$BB,Details!$CW:$CW,'Co-hort'!$B6,Details!$C:$C,'Co-hort'!L$2)</f>
        <v>0</v>
      </c>
      <c r="M6" s="3">
        <f>SUMIFS(Details!$BB:$BB,Details!$CW:$CW,'Co-hort'!$B6,Details!$C:$C,'Co-hort'!M$2)</f>
        <v>0</v>
      </c>
      <c r="N6" s="3">
        <f>SUMIFS(Details!$BB:$BB,Details!$CW:$CW,'Co-hort'!$B6,Details!$C:$C,'Co-hort'!N$2)</f>
        <v>0</v>
      </c>
      <c r="O6" s="3">
        <f>SUMIFS(Details!$BB:$BB,Details!$CW:$CW,'Co-hort'!$B6,Details!$C:$C,'Co-hort'!O$2)</f>
        <v>0</v>
      </c>
      <c r="P6" s="3">
        <f>SUMIFS(Details!$BB:$BB,Details!$CW:$CW,'Co-hort'!$B6,Details!$C:$C,'Co-hort'!P$2)</f>
        <v>0</v>
      </c>
      <c r="Q6" s="3">
        <f>SUMIFS(Details!$BB:$BB,Details!$CW:$CW,'Co-hort'!$B6,Details!$C:$C,'Co-hort'!Q$2)</f>
        <v>0</v>
      </c>
      <c r="R6" s="3">
        <f>SUMIFS(Details!$BB:$BB,Details!$CW:$CW,'Co-hort'!$B6,Details!$C:$C,'Co-hort'!R$2)</f>
        <v>0</v>
      </c>
      <c r="T6" t="str">
        <v>Affan Tools</v>
      </c>
      <c r="U6" s="3">
        <f ca="1">SUMIFS('Details PC'!$AG:$AG,'Details PC'!$AB:$AB,'Co-hort'!$T6,'Details PC'!$W:$W,'Co-hort'!U$2)+SUMIFS('Details PC'!$AH:$AH,'Details PC'!$AB:$AB,'Co-hort'!$T6,'Details PC'!$W:$W,'Co-hort'!U$2)</f>
        <v>0</v>
      </c>
      <c r="V6" s="3">
        <f>SUMIFS('Details PC'!$AG:$AG,'Details PC'!$AB:$AB,'Co-hort'!$T6,'Details PC'!$W:$W,'Co-hort'!V$2)+SUMIFS('Details PC'!$AH:$AH,'Details PC'!$AB:$AB,'Co-hort'!$T6,'Details PC'!$W:$W,'Co-hort'!V$2)</f>
        <v>0</v>
      </c>
      <c r="W6" s="3">
        <f>SUMIFS('Details PC'!$AG:$AG,'Details PC'!$AB:$AB,'Co-hort'!$T6,'Details PC'!$W:$W,'Co-hort'!W$2)+SUMIFS('Details PC'!$AH:$AH,'Details PC'!$AB:$AB,'Co-hort'!$T6,'Details PC'!$W:$W,'Co-hort'!W$2)</f>
        <v>0</v>
      </c>
      <c r="X6" s="3">
        <f>SUMIFS('Details PC'!$AG:$AG,'Details PC'!$AB:$AB,'Co-hort'!$T6,'Details PC'!$W:$W,'Co-hort'!X$2)+SUMIFS('Details PC'!$AH:$AH,'Details PC'!$AB:$AB,'Co-hort'!$T6,'Details PC'!$W:$W,'Co-hort'!X$2)</f>
        <v>0</v>
      </c>
      <c r="Y6" s="3">
        <f>SUMIFS('Details PC'!$AG:$AG,'Details PC'!$AB:$AB,'Co-hort'!$T6,'Details PC'!$W:$W,'Co-hort'!Y$2)+SUMIFS('Details PC'!$AH:$AH,'Details PC'!$AB:$AB,'Co-hort'!$T6,'Details PC'!$W:$W,'Co-hort'!Y$2)</f>
        <v>0</v>
      </c>
      <c r="Z6" s="3">
        <f>SUMIFS('Details PC'!$AG:$AG,'Details PC'!$AB:$AB,'Co-hort'!$T6,'Details PC'!$W:$W,'Co-hort'!Z$2)+SUMIFS('Details PC'!$AH:$AH,'Details PC'!$AB:$AB,'Co-hort'!$T6,'Details PC'!$W:$W,'Co-hort'!Z$2)</f>
        <v>0</v>
      </c>
      <c r="AA6" s="3">
        <f>SUMIFS('Details PC'!$AG:$AG,'Details PC'!$AB:$AB,'Co-hort'!$T6,'Details PC'!$W:$W,'Co-hort'!AA$2)+SUMIFS('Details PC'!$AH:$AH,'Details PC'!$AB:$AB,'Co-hort'!$T6,'Details PC'!$W:$W,'Co-hort'!AA$2)</f>
        <v>0</v>
      </c>
      <c r="AB6" s="3">
        <f>SUMIFS('Details PC'!$AG:$AG,'Details PC'!$AB:$AB,'Co-hort'!$T6,'Details PC'!$W:$W,'Co-hort'!AB$2)+SUMIFS('Details PC'!$AH:$AH,'Details PC'!$AB:$AB,'Co-hort'!$T6,'Details PC'!$W:$W,'Co-hort'!AB$2)</f>
        <v>0</v>
      </c>
      <c r="AC6" s="3">
        <f>SUMIFS('Details PC'!$AG:$AG,'Details PC'!$AB:$AB,'Co-hort'!$T6,'Details PC'!$W:$W,'Co-hort'!AC$2)+SUMIFS('Details PC'!$AH:$AH,'Details PC'!$AB:$AB,'Co-hort'!$T6,'Details PC'!$W:$W,'Co-hort'!AC$2)</f>
        <v>0</v>
      </c>
      <c r="AD6" s="3">
        <f>SUMIFS('Details PC'!$AG:$AG,'Details PC'!$AB:$AB,'Co-hort'!$T6,'Details PC'!$W:$W,'Co-hort'!AD$2)+SUMIFS('Details PC'!$AH:$AH,'Details PC'!$AB:$AB,'Co-hort'!$T6,'Details PC'!$W:$W,'Co-hort'!AD$2)</f>
        <v>0</v>
      </c>
      <c r="AE6" s="3">
        <f>SUMIFS('Details PC'!$AG:$AG,'Details PC'!$AB:$AB,'Co-hort'!$T6,'Details PC'!$W:$W,'Co-hort'!AE$2)+SUMIFS('Details PC'!$AH:$AH,'Details PC'!$AB:$AB,'Co-hort'!$T6,'Details PC'!$W:$W,'Co-hort'!AE$2)</f>
        <v>0</v>
      </c>
      <c r="AH6" s="3">
        <f ca="1">SUMIFS('Details PC'!$AE:$AE,'Details PC'!$AB:$AB,'Co-hort'!$T6,'Details PC'!$W:$W,'Co-hort'!U$2)</f>
        <v>0</v>
      </c>
      <c r="AI6" s="3">
        <f>SUMIFS('Details PC'!$AE:$AE,'Details PC'!$AB:$AB,'Co-hort'!$T6,'Details PC'!$W:$W,'Co-hort'!V$2)</f>
        <v>0</v>
      </c>
      <c r="AJ6" s="3">
        <f>SUMIFS('Details PC'!$AE:$AE,'Details PC'!$AB:$AB,'Co-hort'!$T6,'Details PC'!$W:$W,'Co-hort'!W$2)</f>
        <v>0</v>
      </c>
      <c r="AK6" s="3">
        <f>SUMIFS('Details PC'!$AE:$AE,'Details PC'!$AB:$AB,'Co-hort'!$T6,'Details PC'!$W:$W,'Co-hort'!X$2)</f>
        <v>0</v>
      </c>
      <c r="AL6" s="3">
        <f>SUMIFS('Details PC'!$AE:$AE,'Details PC'!$AB:$AB,'Co-hort'!$T6,'Details PC'!$W:$W,'Co-hort'!Y$2)</f>
        <v>0</v>
      </c>
      <c r="AM6" s="3">
        <f>SUMIFS('Details PC'!$AE:$AE,'Details PC'!$AB:$AB,'Co-hort'!$T6,'Details PC'!$W:$W,'Co-hort'!Z$2)</f>
        <v>0</v>
      </c>
      <c r="AN6" s="3">
        <f>SUMIFS('Details PC'!$AE:$AE,'Details PC'!$AB:$AB,'Co-hort'!$T6,'Details PC'!$W:$W,'Co-hort'!AA$2)</f>
        <v>0</v>
      </c>
      <c r="AO6" s="3">
        <f>SUMIFS('Details PC'!$AE:$AE,'Details PC'!$AB:$AB,'Co-hort'!$T6,'Details PC'!$W:$W,'Co-hort'!AB$2)</f>
        <v>0</v>
      </c>
      <c r="AP6" s="3">
        <f>SUMIFS('Details PC'!$AE:$AE,'Details PC'!$AB:$AB,'Co-hort'!$T6,'Details PC'!$W:$W,'Co-hort'!AC$2)</f>
        <v>0</v>
      </c>
      <c r="AQ6" s="3">
        <f>SUMIFS('Details PC'!$AE:$AE,'Details PC'!$AB:$AB,'Co-hort'!$T6,'Details PC'!$W:$W,'Co-hort'!AD$2)</f>
        <v>0</v>
      </c>
      <c r="AR6" s="3">
        <f>SUMIFS('Details PC'!$AE:$AE,'Details PC'!$AB:$AB,'Co-hort'!$T6,'Details PC'!$W:$W,'Co-hort'!AE$2)</f>
        <v>0</v>
      </c>
    </row>
    <row r="7" spans="2:52" x14ac:dyDescent="0.3">
      <c r="C7">
        <f>_xlfn.XLOOKUP(B7,Details!CW:CW,Details!AQ:AQ)</f>
        <v>0</v>
      </c>
      <c r="D7" s="3">
        <f>SUMIFS(Details!$BO:$BO,Details!$CW:$CW,'Co-hort'!$B7,Details!$C:$C,'Co-hort'!D$2)</f>
        <v>0</v>
      </c>
      <c r="E7" s="3">
        <f>SUMIFS(Details!$BO:$BO,Details!$CW:$CW,'Co-hort'!$B7,Details!$C:$C,'Co-hort'!E$2)</f>
        <v>0</v>
      </c>
      <c r="F7" s="3">
        <f>SUMIFS(Details!$BO:$BO,Details!$CW:$CW,'Co-hort'!$B7,Details!$C:$C,'Co-hort'!F$2)</f>
        <v>0</v>
      </c>
      <c r="G7" s="3">
        <f>SUMIFS(Details!$BO:$BO,Details!$CW:$CW,'Co-hort'!$B7,Details!$C:$C,'Co-hort'!G$2)</f>
        <v>0</v>
      </c>
      <c r="H7" s="3">
        <f>SUMIFS(Details!$BO:$BO,Details!$CW:$CW,'Co-hort'!$B7,Details!$C:$C,'Co-hort'!H$2)</f>
        <v>0</v>
      </c>
      <c r="I7" s="3">
        <f>SUMIFS(Details!$BO:$BO,Details!$CW:$CW,'Co-hort'!$B7,Details!$C:$C,'Co-hort'!I$2)</f>
        <v>0</v>
      </c>
      <c r="J7" s="3">
        <f>SUMIFS(Details!$BO:$BO,Details!$CW:$CW,'Co-hort'!$B7,Details!$C:$C,'Co-hort'!J$2)</f>
        <v>0</v>
      </c>
      <c r="L7" s="3">
        <f>SUMIFS(Details!$BB:$BB,Details!$CW:$CW,'Co-hort'!$B7,Details!$C:$C,'Co-hort'!L$2)</f>
        <v>0</v>
      </c>
      <c r="M7" s="3">
        <f>SUMIFS(Details!$BB:$BB,Details!$CW:$CW,'Co-hort'!$B7,Details!$C:$C,'Co-hort'!M$2)</f>
        <v>0</v>
      </c>
      <c r="N7" s="3">
        <f>SUMIFS(Details!$BB:$BB,Details!$CW:$CW,'Co-hort'!$B7,Details!$C:$C,'Co-hort'!N$2)</f>
        <v>0</v>
      </c>
      <c r="O7" s="3">
        <f>SUMIFS(Details!$BB:$BB,Details!$CW:$CW,'Co-hort'!$B7,Details!$C:$C,'Co-hort'!O$2)</f>
        <v>0</v>
      </c>
      <c r="P7" s="3">
        <f>SUMIFS(Details!$BB:$BB,Details!$CW:$CW,'Co-hort'!$B7,Details!$C:$C,'Co-hort'!P$2)</f>
        <v>0</v>
      </c>
      <c r="Q7" s="3">
        <f>SUMIFS(Details!$BB:$BB,Details!$CW:$CW,'Co-hort'!$B7,Details!$C:$C,'Co-hort'!Q$2)</f>
        <v>0</v>
      </c>
      <c r="R7" s="3">
        <f>SUMIFS(Details!$BB:$BB,Details!$CW:$CW,'Co-hort'!$B7,Details!$C:$C,'Co-hort'!R$2)</f>
        <v>0</v>
      </c>
      <c r="T7" t="str">
        <v>Yash Enterprises</v>
      </c>
      <c r="U7" s="3">
        <f ca="1">SUMIFS('Details PC'!$AG:$AG,'Details PC'!$AB:$AB,'Co-hort'!$T7,'Details PC'!$W:$W,'Co-hort'!U$2)+SUMIFS('Details PC'!$AH:$AH,'Details PC'!$AB:$AB,'Co-hort'!$T7,'Details PC'!$W:$W,'Co-hort'!U$2)</f>
        <v>0</v>
      </c>
      <c r="V7" s="3">
        <f>SUMIFS('Details PC'!$AG:$AG,'Details PC'!$AB:$AB,'Co-hort'!$T7,'Details PC'!$W:$W,'Co-hort'!V$2)+SUMIFS('Details PC'!$AH:$AH,'Details PC'!$AB:$AB,'Co-hort'!$T7,'Details PC'!$W:$W,'Co-hort'!V$2)</f>
        <v>0</v>
      </c>
      <c r="W7" s="3">
        <f>SUMIFS('Details PC'!$AG:$AG,'Details PC'!$AB:$AB,'Co-hort'!$T7,'Details PC'!$W:$W,'Co-hort'!W$2)+SUMIFS('Details PC'!$AH:$AH,'Details PC'!$AB:$AB,'Co-hort'!$T7,'Details PC'!$W:$W,'Co-hort'!W$2)</f>
        <v>0</v>
      </c>
      <c r="X7" s="3">
        <f>SUMIFS('Details PC'!$AG:$AG,'Details PC'!$AB:$AB,'Co-hort'!$T7,'Details PC'!$W:$W,'Co-hort'!X$2)+SUMIFS('Details PC'!$AH:$AH,'Details PC'!$AB:$AB,'Co-hort'!$T7,'Details PC'!$W:$W,'Co-hort'!X$2)</f>
        <v>0</v>
      </c>
      <c r="Y7" s="3">
        <f>SUMIFS('Details PC'!$AG:$AG,'Details PC'!$AB:$AB,'Co-hort'!$T7,'Details PC'!$W:$W,'Co-hort'!Y$2)+SUMIFS('Details PC'!$AH:$AH,'Details PC'!$AB:$AB,'Co-hort'!$T7,'Details PC'!$W:$W,'Co-hort'!Y$2)</f>
        <v>0</v>
      </c>
      <c r="Z7" s="3">
        <f>SUMIFS('Details PC'!$AG:$AG,'Details PC'!$AB:$AB,'Co-hort'!$T7,'Details PC'!$W:$W,'Co-hort'!Z$2)+SUMIFS('Details PC'!$AH:$AH,'Details PC'!$AB:$AB,'Co-hort'!$T7,'Details PC'!$W:$W,'Co-hort'!Z$2)</f>
        <v>0</v>
      </c>
      <c r="AA7" s="3">
        <f>SUMIFS('Details PC'!$AG:$AG,'Details PC'!$AB:$AB,'Co-hort'!$T7,'Details PC'!$W:$W,'Co-hort'!AA$2)+SUMIFS('Details PC'!$AH:$AH,'Details PC'!$AB:$AB,'Co-hort'!$T7,'Details PC'!$W:$W,'Co-hort'!AA$2)</f>
        <v>0</v>
      </c>
      <c r="AB7" s="3">
        <f>SUMIFS('Details PC'!$AG:$AG,'Details PC'!$AB:$AB,'Co-hort'!$T7,'Details PC'!$W:$W,'Co-hort'!AB$2)+SUMIFS('Details PC'!$AH:$AH,'Details PC'!$AB:$AB,'Co-hort'!$T7,'Details PC'!$W:$W,'Co-hort'!AB$2)</f>
        <v>0</v>
      </c>
      <c r="AC7" s="3">
        <f>SUMIFS('Details PC'!$AG:$AG,'Details PC'!$AB:$AB,'Co-hort'!$T7,'Details PC'!$W:$W,'Co-hort'!AC$2)+SUMIFS('Details PC'!$AH:$AH,'Details PC'!$AB:$AB,'Co-hort'!$T7,'Details PC'!$W:$W,'Co-hort'!AC$2)</f>
        <v>0</v>
      </c>
      <c r="AD7" s="3">
        <f>SUMIFS('Details PC'!$AG:$AG,'Details PC'!$AB:$AB,'Co-hort'!$T7,'Details PC'!$W:$W,'Co-hort'!AD$2)+SUMIFS('Details PC'!$AH:$AH,'Details PC'!$AB:$AB,'Co-hort'!$T7,'Details PC'!$W:$W,'Co-hort'!AD$2)</f>
        <v>0</v>
      </c>
      <c r="AE7" s="3">
        <f>SUMIFS('Details PC'!$AG:$AG,'Details PC'!$AB:$AB,'Co-hort'!$T7,'Details PC'!$W:$W,'Co-hort'!AE$2)+SUMIFS('Details PC'!$AH:$AH,'Details PC'!$AB:$AB,'Co-hort'!$T7,'Details PC'!$W:$W,'Co-hort'!AE$2)</f>
        <v>0</v>
      </c>
      <c r="AH7" s="3">
        <f ca="1">SUMIFS('Details PC'!$AE:$AE,'Details PC'!$AB:$AB,'Co-hort'!$T7,'Details PC'!$W:$W,'Co-hort'!U$2)</f>
        <v>0</v>
      </c>
      <c r="AI7" s="3">
        <f>SUMIFS('Details PC'!$AE:$AE,'Details PC'!$AB:$AB,'Co-hort'!$T7,'Details PC'!$W:$W,'Co-hort'!V$2)</f>
        <v>0</v>
      </c>
      <c r="AJ7" s="3">
        <f>SUMIFS('Details PC'!$AE:$AE,'Details PC'!$AB:$AB,'Co-hort'!$T7,'Details PC'!$W:$W,'Co-hort'!W$2)</f>
        <v>0</v>
      </c>
      <c r="AK7" s="3">
        <f>SUMIFS('Details PC'!$AE:$AE,'Details PC'!$AB:$AB,'Co-hort'!$T7,'Details PC'!$W:$W,'Co-hort'!X$2)</f>
        <v>0</v>
      </c>
      <c r="AL7" s="3">
        <f>SUMIFS('Details PC'!$AE:$AE,'Details PC'!$AB:$AB,'Co-hort'!$T7,'Details PC'!$W:$W,'Co-hort'!Y$2)</f>
        <v>0</v>
      </c>
      <c r="AM7" s="3">
        <f>SUMIFS('Details PC'!$AE:$AE,'Details PC'!$AB:$AB,'Co-hort'!$T7,'Details PC'!$W:$W,'Co-hort'!Z$2)</f>
        <v>0</v>
      </c>
      <c r="AN7" s="3">
        <f>SUMIFS('Details PC'!$AE:$AE,'Details PC'!$AB:$AB,'Co-hort'!$T7,'Details PC'!$W:$W,'Co-hort'!AA$2)</f>
        <v>0</v>
      </c>
      <c r="AO7" s="3">
        <f>SUMIFS('Details PC'!$AE:$AE,'Details PC'!$AB:$AB,'Co-hort'!$T7,'Details PC'!$W:$W,'Co-hort'!AB$2)</f>
        <v>0</v>
      </c>
      <c r="AP7" s="3">
        <f>SUMIFS('Details PC'!$AE:$AE,'Details PC'!$AB:$AB,'Co-hort'!$T7,'Details PC'!$W:$W,'Co-hort'!AC$2)</f>
        <v>0</v>
      </c>
      <c r="AQ7" s="3">
        <f>SUMIFS('Details PC'!$AE:$AE,'Details PC'!$AB:$AB,'Co-hort'!$T7,'Details PC'!$W:$W,'Co-hort'!AD$2)</f>
        <v>0</v>
      </c>
      <c r="AR7" s="3">
        <f>SUMIFS('Details PC'!$AE:$AE,'Details PC'!$AB:$AB,'Co-hort'!$T7,'Details PC'!$W:$W,'Co-hort'!AE$2)</f>
        <v>0</v>
      </c>
    </row>
    <row r="8" spans="2:52" x14ac:dyDescent="0.3">
      <c r="C8">
        <f>_xlfn.XLOOKUP(B8,Details!CW:CW,Details!AQ:AQ)</f>
        <v>0</v>
      </c>
      <c r="D8" s="3">
        <f>SUMIFS(Details!$BO:$BO,Details!$CW:$CW,'Co-hort'!$B8,Details!$C:$C,'Co-hort'!D$2)</f>
        <v>0</v>
      </c>
      <c r="E8" s="3">
        <f>SUMIFS(Details!$BO:$BO,Details!$CW:$CW,'Co-hort'!$B8,Details!$C:$C,'Co-hort'!E$2)</f>
        <v>0</v>
      </c>
      <c r="F8" s="3">
        <f>SUMIFS(Details!$BO:$BO,Details!$CW:$CW,'Co-hort'!$B8,Details!$C:$C,'Co-hort'!F$2)</f>
        <v>0</v>
      </c>
      <c r="G8" s="3">
        <f>SUMIFS(Details!$BO:$BO,Details!$CW:$CW,'Co-hort'!$B8,Details!$C:$C,'Co-hort'!G$2)</f>
        <v>0</v>
      </c>
      <c r="H8" s="3">
        <f>SUMIFS(Details!$BO:$BO,Details!$CW:$CW,'Co-hort'!$B8,Details!$C:$C,'Co-hort'!H$2)</f>
        <v>0</v>
      </c>
      <c r="I8" s="3">
        <f>SUMIFS(Details!$BO:$BO,Details!$CW:$CW,'Co-hort'!$B8,Details!$C:$C,'Co-hort'!I$2)</f>
        <v>0</v>
      </c>
      <c r="J8" s="3">
        <f>SUMIFS(Details!$BO:$BO,Details!$CW:$CW,'Co-hort'!$B8,Details!$C:$C,'Co-hort'!J$2)</f>
        <v>0</v>
      </c>
      <c r="L8" s="3">
        <f>SUMIFS(Details!$BB:$BB,Details!$CW:$CW,'Co-hort'!$B8,Details!$C:$C,'Co-hort'!L$2)</f>
        <v>0</v>
      </c>
      <c r="M8" s="3">
        <f>SUMIFS(Details!$BB:$BB,Details!$CW:$CW,'Co-hort'!$B8,Details!$C:$C,'Co-hort'!M$2)</f>
        <v>0</v>
      </c>
      <c r="N8" s="3">
        <f>SUMIFS(Details!$BB:$BB,Details!$CW:$CW,'Co-hort'!$B8,Details!$C:$C,'Co-hort'!N$2)</f>
        <v>0</v>
      </c>
      <c r="O8" s="3">
        <f>SUMIFS(Details!$BB:$BB,Details!$CW:$CW,'Co-hort'!$B8,Details!$C:$C,'Co-hort'!O$2)</f>
        <v>0</v>
      </c>
      <c r="P8" s="3">
        <f>SUMIFS(Details!$BB:$BB,Details!$CW:$CW,'Co-hort'!$B8,Details!$C:$C,'Co-hort'!P$2)</f>
        <v>0</v>
      </c>
      <c r="Q8" s="3">
        <f>SUMIFS(Details!$BB:$BB,Details!$CW:$CW,'Co-hort'!$B8,Details!$C:$C,'Co-hort'!Q$2)</f>
        <v>0</v>
      </c>
      <c r="R8" s="3">
        <f>SUMIFS(Details!$BB:$BB,Details!$CW:$CW,'Co-hort'!$B8,Details!$C:$C,'Co-hort'!R$2)</f>
        <v>0</v>
      </c>
      <c r="T8" t="str">
        <v>Prajapati Casting Foundry Private Limited</v>
      </c>
      <c r="U8" s="3">
        <f ca="1">SUMIFS('Details PC'!$AG:$AG,'Details PC'!$AB:$AB,'Co-hort'!$T8,'Details PC'!$W:$W,'Co-hort'!U$2)+SUMIFS('Details PC'!$AH:$AH,'Details PC'!$AB:$AB,'Co-hort'!$T8,'Details PC'!$W:$W,'Co-hort'!U$2)</f>
        <v>0</v>
      </c>
      <c r="V8" s="3">
        <f>SUMIFS('Details PC'!$AG:$AG,'Details PC'!$AB:$AB,'Co-hort'!$T8,'Details PC'!$W:$W,'Co-hort'!V$2)+SUMIFS('Details PC'!$AH:$AH,'Details PC'!$AB:$AB,'Co-hort'!$T8,'Details PC'!$W:$W,'Co-hort'!V$2)</f>
        <v>0</v>
      </c>
      <c r="W8" s="3">
        <f>SUMIFS('Details PC'!$AG:$AG,'Details PC'!$AB:$AB,'Co-hort'!$T8,'Details PC'!$W:$W,'Co-hort'!W$2)+SUMIFS('Details PC'!$AH:$AH,'Details PC'!$AB:$AB,'Co-hort'!$T8,'Details PC'!$W:$W,'Co-hort'!W$2)</f>
        <v>0</v>
      </c>
      <c r="X8" s="3">
        <f>SUMIFS('Details PC'!$AG:$AG,'Details PC'!$AB:$AB,'Co-hort'!$T8,'Details PC'!$W:$W,'Co-hort'!X$2)+SUMIFS('Details PC'!$AH:$AH,'Details PC'!$AB:$AB,'Co-hort'!$T8,'Details PC'!$W:$W,'Co-hort'!X$2)</f>
        <v>0</v>
      </c>
      <c r="Y8" s="3">
        <f>SUMIFS('Details PC'!$AG:$AG,'Details PC'!$AB:$AB,'Co-hort'!$T8,'Details PC'!$W:$W,'Co-hort'!Y$2)+SUMIFS('Details PC'!$AH:$AH,'Details PC'!$AB:$AB,'Co-hort'!$T8,'Details PC'!$W:$W,'Co-hort'!Y$2)</f>
        <v>0</v>
      </c>
      <c r="Z8" s="3">
        <f>SUMIFS('Details PC'!$AG:$AG,'Details PC'!$AB:$AB,'Co-hort'!$T8,'Details PC'!$W:$W,'Co-hort'!Z$2)+SUMIFS('Details PC'!$AH:$AH,'Details PC'!$AB:$AB,'Co-hort'!$T8,'Details PC'!$W:$W,'Co-hort'!Z$2)</f>
        <v>0</v>
      </c>
      <c r="AA8" s="3">
        <f>SUMIFS('Details PC'!$AG:$AG,'Details PC'!$AB:$AB,'Co-hort'!$T8,'Details PC'!$W:$W,'Co-hort'!AA$2)+SUMIFS('Details PC'!$AH:$AH,'Details PC'!$AB:$AB,'Co-hort'!$T8,'Details PC'!$W:$W,'Co-hort'!AA$2)</f>
        <v>0</v>
      </c>
      <c r="AB8" s="3">
        <f>SUMIFS('Details PC'!$AG:$AG,'Details PC'!$AB:$AB,'Co-hort'!$T8,'Details PC'!$W:$W,'Co-hort'!AB$2)+SUMIFS('Details PC'!$AH:$AH,'Details PC'!$AB:$AB,'Co-hort'!$T8,'Details PC'!$W:$W,'Co-hort'!AB$2)</f>
        <v>0</v>
      </c>
      <c r="AC8" s="3">
        <f>SUMIFS('Details PC'!$AG:$AG,'Details PC'!$AB:$AB,'Co-hort'!$T8,'Details PC'!$W:$W,'Co-hort'!AC$2)+SUMIFS('Details PC'!$AH:$AH,'Details PC'!$AB:$AB,'Co-hort'!$T8,'Details PC'!$W:$W,'Co-hort'!AC$2)</f>
        <v>0</v>
      </c>
      <c r="AD8" s="3">
        <f>SUMIFS('Details PC'!$AG:$AG,'Details PC'!$AB:$AB,'Co-hort'!$T8,'Details PC'!$W:$W,'Co-hort'!AD$2)+SUMIFS('Details PC'!$AH:$AH,'Details PC'!$AB:$AB,'Co-hort'!$T8,'Details PC'!$W:$W,'Co-hort'!AD$2)</f>
        <v>0</v>
      </c>
      <c r="AE8" s="3">
        <f>SUMIFS('Details PC'!$AG:$AG,'Details PC'!$AB:$AB,'Co-hort'!$T8,'Details PC'!$W:$W,'Co-hort'!AE$2)+SUMIFS('Details PC'!$AH:$AH,'Details PC'!$AB:$AB,'Co-hort'!$T8,'Details PC'!$W:$W,'Co-hort'!AE$2)</f>
        <v>0</v>
      </c>
      <c r="AH8" s="3">
        <f ca="1">SUMIFS('Details PC'!$AE:$AE,'Details PC'!$AB:$AB,'Co-hort'!$T8,'Details PC'!$W:$W,'Co-hort'!U$2)</f>
        <v>0</v>
      </c>
      <c r="AI8" s="3">
        <f>SUMIFS('Details PC'!$AE:$AE,'Details PC'!$AB:$AB,'Co-hort'!$T8,'Details PC'!$W:$W,'Co-hort'!V$2)</f>
        <v>0</v>
      </c>
      <c r="AJ8" s="3">
        <f>SUMIFS('Details PC'!$AE:$AE,'Details PC'!$AB:$AB,'Co-hort'!$T8,'Details PC'!$W:$W,'Co-hort'!W$2)</f>
        <v>0</v>
      </c>
      <c r="AK8" s="3">
        <f>SUMIFS('Details PC'!$AE:$AE,'Details PC'!$AB:$AB,'Co-hort'!$T8,'Details PC'!$W:$W,'Co-hort'!X$2)</f>
        <v>0</v>
      </c>
      <c r="AL8" s="3">
        <f>SUMIFS('Details PC'!$AE:$AE,'Details PC'!$AB:$AB,'Co-hort'!$T8,'Details PC'!$W:$W,'Co-hort'!Y$2)</f>
        <v>0</v>
      </c>
      <c r="AM8" s="3">
        <f>SUMIFS('Details PC'!$AE:$AE,'Details PC'!$AB:$AB,'Co-hort'!$T8,'Details PC'!$W:$W,'Co-hort'!Z$2)</f>
        <v>0</v>
      </c>
      <c r="AN8" s="3">
        <f>SUMIFS('Details PC'!$AE:$AE,'Details PC'!$AB:$AB,'Co-hort'!$T8,'Details PC'!$W:$W,'Co-hort'!AA$2)</f>
        <v>0</v>
      </c>
      <c r="AO8" s="3">
        <f>SUMIFS('Details PC'!$AE:$AE,'Details PC'!$AB:$AB,'Co-hort'!$T8,'Details PC'!$W:$W,'Co-hort'!AB$2)</f>
        <v>0</v>
      </c>
      <c r="AP8" s="3">
        <f>SUMIFS('Details PC'!$AE:$AE,'Details PC'!$AB:$AB,'Co-hort'!$T8,'Details PC'!$W:$W,'Co-hort'!AC$2)</f>
        <v>0</v>
      </c>
      <c r="AQ8" s="3">
        <f>SUMIFS('Details PC'!$AE:$AE,'Details PC'!$AB:$AB,'Co-hort'!$T8,'Details PC'!$W:$W,'Co-hort'!AD$2)</f>
        <v>0</v>
      </c>
      <c r="AR8" s="3">
        <f>SUMIFS('Details PC'!$AE:$AE,'Details PC'!$AB:$AB,'Co-hort'!$T8,'Details PC'!$W:$W,'Co-hort'!AE$2)</f>
        <v>0</v>
      </c>
    </row>
    <row r="9" spans="2:52" x14ac:dyDescent="0.3">
      <c r="C9">
        <f>_xlfn.XLOOKUP(B9,Details!CW:CW,Details!AQ:AQ)</f>
        <v>0</v>
      </c>
      <c r="D9" s="3">
        <f>SUMIFS(Details!$BO:$BO,Details!$CW:$CW,'Co-hort'!$B9,Details!$C:$C,'Co-hort'!D$2)</f>
        <v>0</v>
      </c>
      <c r="E9" s="3">
        <f>SUMIFS(Details!$BO:$BO,Details!$CW:$CW,'Co-hort'!$B9,Details!$C:$C,'Co-hort'!E$2)</f>
        <v>0</v>
      </c>
      <c r="F9" s="3">
        <f>SUMIFS(Details!$BO:$BO,Details!$CW:$CW,'Co-hort'!$B9,Details!$C:$C,'Co-hort'!F$2)</f>
        <v>0</v>
      </c>
      <c r="G9" s="3">
        <f>SUMIFS(Details!$BO:$BO,Details!$CW:$CW,'Co-hort'!$B9,Details!$C:$C,'Co-hort'!G$2)</f>
        <v>0</v>
      </c>
      <c r="H9" s="3">
        <f>SUMIFS(Details!$BO:$BO,Details!$CW:$CW,'Co-hort'!$B9,Details!$C:$C,'Co-hort'!H$2)</f>
        <v>0</v>
      </c>
      <c r="I9" s="3">
        <f>SUMIFS(Details!$BO:$BO,Details!$CW:$CW,'Co-hort'!$B9,Details!$C:$C,'Co-hort'!I$2)</f>
        <v>0</v>
      </c>
      <c r="J9" s="3">
        <f>SUMIFS(Details!$BO:$BO,Details!$CW:$CW,'Co-hort'!$B9,Details!$C:$C,'Co-hort'!J$2)</f>
        <v>0</v>
      </c>
      <c r="L9" s="3">
        <f>SUMIFS(Details!$BB:$BB,Details!$CW:$CW,'Co-hort'!$B9,Details!$C:$C,'Co-hort'!L$2)</f>
        <v>0</v>
      </c>
      <c r="M9" s="3">
        <f>SUMIFS(Details!$BB:$BB,Details!$CW:$CW,'Co-hort'!$B9,Details!$C:$C,'Co-hort'!M$2)</f>
        <v>0</v>
      </c>
      <c r="N9" s="3">
        <f>SUMIFS(Details!$BB:$BB,Details!$CW:$CW,'Co-hort'!$B9,Details!$C:$C,'Co-hort'!N$2)</f>
        <v>0</v>
      </c>
      <c r="O9" s="3">
        <f>SUMIFS(Details!$BB:$BB,Details!$CW:$CW,'Co-hort'!$B9,Details!$C:$C,'Co-hort'!O$2)</f>
        <v>0</v>
      </c>
      <c r="P9" s="3">
        <f>SUMIFS(Details!$BB:$BB,Details!$CW:$CW,'Co-hort'!$B9,Details!$C:$C,'Co-hort'!P$2)</f>
        <v>0</v>
      </c>
      <c r="Q9" s="3">
        <f>SUMIFS(Details!$BB:$BB,Details!$CW:$CW,'Co-hort'!$B9,Details!$C:$C,'Co-hort'!Q$2)</f>
        <v>0</v>
      </c>
      <c r="R9" s="3">
        <f>SUMIFS(Details!$BB:$BB,Details!$CW:$CW,'Co-hort'!$B9,Details!$C:$C,'Co-hort'!R$2)</f>
        <v>0</v>
      </c>
      <c r="T9" t="str">
        <v xml:space="preserve">Madhuban Trade Steels Private Limited </v>
      </c>
      <c r="U9" s="3">
        <f ca="1">SUMIFS('Details PC'!$AG:$AG,'Details PC'!$AB:$AB,'Co-hort'!$T9,'Details PC'!$W:$W,'Co-hort'!U$2)+SUMIFS('Details PC'!$AH:$AH,'Details PC'!$AB:$AB,'Co-hort'!$T9,'Details PC'!$W:$W,'Co-hort'!U$2)</f>
        <v>0</v>
      </c>
      <c r="V9" s="3">
        <f>SUMIFS('Details PC'!$AG:$AG,'Details PC'!$AB:$AB,'Co-hort'!$T9,'Details PC'!$W:$W,'Co-hort'!V$2)+SUMIFS('Details PC'!$AH:$AH,'Details PC'!$AB:$AB,'Co-hort'!$T9,'Details PC'!$W:$W,'Co-hort'!V$2)</f>
        <v>0</v>
      </c>
      <c r="W9" s="3">
        <f>SUMIFS('Details PC'!$AG:$AG,'Details PC'!$AB:$AB,'Co-hort'!$T9,'Details PC'!$W:$W,'Co-hort'!W$2)+SUMIFS('Details PC'!$AH:$AH,'Details PC'!$AB:$AB,'Co-hort'!$T9,'Details PC'!$W:$W,'Co-hort'!W$2)</f>
        <v>0</v>
      </c>
      <c r="X9" s="3">
        <f>SUMIFS('Details PC'!$AG:$AG,'Details PC'!$AB:$AB,'Co-hort'!$T9,'Details PC'!$W:$W,'Co-hort'!X$2)+SUMIFS('Details PC'!$AH:$AH,'Details PC'!$AB:$AB,'Co-hort'!$T9,'Details PC'!$W:$W,'Co-hort'!X$2)</f>
        <v>0</v>
      </c>
      <c r="Y9" s="3">
        <f>SUMIFS('Details PC'!$AG:$AG,'Details PC'!$AB:$AB,'Co-hort'!$T9,'Details PC'!$W:$W,'Co-hort'!Y$2)+SUMIFS('Details PC'!$AH:$AH,'Details PC'!$AB:$AB,'Co-hort'!$T9,'Details PC'!$W:$W,'Co-hort'!Y$2)</f>
        <v>0</v>
      </c>
      <c r="Z9" s="3">
        <f>SUMIFS('Details PC'!$AG:$AG,'Details PC'!$AB:$AB,'Co-hort'!$T9,'Details PC'!$W:$W,'Co-hort'!Z$2)+SUMIFS('Details PC'!$AH:$AH,'Details PC'!$AB:$AB,'Co-hort'!$T9,'Details PC'!$W:$W,'Co-hort'!Z$2)</f>
        <v>0</v>
      </c>
      <c r="AA9" s="3">
        <f>SUMIFS('Details PC'!$AG:$AG,'Details PC'!$AB:$AB,'Co-hort'!$T9,'Details PC'!$W:$W,'Co-hort'!AA$2)+SUMIFS('Details PC'!$AH:$AH,'Details PC'!$AB:$AB,'Co-hort'!$T9,'Details PC'!$W:$W,'Co-hort'!AA$2)</f>
        <v>0</v>
      </c>
      <c r="AB9" s="3">
        <f>SUMIFS('Details PC'!$AG:$AG,'Details PC'!$AB:$AB,'Co-hort'!$T9,'Details PC'!$W:$W,'Co-hort'!AB$2)+SUMIFS('Details PC'!$AH:$AH,'Details PC'!$AB:$AB,'Co-hort'!$T9,'Details PC'!$W:$W,'Co-hort'!AB$2)</f>
        <v>0</v>
      </c>
      <c r="AC9" s="3">
        <f>SUMIFS('Details PC'!$AG:$AG,'Details PC'!$AB:$AB,'Co-hort'!$T9,'Details PC'!$W:$W,'Co-hort'!AC$2)+SUMIFS('Details PC'!$AH:$AH,'Details PC'!$AB:$AB,'Co-hort'!$T9,'Details PC'!$W:$W,'Co-hort'!AC$2)</f>
        <v>0</v>
      </c>
      <c r="AD9" s="3">
        <f>SUMIFS('Details PC'!$AG:$AG,'Details PC'!$AB:$AB,'Co-hort'!$T9,'Details PC'!$W:$W,'Co-hort'!AD$2)+SUMIFS('Details PC'!$AH:$AH,'Details PC'!$AB:$AB,'Co-hort'!$T9,'Details PC'!$W:$W,'Co-hort'!AD$2)</f>
        <v>0</v>
      </c>
      <c r="AE9" s="3">
        <f>SUMIFS('Details PC'!$AG:$AG,'Details PC'!$AB:$AB,'Co-hort'!$T9,'Details PC'!$W:$W,'Co-hort'!AE$2)+SUMIFS('Details PC'!$AH:$AH,'Details PC'!$AB:$AB,'Co-hort'!$T9,'Details PC'!$W:$W,'Co-hort'!AE$2)</f>
        <v>0</v>
      </c>
      <c r="AH9" s="3">
        <f ca="1">SUMIFS('Details PC'!$AE:$AE,'Details PC'!$AB:$AB,'Co-hort'!$T9,'Details PC'!$W:$W,'Co-hort'!U$2)</f>
        <v>0</v>
      </c>
      <c r="AI9" s="3">
        <f>SUMIFS('Details PC'!$AE:$AE,'Details PC'!$AB:$AB,'Co-hort'!$T9,'Details PC'!$W:$W,'Co-hort'!V$2)</f>
        <v>0</v>
      </c>
      <c r="AJ9" s="3">
        <f>SUMIFS('Details PC'!$AE:$AE,'Details PC'!$AB:$AB,'Co-hort'!$T9,'Details PC'!$W:$W,'Co-hort'!W$2)</f>
        <v>0</v>
      </c>
      <c r="AK9" s="3">
        <f>SUMIFS('Details PC'!$AE:$AE,'Details PC'!$AB:$AB,'Co-hort'!$T9,'Details PC'!$W:$W,'Co-hort'!X$2)</f>
        <v>0</v>
      </c>
      <c r="AL9" s="3">
        <f>SUMIFS('Details PC'!$AE:$AE,'Details PC'!$AB:$AB,'Co-hort'!$T9,'Details PC'!$W:$W,'Co-hort'!Y$2)</f>
        <v>0</v>
      </c>
      <c r="AM9" s="3">
        <f>SUMIFS('Details PC'!$AE:$AE,'Details PC'!$AB:$AB,'Co-hort'!$T9,'Details PC'!$W:$W,'Co-hort'!Z$2)</f>
        <v>0</v>
      </c>
      <c r="AN9" s="3">
        <f>SUMIFS('Details PC'!$AE:$AE,'Details PC'!$AB:$AB,'Co-hort'!$T9,'Details PC'!$W:$W,'Co-hort'!AA$2)</f>
        <v>0</v>
      </c>
      <c r="AO9" s="3">
        <f>SUMIFS('Details PC'!$AE:$AE,'Details PC'!$AB:$AB,'Co-hort'!$T9,'Details PC'!$W:$W,'Co-hort'!AB$2)</f>
        <v>0</v>
      </c>
      <c r="AP9" s="3">
        <f>SUMIFS('Details PC'!$AE:$AE,'Details PC'!$AB:$AB,'Co-hort'!$T9,'Details PC'!$W:$W,'Co-hort'!AC$2)</f>
        <v>0</v>
      </c>
      <c r="AQ9" s="3">
        <f>SUMIFS('Details PC'!$AE:$AE,'Details PC'!$AB:$AB,'Co-hort'!$T9,'Details PC'!$W:$W,'Co-hort'!AD$2)</f>
        <v>0</v>
      </c>
      <c r="AR9" s="3">
        <f>SUMIFS('Details PC'!$AE:$AE,'Details PC'!$AB:$AB,'Co-hort'!$T9,'Details PC'!$W:$W,'Co-hort'!AE$2)</f>
        <v>0</v>
      </c>
    </row>
    <row r="10" spans="2:52" x14ac:dyDescent="0.3">
      <c r="C10">
        <f>_xlfn.XLOOKUP(B10,Details!CW:CW,Details!AQ:AQ)</f>
        <v>0</v>
      </c>
      <c r="D10" s="3">
        <f>SUMIFS(Details!$BO:$BO,Details!$CW:$CW,'Co-hort'!$B10,Details!$C:$C,'Co-hort'!D$2)</f>
        <v>0</v>
      </c>
      <c r="E10" s="3">
        <f>SUMIFS(Details!$BO:$BO,Details!$CW:$CW,'Co-hort'!$B10,Details!$C:$C,'Co-hort'!E$2)</f>
        <v>0</v>
      </c>
      <c r="F10" s="3">
        <f>SUMIFS(Details!$BO:$BO,Details!$CW:$CW,'Co-hort'!$B10,Details!$C:$C,'Co-hort'!F$2)</f>
        <v>0</v>
      </c>
      <c r="G10" s="3">
        <f>SUMIFS(Details!$BO:$BO,Details!$CW:$CW,'Co-hort'!$B10,Details!$C:$C,'Co-hort'!G$2)</f>
        <v>0</v>
      </c>
      <c r="H10" s="3">
        <f>SUMIFS(Details!$BO:$BO,Details!$CW:$CW,'Co-hort'!$B10,Details!$C:$C,'Co-hort'!H$2)</f>
        <v>0</v>
      </c>
      <c r="I10" s="3">
        <f>SUMIFS(Details!$BO:$BO,Details!$CW:$CW,'Co-hort'!$B10,Details!$C:$C,'Co-hort'!I$2)</f>
        <v>0</v>
      </c>
      <c r="J10" s="3">
        <f>SUMIFS(Details!$BO:$BO,Details!$CW:$CW,'Co-hort'!$B10,Details!$C:$C,'Co-hort'!J$2)</f>
        <v>0</v>
      </c>
      <c r="L10" s="3">
        <f>SUMIFS(Details!$BB:$BB,Details!$CW:$CW,'Co-hort'!$B10,Details!$C:$C,'Co-hort'!L$2)</f>
        <v>0</v>
      </c>
      <c r="M10" s="3">
        <f>SUMIFS(Details!$BB:$BB,Details!$CW:$CW,'Co-hort'!$B10,Details!$C:$C,'Co-hort'!M$2)</f>
        <v>0</v>
      </c>
      <c r="N10" s="3">
        <f>SUMIFS(Details!$BB:$BB,Details!$CW:$CW,'Co-hort'!$B10,Details!$C:$C,'Co-hort'!N$2)</f>
        <v>0</v>
      </c>
      <c r="O10" s="3">
        <f>SUMIFS(Details!$BB:$BB,Details!$CW:$CW,'Co-hort'!$B10,Details!$C:$C,'Co-hort'!O$2)</f>
        <v>0</v>
      </c>
      <c r="P10" s="3">
        <f>SUMIFS(Details!$BB:$BB,Details!$CW:$CW,'Co-hort'!$B10,Details!$C:$C,'Co-hort'!P$2)</f>
        <v>0</v>
      </c>
      <c r="Q10" s="3">
        <f>SUMIFS(Details!$BB:$BB,Details!$CW:$CW,'Co-hort'!$B10,Details!$C:$C,'Co-hort'!Q$2)</f>
        <v>0</v>
      </c>
      <c r="R10" s="3">
        <f>SUMIFS(Details!$BB:$BB,Details!$CW:$CW,'Co-hort'!$B10,Details!$C:$C,'Co-hort'!R$2)</f>
        <v>0</v>
      </c>
      <c r="T10" t="str">
        <v>Sneha Foundry Works</v>
      </c>
      <c r="U10" s="3">
        <f ca="1">SUMIFS('Details PC'!$AG:$AG,'Details PC'!$AB:$AB,'Co-hort'!$T10,'Details PC'!$W:$W,'Co-hort'!U$2)+SUMIFS('Details PC'!$AH:$AH,'Details PC'!$AB:$AB,'Co-hort'!$T10,'Details PC'!$W:$W,'Co-hort'!U$2)</f>
        <v>0</v>
      </c>
      <c r="V10" s="3">
        <f>SUMIFS('Details PC'!$AG:$AG,'Details PC'!$AB:$AB,'Co-hort'!$T10,'Details PC'!$W:$W,'Co-hort'!V$2)+SUMIFS('Details PC'!$AH:$AH,'Details PC'!$AB:$AB,'Co-hort'!$T10,'Details PC'!$W:$W,'Co-hort'!V$2)</f>
        <v>0</v>
      </c>
      <c r="W10" s="3">
        <f>SUMIFS('Details PC'!$AG:$AG,'Details PC'!$AB:$AB,'Co-hort'!$T10,'Details PC'!$W:$W,'Co-hort'!W$2)+SUMIFS('Details PC'!$AH:$AH,'Details PC'!$AB:$AB,'Co-hort'!$T10,'Details PC'!$W:$W,'Co-hort'!W$2)</f>
        <v>0</v>
      </c>
      <c r="X10" s="3">
        <f>SUMIFS('Details PC'!$AG:$AG,'Details PC'!$AB:$AB,'Co-hort'!$T10,'Details PC'!$W:$W,'Co-hort'!X$2)+SUMIFS('Details PC'!$AH:$AH,'Details PC'!$AB:$AB,'Co-hort'!$T10,'Details PC'!$W:$W,'Co-hort'!X$2)</f>
        <v>0</v>
      </c>
      <c r="Y10" s="3">
        <f>SUMIFS('Details PC'!$AG:$AG,'Details PC'!$AB:$AB,'Co-hort'!$T10,'Details PC'!$W:$W,'Co-hort'!Y$2)+SUMIFS('Details PC'!$AH:$AH,'Details PC'!$AB:$AB,'Co-hort'!$T10,'Details PC'!$W:$W,'Co-hort'!Y$2)</f>
        <v>0</v>
      </c>
      <c r="Z10" s="3">
        <f>SUMIFS('Details PC'!$AG:$AG,'Details PC'!$AB:$AB,'Co-hort'!$T10,'Details PC'!$W:$W,'Co-hort'!Z$2)+SUMIFS('Details PC'!$AH:$AH,'Details PC'!$AB:$AB,'Co-hort'!$T10,'Details PC'!$W:$W,'Co-hort'!Z$2)</f>
        <v>0</v>
      </c>
      <c r="AA10" s="3">
        <f>SUMIFS('Details PC'!$AG:$AG,'Details PC'!$AB:$AB,'Co-hort'!$T10,'Details PC'!$W:$W,'Co-hort'!AA$2)+SUMIFS('Details PC'!$AH:$AH,'Details PC'!$AB:$AB,'Co-hort'!$T10,'Details PC'!$W:$W,'Co-hort'!AA$2)</f>
        <v>0</v>
      </c>
      <c r="AB10" s="3">
        <f>SUMIFS('Details PC'!$AG:$AG,'Details PC'!$AB:$AB,'Co-hort'!$T10,'Details PC'!$W:$W,'Co-hort'!AB$2)+SUMIFS('Details PC'!$AH:$AH,'Details PC'!$AB:$AB,'Co-hort'!$T10,'Details PC'!$W:$W,'Co-hort'!AB$2)</f>
        <v>0</v>
      </c>
      <c r="AC10" s="3">
        <f>SUMIFS('Details PC'!$AG:$AG,'Details PC'!$AB:$AB,'Co-hort'!$T10,'Details PC'!$W:$W,'Co-hort'!AC$2)+SUMIFS('Details PC'!$AH:$AH,'Details PC'!$AB:$AB,'Co-hort'!$T10,'Details PC'!$W:$W,'Co-hort'!AC$2)</f>
        <v>0</v>
      </c>
      <c r="AD10" s="3">
        <f>SUMIFS('Details PC'!$AG:$AG,'Details PC'!$AB:$AB,'Co-hort'!$T10,'Details PC'!$W:$W,'Co-hort'!AD$2)+SUMIFS('Details PC'!$AH:$AH,'Details PC'!$AB:$AB,'Co-hort'!$T10,'Details PC'!$W:$W,'Co-hort'!AD$2)</f>
        <v>0</v>
      </c>
      <c r="AE10" s="3">
        <f>SUMIFS('Details PC'!$AG:$AG,'Details PC'!$AB:$AB,'Co-hort'!$T10,'Details PC'!$W:$W,'Co-hort'!AE$2)+SUMIFS('Details PC'!$AH:$AH,'Details PC'!$AB:$AB,'Co-hort'!$T10,'Details PC'!$W:$W,'Co-hort'!AE$2)</f>
        <v>0</v>
      </c>
      <c r="AH10" s="3">
        <f ca="1">SUMIFS('Details PC'!$AE:$AE,'Details PC'!$AB:$AB,'Co-hort'!$T10,'Details PC'!$W:$W,'Co-hort'!U$2)</f>
        <v>0</v>
      </c>
      <c r="AI10" s="3">
        <f>SUMIFS('Details PC'!$AE:$AE,'Details PC'!$AB:$AB,'Co-hort'!$T10,'Details PC'!$W:$W,'Co-hort'!V$2)</f>
        <v>0</v>
      </c>
      <c r="AJ10" s="3">
        <f>SUMIFS('Details PC'!$AE:$AE,'Details PC'!$AB:$AB,'Co-hort'!$T10,'Details PC'!$W:$W,'Co-hort'!W$2)</f>
        <v>0</v>
      </c>
      <c r="AK10" s="3">
        <f>SUMIFS('Details PC'!$AE:$AE,'Details PC'!$AB:$AB,'Co-hort'!$T10,'Details PC'!$W:$W,'Co-hort'!X$2)</f>
        <v>0</v>
      </c>
      <c r="AL10" s="3">
        <f>SUMIFS('Details PC'!$AE:$AE,'Details PC'!$AB:$AB,'Co-hort'!$T10,'Details PC'!$W:$W,'Co-hort'!Y$2)</f>
        <v>0</v>
      </c>
      <c r="AM10" s="3">
        <f>SUMIFS('Details PC'!$AE:$AE,'Details PC'!$AB:$AB,'Co-hort'!$T10,'Details PC'!$W:$W,'Co-hort'!Z$2)</f>
        <v>0</v>
      </c>
      <c r="AN10" s="3">
        <f>SUMIFS('Details PC'!$AE:$AE,'Details PC'!$AB:$AB,'Co-hort'!$T10,'Details PC'!$W:$W,'Co-hort'!AA$2)</f>
        <v>0</v>
      </c>
      <c r="AO10" s="3">
        <f>SUMIFS('Details PC'!$AE:$AE,'Details PC'!$AB:$AB,'Co-hort'!$T10,'Details PC'!$W:$W,'Co-hort'!AB$2)</f>
        <v>0</v>
      </c>
      <c r="AP10" s="3">
        <f>SUMIFS('Details PC'!$AE:$AE,'Details PC'!$AB:$AB,'Co-hort'!$T10,'Details PC'!$W:$W,'Co-hort'!AC$2)</f>
        <v>0</v>
      </c>
      <c r="AQ10" s="3">
        <f>SUMIFS('Details PC'!$AE:$AE,'Details PC'!$AB:$AB,'Co-hort'!$T10,'Details PC'!$W:$W,'Co-hort'!AD$2)</f>
        <v>0</v>
      </c>
      <c r="AR10" s="3">
        <f>SUMIFS('Details PC'!$AE:$AE,'Details PC'!$AB:$AB,'Co-hort'!$T10,'Details PC'!$W:$W,'Co-hort'!AE$2)</f>
        <v>0</v>
      </c>
    </row>
    <row r="11" spans="2:52" x14ac:dyDescent="0.3">
      <c r="C11">
        <f>_xlfn.XLOOKUP(B11,Details!CW:CW,Details!AQ:AQ)</f>
        <v>0</v>
      </c>
      <c r="D11" s="3">
        <f>SUMIFS(Details!$BO:$BO,Details!$CW:$CW,'Co-hort'!$B11,Details!$C:$C,'Co-hort'!D$2)</f>
        <v>0</v>
      </c>
      <c r="E11" s="3">
        <f>SUMIFS(Details!$BO:$BO,Details!$CW:$CW,'Co-hort'!$B11,Details!$C:$C,'Co-hort'!E$2)</f>
        <v>0</v>
      </c>
      <c r="F11" s="3">
        <f>SUMIFS(Details!$BO:$BO,Details!$CW:$CW,'Co-hort'!$B11,Details!$C:$C,'Co-hort'!F$2)</f>
        <v>0</v>
      </c>
      <c r="G11" s="3">
        <f>SUMIFS(Details!$BO:$BO,Details!$CW:$CW,'Co-hort'!$B11,Details!$C:$C,'Co-hort'!G$2)</f>
        <v>0</v>
      </c>
      <c r="H11" s="3">
        <f>SUMIFS(Details!$BO:$BO,Details!$CW:$CW,'Co-hort'!$B11,Details!$C:$C,'Co-hort'!H$2)</f>
        <v>0</v>
      </c>
      <c r="I11" s="3">
        <f>SUMIFS(Details!$BO:$BO,Details!$CW:$CW,'Co-hort'!$B11,Details!$C:$C,'Co-hort'!I$2)</f>
        <v>0</v>
      </c>
      <c r="J11" s="3">
        <f>SUMIFS(Details!$BO:$BO,Details!$CW:$CW,'Co-hort'!$B11,Details!$C:$C,'Co-hort'!J$2)</f>
        <v>0</v>
      </c>
      <c r="L11" s="3">
        <f>SUMIFS(Details!$BB:$BB,Details!$CW:$CW,'Co-hort'!$B11,Details!$C:$C,'Co-hort'!L$2)</f>
        <v>0</v>
      </c>
      <c r="M11" s="3">
        <f>SUMIFS(Details!$BB:$BB,Details!$CW:$CW,'Co-hort'!$B11,Details!$C:$C,'Co-hort'!M$2)</f>
        <v>0</v>
      </c>
      <c r="N11" s="3">
        <f>SUMIFS(Details!$BB:$BB,Details!$CW:$CW,'Co-hort'!$B11,Details!$C:$C,'Co-hort'!N$2)</f>
        <v>0</v>
      </c>
      <c r="O11" s="3">
        <f>SUMIFS(Details!$BB:$BB,Details!$CW:$CW,'Co-hort'!$B11,Details!$C:$C,'Co-hort'!O$2)</f>
        <v>0</v>
      </c>
      <c r="P11" s="3">
        <f>SUMIFS(Details!$BB:$BB,Details!$CW:$CW,'Co-hort'!$B11,Details!$C:$C,'Co-hort'!P$2)</f>
        <v>0</v>
      </c>
      <c r="Q11" s="3">
        <f>SUMIFS(Details!$BB:$BB,Details!$CW:$CW,'Co-hort'!$B11,Details!$C:$C,'Co-hort'!Q$2)</f>
        <v>0</v>
      </c>
      <c r="R11" s="3">
        <f>SUMIFS(Details!$BB:$BB,Details!$CW:$CW,'Co-hort'!$B11,Details!$C:$C,'Co-hort'!R$2)</f>
        <v>0</v>
      </c>
      <c r="T11" t="str">
        <v>Sona Foundry</v>
      </c>
      <c r="U11" s="3">
        <f ca="1">SUMIFS('Details PC'!$AG:$AG,'Details PC'!$AB:$AB,'Co-hort'!$T11,'Details PC'!$W:$W,'Co-hort'!U$2)+SUMIFS('Details PC'!$AH:$AH,'Details PC'!$AB:$AB,'Co-hort'!$T11,'Details PC'!$W:$W,'Co-hort'!U$2)</f>
        <v>0</v>
      </c>
      <c r="V11" s="3">
        <f>SUMIFS('Details PC'!$AG:$AG,'Details PC'!$AB:$AB,'Co-hort'!$T11,'Details PC'!$W:$W,'Co-hort'!V$2)+SUMIFS('Details PC'!$AH:$AH,'Details PC'!$AB:$AB,'Co-hort'!$T11,'Details PC'!$W:$W,'Co-hort'!V$2)</f>
        <v>0</v>
      </c>
      <c r="W11" s="3">
        <f>SUMIFS('Details PC'!$AG:$AG,'Details PC'!$AB:$AB,'Co-hort'!$T11,'Details PC'!$W:$W,'Co-hort'!W$2)+SUMIFS('Details PC'!$AH:$AH,'Details PC'!$AB:$AB,'Co-hort'!$T11,'Details PC'!$W:$W,'Co-hort'!W$2)</f>
        <v>0</v>
      </c>
      <c r="X11" s="3">
        <f>SUMIFS('Details PC'!$AG:$AG,'Details PC'!$AB:$AB,'Co-hort'!$T11,'Details PC'!$W:$W,'Co-hort'!X$2)+SUMIFS('Details PC'!$AH:$AH,'Details PC'!$AB:$AB,'Co-hort'!$T11,'Details PC'!$W:$W,'Co-hort'!X$2)</f>
        <v>0</v>
      </c>
      <c r="Y11" s="3">
        <f>SUMIFS('Details PC'!$AG:$AG,'Details PC'!$AB:$AB,'Co-hort'!$T11,'Details PC'!$W:$W,'Co-hort'!Y$2)+SUMIFS('Details PC'!$AH:$AH,'Details PC'!$AB:$AB,'Co-hort'!$T11,'Details PC'!$W:$W,'Co-hort'!Y$2)</f>
        <v>0</v>
      </c>
      <c r="Z11" s="3">
        <f>SUMIFS('Details PC'!$AG:$AG,'Details PC'!$AB:$AB,'Co-hort'!$T11,'Details PC'!$W:$W,'Co-hort'!Z$2)+SUMIFS('Details PC'!$AH:$AH,'Details PC'!$AB:$AB,'Co-hort'!$T11,'Details PC'!$W:$W,'Co-hort'!Z$2)</f>
        <v>0</v>
      </c>
      <c r="AA11" s="3">
        <f>SUMIFS('Details PC'!$AG:$AG,'Details PC'!$AB:$AB,'Co-hort'!$T11,'Details PC'!$W:$W,'Co-hort'!AA$2)+SUMIFS('Details PC'!$AH:$AH,'Details PC'!$AB:$AB,'Co-hort'!$T11,'Details PC'!$W:$W,'Co-hort'!AA$2)</f>
        <v>0</v>
      </c>
      <c r="AB11" s="3">
        <f>SUMIFS('Details PC'!$AG:$AG,'Details PC'!$AB:$AB,'Co-hort'!$T11,'Details PC'!$W:$W,'Co-hort'!AB$2)+SUMIFS('Details PC'!$AH:$AH,'Details PC'!$AB:$AB,'Co-hort'!$T11,'Details PC'!$W:$W,'Co-hort'!AB$2)</f>
        <v>0</v>
      </c>
      <c r="AC11" s="3">
        <f>SUMIFS('Details PC'!$AG:$AG,'Details PC'!$AB:$AB,'Co-hort'!$T11,'Details PC'!$W:$W,'Co-hort'!AC$2)+SUMIFS('Details PC'!$AH:$AH,'Details PC'!$AB:$AB,'Co-hort'!$T11,'Details PC'!$W:$W,'Co-hort'!AC$2)</f>
        <v>0</v>
      </c>
      <c r="AD11" s="3">
        <f>SUMIFS('Details PC'!$AG:$AG,'Details PC'!$AB:$AB,'Co-hort'!$T11,'Details PC'!$W:$W,'Co-hort'!AD$2)+SUMIFS('Details PC'!$AH:$AH,'Details PC'!$AB:$AB,'Co-hort'!$T11,'Details PC'!$W:$W,'Co-hort'!AD$2)</f>
        <v>0</v>
      </c>
      <c r="AE11" s="3">
        <f>SUMIFS('Details PC'!$AG:$AG,'Details PC'!$AB:$AB,'Co-hort'!$T11,'Details PC'!$W:$W,'Co-hort'!AE$2)+SUMIFS('Details PC'!$AH:$AH,'Details PC'!$AB:$AB,'Co-hort'!$T11,'Details PC'!$W:$W,'Co-hort'!AE$2)</f>
        <v>0</v>
      </c>
      <c r="AH11" s="3">
        <f ca="1">SUMIFS('Details PC'!$AE:$AE,'Details PC'!$AB:$AB,'Co-hort'!$T11,'Details PC'!$W:$W,'Co-hort'!U$2)</f>
        <v>0</v>
      </c>
      <c r="AI11" s="3">
        <f>SUMIFS('Details PC'!$AE:$AE,'Details PC'!$AB:$AB,'Co-hort'!$T11,'Details PC'!$W:$W,'Co-hort'!V$2)</f>
        <v>0</v>
      </c>
      <c r="AJ11" s="3">
        <f>SUMIFS('Details PC'!$AE:$AE,'Details PC'!$AB:$AB,'Co-hort'!$T11,'Details PC'!$W:$W,'Co-hort'!W$2)</f>
        <v>0</v>
      </c>
      <c r="AK11" s="3">
        <f>SUMIFS('Details PC'!$AE:$AE,'Details PC'!$AB:$AB,'Co-hort'!$T11,'Details PC'!$W:$W,'Co-hort'!X$2)</f>
        <v>0</v>
      </c>
      <c r="AL11" s="3">
        <f>SUMIFS('Details PC'!$AE:$AE,'Details PC'!$AB:$AB,'Co-hort'!$T11,'Details PC'!$W:$W,'Co-hort'!Y$2)</f>
        <v>0</v>
      </c>
      <c r="AM11" s="3">
        <f>SUMIFS('Details PC'!$AE:$AE,'Details PC'!$AB:$AB,'Co-hort'!$T11,'Details PC'!$W:$W,'Co-hort'!Z$2)</f>
        <v>0</v>
      </c>
      <c r="AN11" s="3">
        <f>SUMIFS('Details PC'!$AE:$AE,'Details PC'!$AB:$AB,'Co-hort'!$T11,'Details PC'!$W:$W,'Co-hort'!AA$2)</f>
        <v>0</v>
      </c>
      <c r="AO11" s="3">
        <f>SUMIFS('Details PC'!$AE:$AE,'Details PC'!$AB:$AB,'Co-hort'!$T11,'Details PC'!$W:$W,'Co-hort'!AB$2)</f>
        <v>0</v>
      </c>
      <c r="AP11" s="3">
        <f>SUMIFS('Details PC'!$AE:$AE,'Details PC'!$AB:$AB,'Co-hort'!$T11,'Details PC'!$W:$W,'Co-hort'!AC$2)</f>
        <v>0</v>
      </c>
      <c r="AQ11" s="3">
        <f>SUMIFS('Details PC'!$AE:$AE,'Details PC'!$AB:$AB,'Co-hort'!$T11,'Details PC'!$W:$W,'Co-hort'!AD$2)</f>
        <v>0</v>
      </c>
      <c r="AR11" s="3">
        <f>SUMIFS('Details PC'!$AE:$AE,'Details PC'!$AB:$AB,'Co-hort'!$T11,'Details PC'!$W:$W,'Co-hort'!AE$2)</f>
        <v>0</v>
      </c>
    </row>
    <row r="12" spans="2:52" x14ac:dyDescent="0.3">
      <c r="C12">
        <f>_xlfn.XLOOKUP(B12,Details!CW:CW,Details!AQ:AQ)</f>
        <v>0</v>
      </c>
      <c r="D12" s="3">
        <f>SUMIFS(Details!$BO:$BO,Details!$CW:$CW,'Co-hort'!$B12,Details!$C:$C,'Co-hort'!D$2)</f>
        <v>0</v>
      </c>
      <c r="E12" s="3">
        <f>SUMIFS(Details!$BO:$BO,Details!$CW:$CW,'Co-hort'!$B12,Details!$C:$C,'Co-hort'!E$2)</f>
        <v>0</v>
      </c>
      <c r="F12" s="3">
        <f>SUMIFS(Details!$BO:$BO,Details!$CW:$CW,'Co-hort'!$B12,Details!$C:$C,'Co-hort'!F$2)</f>
        <v>0</v>
      </c>
      <c r="G12" s="3">
        <f>SUMIFS(Details!$BO:$BO,Details!$CW:$CW,'Co-hort'!$B12,Details!$C:$C,'Co-hort'!G$2)</f>
        <v>0</v>
      </c>
      <c r="H12" s="3">
        <f>SUMIFS(Details!$BO:$BO,Details!$CW:$CW,'Co-hort'!$B12,Details!$C:$C,'Co-hort'!H$2)</f>
        <v>0</v>
      </c>
      <c r="I12" s="3">
        <f>SUMIFS(Details!$BO:$BO,Details!$CW:$CW,'Co-hort'!$B12,Details!$C:$C,'Co-hort'!I$2)</f>
        <v>0</v>
      </c>
      <c r="J12" s="3">
        <f>SUMIFS(Details!$BO:$BO,Details!$CW:$CW,'Co-hort'!$B12,Details!$C:$C,'Co-hort'!J$2)</f>
        <v>0</v>
      </c>
      <c r="L12" s="3">
        <f>SUMIFS(Details!$BB:$BB,Details!$CW:$CW,'Co-hort'!$B12,Details!$C:$C,'Co-hort'!L$2)</f>
        <v>0</v>
      </c>
      <c r="M12" s="3">
        <f>SUMIFS(Details!$BB:$BB,Details!$CW:$CW,'Co-hort'!$B12,Details!$C:$C,'Co-hort'!M$2)</f>
        <v>0</v>
      </c>
      <c r="N12" s="3">
        <f>SUMIFS(Details!$BB:$BB,Details!$CW:$CW,'Co-hort'!$B12,Details!$C:$C,'Co-hort'!N$2)</f>
        <v>0</v>
      </c>
      <c r="O12" s="3">
        <f>SUMIFS(Details!$BB:$BB,Details!$CW:$CW,'Co-hort'!$B12,Details!$C:$C,'Co-hort'!O$2)</f>
        <v>0</v>
      </c>
      <c r="P12" s="3">
        <f>SUMIFS(Details!$BB:$BB,Details!$CW:$CW,'Co-hort'!$B12,Details!$C:$C,'Co-hort'!P$2)</f>
        <v>0</v>
      </c>
      <c r="Q12" s="3">
        <f>SUMIFS(Details!$BB:$BB,Details!$CW:$CW,'Co-hort'!$B12,Details!$C:$C,'Co-hort'!Q$2)</f>
        <v>0</v>
      </c>
      <c r="R12" s="3">
        <f>SUMIFS(Details!$BB:$BB,Details!$CW:$CW,'Co-hort'!$B12,Details!$C:$C,'Co-hort'!R$2)</f>
        <v>0</v>
      </c>
      <c r="T12" t="str">
        <v>S S R ENTERPRISES</v>
      </c>
      <c r="U12" s="3">
        <f ca="1">SUMIFS('Details PC'!$AG:$AG,'Details PC'!$AB:$AB,'Co-hort'!$T12,'Details PC'!$W:$W,'Co-hort'!U$2)+SUMIFS('Details PC'!$AH:$AH,'Details PC'!$AB:$AB,'Co-hort'!$T12,'Details PC'!$W:$W,'Co-hort'!U$2)</f>
        <v>0</v>
      </c>
      <c r="V12" s="3">
        <f>SUMIFS('Details PC'!$AG:$AG,'Details PC'!$AB:$AB,'Co-hort'!$T12,'Details PC'!$W:$W,'Co-hort'!V$2)+SUMIFS('Details PC'!$AH:$AH,'Details PC'!$AB:$AB,'Co-hort'!$T12,'Details PC'!$W:$W,'Co-hort'!V$2)</f>
        <v>0</v>
      </c>
      <c r="W12" s="3">
        <f>SUMIFS('Details PC'!$AG:$AG,'Details PC'!$AB:$AB,'Co-hort'!$T12,'Details PC'!$W:$W,'Co-hort'!W$2)+SUMIFS('Details PC'!$AH:$AH,'Details PC'!$AB:$AB,'Co-hort'!$T12,'Details PC'!$W:$W,'Co-hort'!W$2)</f>
        <v>0</v>
      </c>
      <c r="X12" s="3">
        <f>SUMIFS('Details PC'!$AG:$AG,'Details PC'!$AB:$AB,'Co-hort'!$T12,'Details PC'!$W:$W,'Co-hort'!X$2)+SUMIFS('Details PC'!$AH:$AH,'Details PC'!$AB:$AB,'Co-hort'!$T12,'Details PC'!$W:$W,'Co-hort'!X$2)</f>
        <v>0</v>
      </c>
      <c r="Y12" s="3">
        <f>SUMIFS('Details PC'!$AG:$AG,'Details PC'!$AB:$AB,'Co-hort'!$T12,'Details PC'!$W:$W,'Co-hort'!Y$2)+SUMIFS('Details PC'!$AH:$AH,'Details PC'!$AB:$AB,'Co-hort'!$T12,'Details PC'!$W:$W,'Co-hort'!Y$2)</f>
        <v>0</v>
      </c>
      <c r="Z12" s="3">
        <f>SUMIFS('Details PC'!$AG:$AG,'Details PC'!$AB:$AB,'Co-hort'!$T12,'Details PC'!$W:$W,'Co-hort'!Z$2)+SUMIFS('Details PC'!$AH:$AH,'Details PC'!$AB:$AB,'Co-hort'!$T12,'Details PC'!$W:$W,'Co-hort'!Z$2)</f>
        <v>0</v>
      </c>
      <c r="AA12" s="3">
        <f>SUMIFS('Details PC'!$AG:$AG,'Details PC'!$AB:$AB,'Co-hort'!$T12,'Details PC'!$W:$W,'Co-hort'!AA$2)+SUMIFS('Details PC'!$AH:$AH,'Details PC'!$AB:$AB,'Co-hort'!$T12,'Details PC'!$W:$W,'Co-hort'!AA$2)</f>
        <v>0</v>
      </c>
      <c r="AB12" s="3">
        <f>SUMIFS('Details PC'!$AG:$AG,'Details PC'!$AB:$AB,'Co-hort'!$T12,'Details PC'!$W:$W,'Co-hort'!AB$2)+SUMIFS('Details PC'!$AH:$AH,'Details PC'!$AB:$AB,'Co-hort'!$T12,'Details PC'!$W:$W,'Co-hort'!AB$2)</f>
        <v>0</v>
      </c>
      <c r="AC12" s="3">
        <f>SUMIFS('Details PC'!$AG:$AG,'Details PC'!$AB:$AB,'Co-hort'!$T12,'Details PC'!$W:$W,'Co-hort'!AC$2)+SUMIFS('Details PC'!$AH:$AH,'Details PC'!$AB:$AB,'Co-hort'!$T12,'Details PC'!$W:$W,'Co-hort'!AC$2)</f>
        <v>0</v>
      </c>
      <c r="AD12" s="3">
        <f>SUMIFS('Details PC'!$AG:$AG,'Details PC'!$AB:$AB,'Co-hort'!$T12,'Details PC'!$W:$W,'Co-hort'!AD$2)+SUMIFS('Details PC'!$AH:$AH,'Details PC'!$AB:$AB,'Co-hort'!$T12,'Details PC'!$W:$W,'Co-hort'!AD$2)</f>
        <v>0</v>
      </c>
      <c r="AE12" s="3">
        <f>SUMIFS('Details PC'!$AG:$AG,'Details PC'!$AB:$AB,'Co-hort'!$T12,'Details PC'!$W:$W,'Co-hort'!AE$2)+SUMIFS('Details PC'!$AH:$AH,'Details PC'!$AB:$AB,'Co-hort'!$T12,'Details PC'!$W:$W,'Co-hort'!AE$2)</f>
        <v>0</v>
      </c>
      <c r="AH12" s="3">
        <f ca="1">SUMIFS('Details PC'!$AE:$AE,'Details PC'!$AB:$AB,'Co-hort'!$T12,'Details PC'!$W:$W,'Co-hort'!U$2)</f>
        <v>0</v>
      </c>
      <c r="AI12" s="3">
        <f>SUMIFS('Details PC'!$AE:$AE,'Details PC'!$AB:$AB,'Co-hort'!$T12,'Details PC'!$W:$W,'Co-hort'!V$2)</f>
        <v>0</v>
      </c>
      <c r="AJ12" s="3">
        <f>SUMIFS('Details PC'!$AE:$AE,'Details PC'!$AB:$AB,'Co-hort'!$T12,'Details PC'!$W:$W,'Co-hort'!W$2)</f>
        <v>0</v>
      </c>
      <c r="AK12" s="3">
        <f>SUMIFS('Details PC'!$AE:$AE,'Details PC'!$AB:$AB,'Co-hort'!$T12,'Details PC'!$W:$W,'Co-hort'!X$2)</f>
        <v>0</v>
      </c>
      <c r="AL12" s="3">
        <f>SUMIFS('Details PC'!$AE:$AE,'Details PC'!$AB:$AB,'Co-hort'!$T12,'Details PC'!$W:$W,'Co-hort'!Y$2)</f>
        <v>0</v>
      </c>
      <c r="AM12" s="3">
        <f>SUMIFS('Details PC'!$AE:$AE,'Details PC'!$AB:$AB,'Co-hort'!$T12,'Details PC'!$W:$W,'Co-hort'!Z$2)</f>
        <v>0</v>
      </c>
      <c r="AN12" s="3">
        <f>SUMIFS('Details PC'!$AE:$AE,'Details PC'!$AB:$AB,'Co-hort'!$T12,'Details PC'!$W:$W,'Co-hort'!AA$2)</f>
        <v>0</v>
      </c>
      <c r="AO12" s="3">
        <f>SUMIFS('Details PC'!$AE:$AE,'Details PC'!$AB:$AB,'Co-hort'!$T12,'Details PC'!$W:$W,'Co-hort'!AB$2)</f>
        <v>0</v>
      </c>
      <c r="AP12" s="3">
        <f>SUMIFS('Details PC'!$AE:$AE,'Details PC'!$AB:$AB,'Co-hort'!$T12,'Details PC'!$W:$W,'Co-hort'!AC$2)</f>
        <v>0</v>
      </c>
      <c r="AQ12" s="3">
        <f>SUMIFS('Details PC'!$AE:$AE,'Details PC'!$AB:$AB,'Co-hort'!$T12,'Details PC'!$W:$W,'Co-hort'!AD$2)</f>
        <v>0</v>
      </c>
      <c r="AR12" s="3">
        <f>SUMIFS('Details PC'!$AE:$AE,'Details PC'!$AB:$AB,'Co-hort'!$T12,'Details PC'!$W:$W,'Co-hort'!AE$2)</f>
        <v>0</v>
      </c>
    </row>
    <row r="13" spans="2:52" x14ac:dyDescent="0.3">
      <c r="C13">
        <f>_xlfn.XLOOKUP(B13,Details!CW:CW,Details!AQ:AQ)</f>
        <v>0</v>
      </c>
      <c r="D13" s="3">
        <f>SUMIFS(Details!$BO:$BO,Details!$CW:$CW,'Co-hort'!$B13,Details!$C:$C,'Co-hort'!D$2)</f>
        <v>0</v>
      </c>
      <c r="E13" s="3">
        <f>SUMIFS(Details!$BO:$BO,Details!$CW:$CW,'Co-hort'!$B13,Details!$C:$C,'Co-hort'!E$2)</f>
        <v>0</v>
      </c>
      <c r="F13" s="3">
        <f>SUMIFS(Details!$BO:$BO,Details!$CW:$CW,'Co-hort'!$B13,Details!$C:$C,'Co-hort'!F$2)</f>
        <v>0</v>
      </c>
      <c r="G13" s="3">
        <f>SUMIFS(Details!$BO:$BO,Details!$CW:$CW,'Co-hort'!$B13,Details!$C:$C,'Co-hort'!G$2)</f>
        <v>0</v>
      </c>
      <c r="H13" s="3">
        <f>SUMIFS(Details!$BO:$BO,Details!$CW:$CW,'Co-hort'!$B13,Details!$C:$C,'Co-hort'!H$2)</f>
        <v>0</v>
      </c>
      <c r="I13" s="3">
        <f>SUMIFS(Details!$BO:$BO,Details!$CW:$CW,'Co-hort'!$B13,Details!$C:$C,'Co-hort'!I$2)</f>
        <v>0</v>
      </c>
      <c r="J13" s="3">
        <f>SUMIFS(Details!$BO:$BO,Details!$CW:$CW,'Co-hort'!$B13,Details!$C:$C,'Co-hort'!J$2)</f>
        <v>0</v>
      </c>
      <c r="L13" s="3">
        <f>SUMIFS(Details!$BB:$BB,Details!$CW:$CW,'Co-hort'!$B13,Details!$C:$C,'Co-hort'!L$2)</f>
        <v>0</v>
      </c>
      <c r="M13" s="3">
        <f>SUMIFS(Details!$BB:$BB,Details!$CW:$CW,'Co-hort'!$B13,Details!$C:$C,'Co-hort'!M$2)</f>
        <v>0</v>
      </c>
      <c r="N13" s="3">
        <f>SUMIFS(Details!$BB:$BB,Details!$CW:$CW,'Co-hort'!$B13,Details!$C:$C,'Co-hort'!N$2)</f>
        <v>0</v>
      </c>
      <c r="O13" s="3">
        <f>SUMIFS(Details!$BB:$BB,Details!$CW:$CW,'Co-hort'!$B13,Details!$C:$C,'Co-hort'!O$2)</f>
        <v>0</v>
      </c>
      <c r="P13" s="3">
        <f>SUMIFS(Details!$BB:$BB,Details!$CW:$CW,'Co-hort'!$B13,Details!$C:$C,'Co-hort'!P$2)</f>
        <v>0</v>
      </c>
      <c r="Q13" s="3">
        <f>SUMIFS(Details!$BB:$BB,Details!$CW:$CW,'Co-hort'!$B13,Details!$C:$C,'Co-hort'!Q$2)</f>
        <v>0</v>
      </c>
      <c r="R13" s="3">
        <f>SUMIFS(Details!$BB:$BB,Details!$CW:$CW,'Co-hort'!$B13,Details!$C:$C,'Co-hort'!R$2)</f>
        <v>0</v>
      </c>
      <c r="T13" t="str">
        <v>SAARLOHA ADVANCED MATERIALS PRIVATE LIMITED</v>
      </c>
      <c r="U13" s="3">
        <f ca="1">SUMIFS('Details PC'!$AG:$AG,'Details PC'!$AB:$AB,'Co-hort'!$T13,'Details PC'!$W:$W,'Co-hort'!U$2)+SUMIFS('Details PC'!$AH:$AH,'Details PC'!$AB:$AB,'Co-hort'!$T13,'Details PC'!$W:$W,'Co-hort'!U$2)</f>
        <v>0</v>
      </c>
      <c r="V13" s="3">
        <f>SUMIFS('Details PC'!$AG:$AG,'Details PC'!$AB:$AB,'Co-hort'!$T13,'Details PC'!$W:$W,'Co-hort'!V$2)+SUMIFS('Details PC'!$AH:$AH,'Details PC'!$AB:$AB,'Co-hort'!$T13,'Details PC'!$W:$W,'Co-hort'!V$2)</f>
        <v>0</v>
      </c>
      <c r="W13" s="3">
        <f>SUMIFS('Details PC'!$AG:$AG,'Details PC'!$AB:$AB,'Co-hort'!$T13,'Details PC'!$W:$W,'Co-hort'!W$2)+SUMIFS('Details PC'!$AH:$AH,'Details PC'!$AB:$AB,'Co-hort'!$T13,'Details PC'!$W:$W,'Co-hort'!W$2)</f>
        <v>0</v>
      </c>
      <c r="X13" s="3">
        <f>SUMIFS('Details PC'!$AG:$AG,'Details PC'!$AB:$AB,'Co-hort'!$T13,'Details PC'!$W:$W,'Co-hort'!X$2)+SUMIFS('Details PC'!$AH:$AH,'Details PC'!$AB:$AB,'Co-hort'!$T13,'Details PC'!$W:$W,'Co-hort'!X$2)</f>
        <v>0</v>
      </c>
      <c r="Y13" s="3">
        <f>SUMIFS('Details PC'!$AG:$AG,'Details PC'!$AB:$AB,'Co-hort'!$T13,'Details PC'!$W:$W,'Co-hort'!Y$2)+SUMIFS('Details PC'!$AH:$AH,'Details PC'!$AB:$AB,'Co-hort'!$T13,'Details PC'!$W:$W,'Co-hort'!Y$2)</f>
        <v>0</v>
      </c>
      <c r="Z13" s="3">
        <f>SUMIFS('Details PC'!$AG:$AG,'Details PC'!$AB:$AB,'Co-hort'!$T13,'Details PC'!$W:$W,'Co-hort'!Z$2)+SUMIFS('Details PC'!$AH:$AH,'Details PC'!$AB:$AB,'Co-hort'!$T13,'Details PC'!$W:$W,'Co-hort'!Z$2)</f>
        <v>0</v>
      </c>
      <c r="AA13" s="3">
        <f>SUMIFS('Details PC'!$AG:$AG,'Details PC'!$AB:$AB,'Co-hort'!$T13,'Details PC'!$W:$W,'Co-hort'!AA$2)+SUMIFS('Details PC'!$AH:$AH,'Details PC'!$AB:$AB,'Co-hort'!$T13,'Details PC'!$W:$W,'Co-hort'!AA$2)</f>
        <v>0</v>
      </c>
      <c r="AB13" s="3">
        <f>SUMIFS('Details PC'!$AG:$AG,'Details PC'!$AB:$AB,'Co-hort'!$T13,'Details PC'!$W:$W,'Co-hort'!AB$2)+SUMIFS('Details PC'!$AH:$AH,'Details PC'!$AB:$AB,'Co-hort'!$T13,'Details PC'!$W:$W,'Co-hort'!AB$2)</f>
        <v>0</v>
      </c>
      <c r="AC13" s="3">
        <f>SUMIFS('Details PC'!$AG:$AG,'Details PC'!$AB:$AB,'Co-hort'!$T13,'Details PC'!$W:$W,'Co-hort'!AC$2)+SUMIFS('Details PC'!$AH:$AH,'Details PC'!$AB:$AB,'Co-hort'!$T13,'Details PC'!$W:$W,'Co-hort'!AC$2)</f>
        <v>0</v>
      </c>
      <c r="AD13" s="3">
        <f>SUMIFS('Details PC'!$AG:$AG,'Details PC'!$AB:$AB,'Co-hort'!$T13,'Details PC'!$W:$W,'Co-hort'!AD$2)+SUMIFS('Details PC'!$AH:$AH,'Details PC'!$AB:$AB,'Co-hort'!$T13,'Details PC'!$W:$W,'Co-hort'!AD$2)</f>
        <v>0</v>
      </c>
      <c r="AE13" s="3">
        <f>SUMIFS('Details PC'!$AG:$AG,'Details PC'!$AB:$AB,'Co-hort'!$T13,'Details PC'!$W:$W,'Co-hort'!AE$2)+SUMIFS('Details PC'!$AH:$AH,'Details PC'!$AB:$AB,'Co-hort'!$T13,'Details PC'!$W:$W,'Co-hort'!AE$2)</f>
        <v>0</v>
      </c>
      <c r="AH13" s="3">
        <f ca="1">SUMIFS('Details PC'!$AE:$AE,'Details PC'!$AB:$AB,'Co-hort'!$T13,'Details PC'!$W:$W,'Co-hort'!U$2)</f>
        <v>0</v>
      </c>
      <c r="AI13" s="3">
        <f>SUMIFS('Details PC'!$AE:$AE,'Details PC'!$AB:$AB,'Co-hort'!$T13,'Details PC'!$W:$W,'Co-hort'!V$2)</f>
        <v>0</v>
      </c>
      <c r="AJ13" s="3">
        <f>SUMIFS('Details PC'!$AE:$AE,'Details PC'!$AB:$AB,'Co-hort'!$T13,'Details PC'!$W:$W,'Co-hort'!W$2)</f>
        <v>0</v>
      </c>
      <c r="AK13" s="3">
        <f>SUMIFS('Details PC'!$AE:$AE,'Details PC'!$AB:$AB,'Co-hort'!$T13,'Details PC'!$W:$W,'Co-hort'!X$2)</f>
        <v>0</v>
      </c>
      <c r="AL13" s="3">
        <f>SUMIFS('Details PC'!$AE:$AE,'Details PC'!$AB:$AB,'Co-hort'!$T13,'Details PC'!$W:$W,'Co-hort'!Y$2)</f>
        <v>0</v>
      </c>
      <c r="AM13" s="3">
        <f>SUMIFS('Details PC'!$AE:$AE,'Details PC'!$AB:$AB,'Co-hort'!$T13,'Details PC'!$W:$W,'Co-hort'!Z$2)</f>
        <v>0</v>
      </c>
      <c r="AN13" s="3">
        <f>SUMIFS('Details PC'!$AE:$AE,'Details PC'!$AB:$AB,'Co-hort'!$T13,'Details PC'!$W:$W,'Co-hort'!AA$2)</f>
        <v>0</v>
      </c>
      <c r="AO13" s="3">
        <f>SUMIFS('Details PC'!$AE:$AE,'Details PC'!$AB:$AB,'Co-hort'!$T13,'Details PC'!$W:$W,'Co-hort'!AB$2)</f>
        <v>0</v>
      </c>
      <c r="AP13" s="3">
        <f>SUMIFS('Details PC'!$AE:$AE,'Details PC'!$AB:$AB,'Co-hort'!$T13,'Details PC'!$W:$W,'Co-hort'!AC$2)</f>
        <v>0</v>
      </c>
      <c r="AQ13" s="3">
        <f>SUMIFS('Details PC'!$AE:$AE,'Details PC'!$AB:$AB,'Co-hort'!$T13,'Details PC'!$W:$W,'Co-hort'!AD$2)</f>
        <v>0</v>
      </c>
      <c r="AR13" s="3">
        <f>SUMIFS('Details PC'!$AE:$AE,'Details PC'!$AB:$AB,'Co-hort'!$T13,'Details PC'!$W:$W,'Co-hort'!AE$2)</f>
        <v>0</v>
      </c>
    </row>
    <row r="14" spans="2:52" x14ac:dyDescent="0.3">
      <c r="C14">
        <f>_xlfn.XLOOKUP(B14,Details!CW:CW,Details!AQ:AQ)</f>
        <v>0</v>
      </c>
      <c r="D14" s="3">
        <f>SUMIFS(Details!$BO:$BO,Details!$CW:$CW,'Co-hort'!$B14,Details!$C:$C,'Co-hort'!D$2)</f>
        <v>0</v>
      </c>
      <c r="E14" s="3">
        <f>SUMIFS(Details!$BO:$BO,Details!$CW:$CW,'Co-hort'!$B14,Details!$C:$C,'Co-hort'!E$2)</f>
        <v>0</v>
      </c>
      <c r="F14" s="3">
        <f>SUMIFS(Details!$BO:$BO,Details!$CW:$CW,'Co-hort'!$B14,Details!$C:$C,'Co-hort'!F$2)</f>
        <v>0</v>
      </c>
      <c r="G14" s="3">
        <f>SUMIFS(Details!$BO:$BO,Details!$CW:$CW,'Co-hort'!$B14,Details!$C:$C,'Co-hort'!G$2)</f>
        <v>0</v>
      </c>
      <c r="H14" s="3">
        <f>SUMIFS(Details!$BO:$BO,Details!$CW:$CW,'Co-hort'!$B14,Details!$C:$C,'Co-hort'!H$2)</f>
        <v>0</v>
      </c>
      <c r="I14" s="3">
        <f>SUMIFS(Details!$BO:$BO,Details!$CW:$CW,'Co-hort'!$B14,Details!$C:$C,'Co-hort'!I$2)</f>
        <v>0</v>
      </c>
      <c r="J14" s="3">
        <f>SUMIFS(Details!$BO:$BO,Details!$CW:$CW,'Co-hort'!$B14,Details!$C:$C,'Co-hort'!J$2)</f>
        <v>0</v>
      </c>
      <c r="L14" s="3">
        <f>SUMIFS(Details!$BB:$BB,Details!$CW:$CW,'Co-hort'!$B14,Details!$C:$C,'Co-hort'!L$2)</f>
        <v>0</v>
      </c>
      <c r="M14" s="3">
        <f>SUMIFS(Details!$BB:$BB,Details!$CW:$CW,'Co-hort'!$B14,Details!$C:$C,'Co-hort'!M$2)</f>
        <v>0</v>
      </c>
      <c r="N14" s="3">
        <f>SUMIFS(Details!$BB:$BB,Details!$CW:$CW,'Co-hort'!$B14,Details!$C:$C,'Co-hort'!N$2)</f>
        <v>0</v>
      </c>
      <c r="O14" s="3">
        <f>SUMIFS(Details!$BB:$BB,Details!$CW:$CW,'Co-hort'!$B14,Details!$C:$C,'Co-hort'!O$2)</f>
        <v>0</v>
      </c>
      <c r="P14" s="3">
        <f>SUMIFS(Details!$BB:$BB,Details!$CW:$CW,'Co-hort'!$B14,Details!$C:$C,'Co-hort'!P$2)</f>
        <v>0</v>
      </c>
      <c r="Q14" s="3">
        <f>SUMIFS(Details!$BB:$BB,Details!$CW:$CW,'Co-hort'!$B14,Details!$C:$C,'Co-hort'!Q$2)</f>
        <v>0</v>
      </c>
      <c r="R14" s="3">
        <f>SUMIFS(Details!$BB:$BB,Details!$CW:$CW,'Co-hort'!$B14,Details!$C:$C,'Co-hort'!R$2)</f>
        <v>0</v>
      </c>
      <c r="T14" t="str">
        <v>Sound Castings Private Limited - U5</v>
      </c>
      <c r="U14" s="3">
        <f ca="1">SUMIFS('Details PC'!$AG:$AG,'Details PC'!$AB:$AB,'Co-hort'!$T14,'Details PC'!$W:$W,'Co-hort'!U$2)+SUMIFS('Details PC'!$AH:$AH,'Details PC'!$AB:$AB,'Co-hort'!$T14,'Details PC'!$W:$W,'Co-hort'!U$2)</f>
        <v>0</v>
      </c>
      <c r="V14" s="3">
        <f>SUMIFS('Details PC'!$AG:$AG,'Details PC'!$AB:$AB,'Co-hort'!$T14,'Details PC'!$W:$W,'Co-hort'!V$2)+SUMIFS('Details PC'!$AH:$AH,'Details PC'!$AB:$AB,'Co-hort'!$T14,'Details PC'!$W:$W,'Co-hort'!V$2)</f>
        <v>0</v>
      </c>
      <c r="W14" s="3">
        <f>SUMIFS('Details PC'!$AG:$AG,'Details PC'!$AB:$AB,'Co-hort'!$T14,'Details PC'!$W:$W,'Co-hort'!W$2)+SUMIFS('Details PC'!$AH:$AH,'Details PC'!$AB:$AB,'Co-hort'!$T14,'Details PC'!$W:$W,'Co-hort'!W$2)</f>
        <v>0</v>
      </c>
      <c r="X14" s="3">
        <f>SUMIFS('Details PC'!$AG:$AG,'Details PC'!$AB:$AB,'Co-hort'!$T14,'Details PC'!$W:$W,'Co-hort'!X$2)+SUMIFS('Details PC'!$AH:$AH,'Details PC'!$AB:$AB,'Co-hort'!$T14,'Details PC'!$W:$W,'Co-hort'!X$2)</f>
        <v>0</v>
      </c>
      <c r="Y14" s="3">
        <f>SUMIFS('Details PC'!$AG:$AG,'Details PC'!$AB:$AB,'Co-hort'!$T14,'Details PC'!$W:$W,'Co-hort'!Y$2)+SUMIFS('Details PC'!$AH:$AH,'Details PC'!$AB:$AB,'Co-hort'!$T14,'Details PC'!$W:$W,'Co-hort'!Y$2)</f>
        <v>0</v>
      </c>
      <c r="Z14" s="3">
        <f>SUMIFS('Details PC'!$AG:$AG,'Details PC'!$AB:$AB,'Co-hort'!$T14,'Details PC'!$W:$W,'Co-hort'!Z$2)+SUMIFS('Details PC'!$AH:$AH,'Details PC'!$AB:$AB,'Co-hort'!$T14,'Details PC'!$W:$W,'Co-hort'!Z$2)</f>
        <v>0</v>
      </c>
      <c r="AA14" s="3">
        <f>SUMIFS('Details PC'!$AG:$AG,'Details PC'!$AB:$AB,'Co-hort'!$T14,'Details PC'!$W:$W,'Co-hort'!AA$2)+SUMIFS('Details PC'!$AH:$AH,'Details PC'!$AB:$AB,'Co-hort'!$T14,'Details PC'!$W:$W,'Co-hort'!AA$2)</f>
        <v>0</v>
      </c>
      <c r="AB14" s="3">
        <f>SUMIFS('Details PC'!$AG:$AG,'Details PC'!$AB:$AB,'Co-hort'!$T14,'Details PC'!$W:$W,'Co-hort'!AB$2)+SUMIFS('Details PC'!$AH:$AH,'Details PC'!$AB:$AB,'Co-hort'!$T14,'Details PC'!$W:$W,'Co-hort'!AB$2)</f>
        <v>0</v>
      </c>
      <c r="AC14" s="3">
        <f>SUMIFS('Details PC'!$AG:$AG,'Details PC'!$AB:$AB,'Co-hort'!$T14,'Details PC'!$W:$W,'Co-hort'!AC$2)+SUMIFS('Details PC'!$AH:$AH,'Details PC'!$AB:$AB,'Co-hort'!$T14,'Details PC'!$W:$W,'Co-hort'!AC$2)</f>
        <v>0</v>
      </c>
      <c r="AD14" s="3">
        <f>SUMIFS('Details PC'!$AG:$AG,'Details PC'!$AB:$AB,'Co-hort'!$T14,'Details PC'!$W:$W,'Co-hort'!AD$2)+SUMIFS('Details PC'!$AH:$AH,'Details PC'!$AB:$AB,'Co-hort'!$T14,'Details PC'!$W:$W,'Co-hort'!AD$2)</f>
        <v>0</v>
      </c>
      <c r="AE14" s="3">
        <f>SUMIFS('Details PC'!$AG:$AG,'Details PC'!$AB:$AB,'Co-hort'!$T14,'Details PC'!$W:$W,'Co-hort'!AE$2)+SUMIFS('Details PC'!$AH:$AH,'Details PC'!$AB:$AB,'Co-hort'!$T14,'Details PC'!$W:$W,'Co-hort'!AE$2)</f>
        <v>0</v>
      </c>
      <c r="AH14" s="3">
        <f ca="1">SUMIFS('Details PC'!$AE:$AE,'Details PC'!$AB:$AB,'Co-hort'!$T14,'Details PC'!$W:$W,'Co-hort'!U$2)</f>
        <v>0</v>
      </c>
      <c r="AI14" s="3">
        <f>SUMIFS('Details PC'!$AE:$AE,'Details PC'!$AB:$AB,'Co-hort'!$T14,'Details PC'!$W:$W,'Co-hort'!V$2)</f>
        <v>0</v>
      </c>
      <c r="AJ14" s="3">
        <f>SUMIFS('Details PC'!$AE:$AE,'Details PC'!$AB:$AB,'Co-hort'!$T14,'Details PC'!$W:$W,'Co-hort'!W$2)</f>
        <v>0</v>
      </c>
      <c r="AK14" s="3">
        <f>SUMIFS('Details PC'!$AE:$AE,'Details PC'!$AB:$AB,'Co-hort'!$T14,'Details PC'!$W:$W,'Co-hort'!X$2)</f>
        <v>0</v>
      </c>
      <c r="AL14" s="3">
        <f>SUMIFS('Details PC'!$AE:$AE,'Details PC'!$AB:$AB,'Co-hort'!$T14,'Details PC'!$W:$W,'Co-hort'!Y$2)</f>
        <v>0</v>
      </c>
      <c r="AM14" s="3">
        <f>SUMIFS('Details PC'!$AE:$AE,'Details PC'!$AB:$AB,'Co-hort'!$T14,'Details PC'!$W:$W,'Co-hort'!Z$2)</f>
        <v>0</v>
      </c>
      <c r="AN14" s="3">
        <f>SUMIFS('Details PC'!$AE:$AE,'Details PC'!$AB:$AB,'Co-hort'!$T14,'Details PC'!$W:$W,'Co-hort'!AA$2)</f>
        <v>0</v>
      </c>
      <c r="AO14" s="3">
        <f>SUMIFS('Details PC'!$AE:$AE,'Details PC'!$AB:$AB,'Co-hort'!$T14,'Details PC'!$W:$W,'Co-hort'!AB$2)</f>
        <v>0</v>
      </c>
      <c r="AP14" s="3">
        <f>SUMIFS('Details PC'!$AE:$AE,'Details PC'!$AB:$AB,'Co-hort'!$T14,'Details PC'!$W:$W,'Co-hort'!AC$2)</f>
        <v>0</v>
      </c>
      <c r="AQ14" s="3">
        <f>SUMIFS('Details PC'!$AE:$AE,'Details PC'!$AB:$AB,'Co-hort'!$T14,'Details PC'!$W:$W,'Co-hort'!AD$2)</f>
        <v>0</v>
      </c>
      <c r="AR14" s="3">
        <f>SUMIFS('Details PC'!$AE:$AE,'Details PC'!$AB:$AB,'Co-hort'!$T14,'Details PC'!$W:$W,'Co-hort'!AE$2)</f>
        <v>0</v>
      </c>
    </row>
    <row r="15" spans="2:52" x14ac:dyDescent="0.3">
      <c r="C15">
        <f>_xlfn.XLOOKUP(B15,Details!CW:CW,Details!AQ:AQ)</f>
        <v>0</v>
      </c>
      <c r="D15" s="3">
        <f>SUMIFS(Details!$BO:$BO,Details!$CW:$CW,'Co-hort'!$B15,Details!$C:$C,'Co-hort'!D$2)</f>
        <v>0</v>
      </c>
      <c r="E15" s="3">
        <f>SUMIFS(Details!$BO:$BO,Details!$CW:$CW,'Co-hort'!$B15,Details!$C:$C,'Co-hort'!E$2)</f>
        <v>0</v>
      </c>
      <c r="F15" s="3">
        <f>SUMIFS(Details!$BO:$BO,Details!$CW:$CW,'Co-hort'!$B15,Details!$C:$C,'Co-hort'!F$2)</f>
        <v>0</v>
      </c>
      <c r="G15" s="3">
        <f>SUMIFS(Details!$BO:$BO,Details!$CW:$CW,'Co-hort'!$B15,Details!$C:$C,'Co-hort'!G$2)</f>
        <v>0</v>
      </c>
      <c r="H15" s="3">
        <f>SUMIFS(Details!$BO:$BO,Details!$CW:$CW,'Co-hort'!$B15,Details!$C:$C,'Co-hort'!H$2)</f>
        <v>0</v>
      </c>
      <c r="I15" s="3">
        <f>SUMIFS(Details!$BO:$BO,Details!$CW:$CW,'Co-hort'!$B15,Details!$C:$C,'Co-hort'!I$2)</f>
        <v>0</v>
      </c>
      <c r="J15" s="3">
        <f>SUMIFS(Details!$BO:$BO,Details!$CW:$CW,'Co-hort'!$B15,Details!$C:$C,'Co-hort'!J$2)</f>
        <v>0</v>
      </c>
      <c r="L15" s="3">
        <f>SUMIFS(Details!$BB:$BB,Details!$CW:$CW,'Co-hort'!$B15,Details!$C:$C,'Co-hort'!L$2)</f>
        <v>0</v>
      </c>
      <c r="M15" s="3">
        <f>SUMIFS(Details!$BB:$BB,Details!$CW:$CW,'Co-hort'!$B15,Details!$C:$C,'Co-hort'!M$2)</f>
        <v>0</v>
      </c>
      <c r="N15" s="3">
        <f>SUMIFS(Details!$BB:$BB,Details!$CW:$CW,'Co-hort'!$B15,Details!$C:$C,'Co-hort'!N$2)</f>
        <v>0</v>
      </c>
      <c r="O15" s="3">
        <f>SUMIFS(Details!$BB:$BB,Details!$CW:$CW,'Co-hort'!$B15,Details!$C:$C,'Co-hort'!O$2)</f>
        <v>0</v>
      </c>
      <c r="P15" s="3">
        <f>SUMIFS(Details!$BB:$BB,Details!$CW:$CW,'Co-hort'!$B15,Details!$C:$C,'Co-hort'!P$2)</f>
        <v>0</v>
      </c>
      <c r="Q15" s="3">
        <f>SUMIFS(Details!$BB:$BB,Details!$CW:$CW,'Co-hort'!$B15,Details!$C:$C,'Co-hort'!Q$2)</f>
        <v>0</v>
      </c>
      <c r="R15" s="3">
        <f>SUMIFS(Details!$BB:$BB,Details!$CW:$CW,'Co-hort'!$B15,Details!$C:$C,'Co-hort'!R$2)</f>
        <v>0</v>
      </c>
      <c r="T15" t="str">
        <v>Sound Castings Private Limited - U2</v>
      </c>
      <c r="U15" s="3">
        <f ca="1">SUMIFS('Details PC'!$AG:$AG,'Details PC'!$AB:$AB,'Co-hort'!$T15,'Details PC'!$W:$W,'Co-hort'!U$2)+SUMIFS('Details PC'!$AH:$AH,'Details PC'!$AB:$AB,'Co-hort'!$T15,'Details PC'!$W:$W,'Co-hort'!U$2)</f>
        <v>0</v>
      </c>
      <c r="V15" s="3">
        <f>SUMIFS('Details PC'!$AG:$AG,'Details PC'!$AB:$AB,'Co-hort'!$T15,'Details PC'!$W:$W,'Co-hort'!V$2)+SUMIFS('Details PC'!$AH:$AH,'Details PC'!$AB:$AB,'Co-hort'!$T15,'Details PC'!$W:$W,'Co-hort'!V$2)</f>
        <v>0</v>
      </c>
      <c r="W15" s="3">
        <f>SUMIFS('Details PC'!$AG:$AG,'Details PC'!$AB:$AB,'Co-hort'!$T15,'Details PC'!$W:$W,'Co-hort'!W$2)+SUMIFS('Details PC'!$AH:$AH,'Details PC'!$AB:$AB,'Co-hort'!$T15,'Details PC'!$W:$W,'Co-hort'!W$2)</f>
        <v>0</v>
      </c>
      <c r="X15" s="3">
        <f>SUMIFS('Details PC'!$AG:$AG,'Details PC'!$AB:$AB,'Co-hort'!$T15,'Details PC'!$W:$W,'Co-hort'!X$2)+SUMIFS('Details PC'!$AH:$AH,'Details PC'!$AB:$AB,'Co-hort'!$T15,'Details PC'!$W:$W,'Co-hort'!X$2)</f>
        <v>0</v>
      </c>
      <c r="Y15" s="3">
        <f>SUMIFS('Details PC'!$AG:$AG,'Details PC'!$AB:$AB,'Co-hort'!$T15,'Details PC'!$W:$W,'Co-hort'!Y$2)+SUMIFS('Details PC'!$AH:$AH,'Details PC'!$AB:$AB,'Co-hort'!$T15,'Details PC'!$W:$W,'Co-hort'!Y$2)</f>
        <v>0</v>
      </c>
      <c r="Z15" s="3">
        <f>SUMIFS('Details PC'!$AG:$AG,'Details PC'!$AB:$AB,'Co-hort'!$T15,'Details PC'!$W:$W,'Co-hort'!Z$2)+SUMIFS('Details PC'!$AH:$AH,'Details PC'!$AB:$AB,'Co-hort'!$T15,'Details PC'!$W:$W,'Co-hort'!Z$2)</f>
        <v>0</v>
      </c>
      <c r="AA15" s="3">
        <f>SUMIFS('Details PC'!$AG:$AG,'Details PC'!$AB:$AB,'Co-hort'!$T15,'Details PC'!$W:$W,'Co-hort'!AA$2)+SUMIFS('Details PC'!$AH:$AH,'Details PC'!$AB:$AB,'Co-hort'!$T15,'Details PC'!$W:$W,'Co-hort'!AA$2)</f>
        <v>0</v>
      </c>
      <c r="AB15" s="3">
        <f>SUMIFS('Details PC'!$AG:$AG,'Details PC'!$AB:$AB,'Co-hort'!$T15,'Details PC'!$W:$W,'Co-hort'!AB$2)+SUMIFS('Details PC'!$AH:$AH,'Details PC'!$AB:$AB,'Co-hort'!$T15,'Details PC'!$W:$W,'Co-hort'!AB$2)</f>
        <v>0</v>
      </c>
      <c r="AC15" s="3">
        <f>SUMIFS('Details PC'!$AG:$AG,'Details PC'!$AB:$AB,'Co-hort'!$T15,'Details PC'!$W:$W,'Co-hort'!AC$2)+SUMIFS('Details PC'!$AH:$AH,'Details PC'!$AB:$AB,'Co-hort'!$T15,'Details PC'!$W:$W,'Co-hort'!AC$2)</f>
        <v>0</v>
      </c>
      <c r="AD15" s="3">
        <f>SUMIFS('Details PC'!$AG:$AG,'Details PC'!$AB:$AB,'Co-hort'!$T15,'Details PC'!$W:$W,'Co-hort'!AD$2)+SUMIFS('Details PC'!$AH:$AH,'Details PC'!$AB:$AB,'Co-hort'!$T15,'Details PC'!$W:$W,'Co-hort'!AD$2)</f>
        <v>0</v>
      </c>
      <c r="AE15" s="3">
        <f>SUMIFS('Details PC'!$AG:$AG,'Details PC'!$AB:$AB,'Co-hort'!$T15,'Details PC'!$W:$W,'Co-hort'!AE$2)+SUMIFS('Details PC'!$AH:$AH,'Details PC'!$AB:$AB,'Co-hort'!$T15,'Details PC'!$W:$W,'Co-hort'!AE$2)</f>
        <v>0</v>
      </c>
      <c r="AH15" s="3">
        <f ca="1">SUMIFS('Details PC'!$AE:$AE,'Details PC'!$AB:$AB,'Co-hort'!$T15,'Details PC'!$W:$W,'Co-hort'!U$2)</f>
        <v>0</v>
      </c>
      <c r="AI15" s="3">
        <f>SUMIFS('Details PC'!$AE:$AE,'Details PC'!$AB:$AB,'Co-hort'!$T15,'Details PC'!$W:$W,'Co-hort'!V$2)</f>
        <v>0</v>
      </c>
      <c r="AJ15" s="3">
        <f>SUMIFS('Details PC'!$AE:$AE,'Details PC'!$AB:$AB,'Co-hort'!$T15,'Details PC'!$W:$W,'Co-hort'!W$2)</f>
        <v>0</v>
      </c>
      <c r="AK15" s="3">
        <f>SUMIFS('Details PC'!$AE:$AE,'Details PC'!$AB:$AB,'Co-hort'!$T15,'Details PC'!$W:$W,'Co-hort'!X$2)</f>
        <v>0</v>
      </c>
      <c r="AL15" s="3">
        <f>SUMIFS('Details PC'!$AE:$AE,'Details PC'!$AB:$AB,'Co-hort'!$T15,'Details PC'!$W:$W,'Co-hort'!Y$2)</f>
        <v>0</v>
      </c>
      <c r="AM15" s="3">
        <f>SUMIFS('Details PC'!$AE:$AE,'Details PC'!$AB:$AB,'Co-hort'!$T15,'Details PC'!$W:$W,'Co-hort'!Z$2)</f>
        <v>0</v>
      </c>
      <c r="AN15" s="3">
        <f>SUMIFS('Details PC'!$AE:$AE,'Details PC'!$AB:$AB,'Co-hort'!$T15,'Details PC'!$W:$W,'Co-hort'!AA$2)</f>
        <v>0</v>
      </c>
      <c r="AO15" s="3">
        <f>SUMIFS('Details PC'!$AE:$AE,'Details PC'!$AB:$AB,'Co-hort'!$T15,'Details PC'!$W:$W,'Co-hort'!AB$2)</f>
        <v>0</v>
      </c>
      <c r="AP15" s="3">
        <f>SUMIFS('Details PC'!$AE:$AE,'Details PC'!$AB:$AB,'Co-hort'!$T15,'Details PC'!$W:$W,'Co-hort'!AC$2)</f>
        <v>0</v>
      </c>
      <c r="AQ15" s="3">
        <f>SUMIFS('Details PC'!$AE:$AE,'Details PC'!$AB:$AB,'Co-hort'!$T15,'Details PC'!$W:$W,'Co-hort'!AD$2)</f>
        <v>0</v>
      </c>
      <c r="AR15" s="3">
        <f>SUMIFS('Details PC'!$AE:$AE,'Details PC'!$AB:$AB,'Co-hort'!$T15,'Details PC'!$W:$W,'Co-hort'!AE$2)</f>
        <v>0</v>
      </c>
    </row>
    <row r="16" spans="2:52" x14ac:dyDescent="0.3">
      <c r="C16">
        <f>_xlfn.XLOOKUP(B16,Details!CW:CW,Details!AQ:AQ)</f>
        <v>0</v>
      </c>
      <c r="D16" s="3">
        <f>SUMIFS(Details!$BO:$BO,Details!$CW:$CW,'Co-hort'!$B16,Details!$C:$C,'Co-hort'!D$2)</f>
        <v>0</v>
      </c>
      <c r="E16" s="3">
        <f>SUMIFS(Details!$BO:$BO,Details!$CW:$CW,'Co-hort'!$B16,Details!$C:$C,'Co-hort'!E$2)</f>
        <v>0</v>
      </c>
      <c r="F16" s="3">
        <f>SUMIFS(Details!$BO:$BO,Details!$CW:$CW,'Co-hort'!$B16,Details!$C:$C,'Co-hort'!F$2)</f>
        <v>0</v>
      </c>
      <c r="G16" s="3">
        <f>SUMIFS(Details!$BO:$BO,Details!$CW:$CW,'Co-hort'!$B16,Details!$C:$C,'Co-hort'!G$2)</f>
        <v>0</v>
      </c>
      <c r="H16" s="3">
        <f>SUMIFS(Details!$BO:$BO,Details!$CW:$CW,'Co-hort'!$B16,Details!$C:$C,'Co-hort'!H$2)</f>
        <v>0</v>
      </c>
      <c r="I16" s="3">
        <f>SUMIFS(Details!$BO:$BO,Details!$CW:$CW,'Co-hort'!$B16,Details!$C:$C,'Co-hort'!I$2)</f>
        <v>0</v>
      </c>
      <c r="J16" s="3">
        <f>SUMIFS(Details!$BO:$BO,Details!$CW:$CW,'Co-hort'!$B16,Details!$C:$C,'Co-hort'!J$2)</f>
        <v>0</v>
      </c>
      <c r="L16" s="3">
        <f>SUMIFS(Details!$BB:$BB,Details!$CW:$CW,'Co-hort'!$B16,Details!$C:$C,'Co-hort'!L$2)</f>
        <v>0</v>
      </c>
      <c r="M16" s="3">
        <f>SUMIFS(Details!$BB:$BB,Details!$CW:$CW,'Co-hort'!$B16,Details!$C:$C,'Co-hort'!M$2)</f>
        <v>0</v>
      </c>
      <c r="N16" s="3">
        <f>SUMIFS(Details!$BB:$BB,Details!$CW:$CW,'Co-hort'!$B16,Details!$C:$C,'Co-hort'!N$2)</f>
        <v>0</v>
      </c>
      <c r="O16" s="3">
        <f>SUMIFS(Details!$BB:$BB,Details!$CW:$CW,'Co-hort'!$B16,Details!$C:$C,'Co-hort'!O$2)</f>
        <v>0</v>
      </c>
      <c r="P16" s="3">
        <f>SUMIFS(Details!$BB:$BB,Details!$CW:$CW,'Co-hort'!$B16,Details!$C:$C,'Co-hort'!P$2)</f>
        <v>0</v>
      </c>
      <c r="Q16" s="3">
        <f>SUMIFS(Details!$BB:$BB,Details!$CW:$CW,'Co-hort'!$B16,Details!$C:$C,'Co-hort'!Q$2)</f>
        <v>0</v>
      </c>
      <c r="R16" s="3">
        <f>SUMIFS(Details!$BB:$BB,Details!$CW:$CW,'Co-hort'!$B16,Details!$C:$C,'Co-hort'!R$2)</f>
        <v>0</v>
      </c>
      <c r="T16" t="str">
        <v>Sound Castings Private Limited - U3</v>
      </c>
      <c r="U16" s="3">
        <f ca="1">SUMIFS('Details PC'!$AG:$AG,'Details PC'!$AB:$AB,'Co-hort'!$T16,'Details PC'!$W:$W,'Co-hort'!U$2)+SUMIFS('Details PC'!$AH:$AH,'Details PC'!$AB:$AB,'Co-hort'!$T16,'Details PC'!$W:$W,'Co-hort'!U$2)</f>
        <v>0</v>
      </c>
      <c r="V16" s="3">
        <f>SUMIFS('Details PC'!$AG:$AG,'Details PC'!$AB:$AB,'Co-hort'!$T16,'Details PC'!$W:$W,'Co-hort'!V$2)+SUMIFS('Details PC'!$AH:$AH,'Details PC'!$AB:$AB,'Co-hort'!$T16,'Details PC'!$W:$W,'Co-hort'!V$2)</f>
        <v>0</v>
      </c>
      <c r="W16" s="3">
        <f>SUMIFS('Details PC'!$AG:$AG,'Details PC'!$AB:$AB,'Co-hort'!$T16,'Details PC'!$W:$W,'Co-hort'!W$2)+SUMIFS('Details PC'!$AH:$AH,'Details PC'!$AB:$AB,'Co-hort'!$T16,'Details PC'!$W:$W,'Co-hort'!W$2)</f>
        <v>0</v>
      </c>
      <c r="X16" s="3">
        <f>SUMIFS('Details PC'!$AG:$AG,'Details PC'!$AB:$AB,'Co-hort'!$T16,'Details PC'!$W:$W,'Co-hort'!X$2)+SUMIFS('Details PC'!$AH:$AH,'Details PC'!$AB:$AB,'Co-hort'!$T16,'Details PC'!$W:$W,'Co-hort'!X$2)</f>
        <v>0</v>
      </c>
      <c r="Y16" s="3">
        <f>SUMIFS('Details PC'!$AG:$AG,'Details PC'!$AB:$AB,'Co-hort'!$T16,'Details PC'!$W:$W,'Co-hort'!Y$2)+SUMIFS('Details PC'!$AH:$AH,'Details PC'!$AB:$AB,'Co-hort'!$T16,'Details PC'!$W:$W,'Co-hort'!Y$2)</f>
        <v>0</v>
      </c>
      <c r="Z16" s="3">
        <f>SUMIFS('Details PC'!$AG:$AG,'Details PC'!$AB:$AB,'Co-hort'!$T16,'Details PC'!$W:$W,'Co-hort'!Z$2)+SUMIFS('Details PC'!$AH:$AH,'Details PC'!$AB:$AB,'Co-hort'!$T16,'Details PC'!$W:$W,'Co-hort'!Z$2)</f>
        <v>0</v>
      </c>
      <c r="AA16" s="3">
        <f>SUMIFS('Details PC'!$AG:$AG,'Details PC'!$AB:$AB,'Co-hort'!$T16,'Details PC'!$W:$W,'Co-hort'!AA$2)+SUMIFS('Details PC'!$AH:$AH,'Details PC'!$AB:$AB,'Co-hort'!$T16,'Details PC'!$W:$W,'Co-hort'!AA$2)</f>
        <v>0</v>
      </c>
      <c r="AB16" s="3">
        <f>SUMIFS('Details PC'!$AG:$AG,'Details PC'!$AB:$AB,'Co-hort'!$T16,'Details PC'!$W:$W,'Co-hort'!AB$2)+SUMIFS('Details PC'!$AH:$AH,'Details PC'!$AB:$AB,'Co-hort'!$T16,'Details PC'!$W:$W,'Co-hort'!AB$2)</f>
        <v>0</v>
      </c>
      <c r="AC16" s="3">
        <f>SUMIFS('Details PC'!$AG:$AG,'Details PC'!$AB:$AB,'Co-hort'!$T16,'Details PC'!$W:$W,'Co-hort'!AC$2)+SUMIFS('Details PC'!$AH:$AH,'Details PC'!$AB:$AB,'Co-hort'!$T16,'Details PC'!$W:$W,'Co-hort'!AC$2)</f>
        <v>0</v>
      </c>
      <c r="AD16" s="3">
        <f>SUMIFS('Details PC'!$AG:$AG,'Details PC'!$AB:$AB,'Co-hort'!$T16,'Details PC'!$W:$W,'Co-hort'!AD$2)+SUMIFS('Details PC'!$AH:$AH,'Details PC'!$AB:$AB,'Co-hort'!$T16,'Details PC'!$W:$W,'Co-hort'!AD$2)</f>
        <v>0</v>
      </c>
      <c r="AE16" s="3">
        <f>SUMIFS('Details PC'!$AG:$AG,'Details PC'!$AB:$AB,'Co-hort'!$T16,'Details PC'!$W:$W,'Co-hort'!AE$2)+SUMIFS('Details PC'!$AH:$AH,'Details PC'!$AB:$AB,'Co-hort'!$T16,'Details PC'!$W:$W,'Co-hort'!AE$2)</f>
        <v>0</v>
      </c>
      <c r="AH16" s="3">
        <f ca="1">SUMIFS('Details PC'!$AE:$AE,'Details PC'!$AB:$AB,'Co-hort'!$T16,'Details PC'!$W:$W,'Co-hort'!U$2)</f>
        <v>0</v>
      </c>
      <c r="AI16" s="3">
        <f>SUMIFS('Details PC'!$AE:$AE,'Details PC'!$AB:$AB,'Co-hort'!$T16,'Details PC'!$W:$W,'Co-hort'!V$2)</f>
        <v>0</v>
      </c>
      <c r="AJ16" s="3">
        <f>SUMIFS('Details PC'!$AE:$AE,'Details PC'!$AB:$AB,'Co-hort'!$T16,'Details PC'!$W:$W,'Co-hort'!W$2)</f>
        <v>0</v>
      </c>
      <c r="AK16" s="3">
        <f>SUMIFS('Details PC'!$AE:$AE,'Details PC'!$AB:$AB,'Co-hort'!$T16,'Details PC'!$W:$W,'Co-hort'!X$2)</f>
        <v>0</v>
      </c>
      <c r="AL16" s="3">
        <f>SUMIFS('Details PC'!$AE:$AE,'Details PC'!$AB:$AB,'Co-hort'!$T16,'Details PC'!$W:$W,'Co-hort'!Y$2)</f>
        <v>0</v>
      </c>
      <c r="AM16" s="3">
        <f>SUMIFS('Details PC'!$AE:$AE,'Details PC'!$AB:$AB,'Co-hort'!$T16,'Details PC'!$W:$W,'Co-hort'!Z$2)</f>
        <v>0</v>
      </c>
      <c r="AN16" s="3">
        <f>SUMIFS('Details PC'!$AE:$AE,'Details PC'!$AB:$AB,'Co-hort'!$T16,'Details PC'!$W:$W,'Co-hort'!AA$2)</f>
        <v>0</v>
      </c>
      <c r="AO16" s="3">
        <f>SUMIFS('Details PC'!$AE:$AE,'Details PC'!$AB:$AB,'Co-hort'!$T16,'Details PC'!$W:$W,'Co-hort'!AB$2)</f>
        <v>0</v>
      </c>
      <c r="AP16" s="3">
        <f>SUMIFS('Details PC'!$AE:$AE,'Details PC'!$AB:$AB,'Co-hort'!$T16,'Details PC'!$W:$W,'Co-hort'!AC$2)</f>
        <v>0</v>
      </c>
      <c r="AQ16" s="3">
        <f>SUMIFS('Details PC'!$AE:$AE,'Details PC'!$AB:$AB,'Co-hort'!$T16,'Details PC'!$W:$W,'Co-hort'!AD$2)</f>
        <v>0</v>
      </c>
      <c r="AR16" s="3">
        <f>SUMIFS('Details PC'!$AE:$AE,'Details PC'!$AB:$AB,'Co-hort'!$T16,'Details PC'!$W:$W,'Co-hort'!AE$2)</f>
        <v>0</v>
      </c>
    </row>
    <row r="17" spans="20:20" x14ac:dyDescent="0.3">
      <c r="T17" t="str">
        <v>SOUND CASTINGS PRIVATE LIMITED</v>
      </c>
    </row>
    <row r="18" spans="20:20" x14ac:dyDescent="0.3">
      <c r="T18" t="str">
        <v>JSW Steel Limited (27)</v>
      </c>
    </row>
    <row r="19" spans="20:20" x14ac:dyDescent="0.3">
      <c r="T19" t="str">
        <v>JETY STEEL</v>
      </c>
    </row>
    <row r="20" spans="20:20" x14ac:dyDescent="0.3">
      <c r="T20" t="str">
        <v>MUNGIPA CORPORATION INDIA PRIVATE LIMITED</v>
      </c>
    </row>
    <row r="21" spans="20:20" x14ac:dyDescent="0.3">
      <c r="T21">
        <v>0</v>
      </c>
    </row>
    <row r="22" spans="20:20" x14ac:dyDescent="0.3">
      <c r="T22" t="str">
        <v>HINDALCO INDUSTRIES LIMITED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C4:J40"/>
  <sheetViews>
    <sheetView showGridLines="0" showRowColHeaders="0" topLeftCell="D1" workbookViewId="0">
      <selection activeCell="J8" sqref="J8"/>
    </sheetView>
  </sheetViews>
  <sheetFormatPr defaultRowHeight="14.4" x14ac:dyDescent="0.3"/>
  <cols>
    <col min="3" max="3" width="40.109375" bestFit="1" customWidth="1"/>
    <col min="4" max="4" width="14.21875" bestFit="1" customWidth="1"/>
    <col min="6" max="6" width="39.5546875" bestFit="1" customWidth="1"/>
    <col min="7" max="7" width="14.21875" bestFit="1" customWidth="1"/>
    <col min="9" max="9" width="39.6640625" bestFit="1" customWidth="1"/>
    <col min="10" max="10" width="11.5546875" bestFit="1" customWidth="1"/>
  </cols>
  <sheetData>
    <row r="4" spans="3:10" s="63" customFormat="1" ht="16.2" thickBot="1" x14ac:dyDescent="0.35">
      <c r="C4" s="63" t="s">
        <v>89</v>
      </c>
      <c r="F4" s="63" t="s">
        <v>92</v>
      </c>
      <c r="I4" s="63" t="s">
        <v>94</v>
      </c>
    </row>
    <row r="5" spans="3:10" ht="15" thickBot="1" x14ac:dyDescent="0.35">
      <c r="C5" s="51" t="s">
        <v>83</v>
      </c>
      <c r="D5" s="52" t="s">
        <v>52</v>
      </c>
      <c r="F5" s="51" t="s">
        <v>83</v>
      </c>
      <c r="G5" s="52" t="s">
        <v>52</v>
      </c>
      <c r="I5" s="51" t="s">
        <v>83</v>
      </c>
      <c r="J5" s="52" t="s">
        <v>52</v>
      </c>
    </row>
    <row r="6" spans="3:10" x14ac:dyDescent="0.3">
      <c r="C6" s="50" t="s">
        <v>90</v>
      </c>
      <c r="D6" s="53">
        <f>Details!AS260</f>
        <v>10677335.5</v>
      </c>
      <c r="F6" s="50" t="s">
        <v>93</v>
      </c>
      <c r="G6" s="53">
        <f>Details!O260</f>
        <v>10131846.5</v>
      </c>
      <c r="I6" s="58" t="s">
        <v>95</v>
      </c>
      <c r="J6" s="59">
        <f>Details!AC260</f>
        <v>0</v>
      </c>
    </row>
    <row r="7" spans="3:10" x14ac:dyDescent="0.3">
      <c r="C7" s="50" t="s">
        <v>157</v>
      </c>
      <c r="D7" s="53">
        <f>Details!AS264</f>
        <v>-149552</v>
      </c>
      <c r="F7" s="50" t="s">
        <v>158</v>
      </c>
      <c r="G7" s="53">
        <f>-Details!O265</f>
        <v>30861.525423728817</v>
      </c>
      <c r="I7" s="50" t="s">
        <v>159</v>
      </c>
      <c r="J7" s="53">
        <f>Details!AC264</f>
        <v>0</v>
      </c>
    </row>
    <row r="8" spans="3:10" x14ac:dyDescent="0.3">
      <c r="C8" s="50" t="s">
        <v>141</v>
      </c>
      <c r="D8" s="53">
        <f>'Recon Items'!R9</f>
        <v>0</v>
      </c>
      <c r="F8" s="50" t="s">
        <v>142</v>
      </c>
      <c r="G8" s="53">
        <f>Details!O263</f>
        <v>0</v>
      </c>
      <c r="I8" s="50" t="s">
        <v>79</v>
      </c>
      <c r="J8" s="53">
        <f>Details!AC265</f>
        <v>0</v>
      </c>
    </row>
    <row r="9" spans="3:10" ht="15" thickBot="1" x14ac:dyDescent="0.35">
      <c r="C9" s="50" t="s">
        <v>79</v>
      </c>
      <c r="D9" s="53">
        <f>Details!AS265</f>
        <v>0</v>
      </c>
      <c r="F9" s="50" t="s">
        <v>168</v>
      </c>
      <c r="G9" s="53">
        <v>0</v>
      </c>
      <c r="I9" s="50" t="s">
        <v>160</v>
      </c>
      <c r="J9" s="53">
        <f>Details!AC263</f>
        <v>-220190</v>
      </c>
    </row>
    <row r="10" spans="3:10" ht="15" thickBot="1" x14ac:dyDescent="0.35">
      <c r="C10" s="50" t="s">
        <v>143</v>
      </c>
      <c r="D10" s="53">
        <f>Details!AS263</f>
        <v>0</v>
      </c>
      <c r="F10" s="50" t="s">
        <v>396</v>
      </c>
      <c r="G10" s="53">
        <f>'Recon Items'!C7</f>
        <v>0</v>
      </c>
      <c r="I10" s="50"/>
      <c r="J10" s="60">
        <f>SUM(J6:J9)</f>
        <v>-220190</v>
      </c>
    </row>
    <row r="11" spans="3:10" ht="15" thickBot="1" x14ac:dyDescent="0.35">
      <c r="C11" s="50"/>
      <c r="D11" s="60">
        <f>SUM(D6:D10)</f>
        <v>10527783.5</v>
      </c>
      <c r="F11" s="50" t="s">
        <v>79</v>
      </c>
      <c r="G11" s="53">
        <f>Details!O266</f>
        <v>4447774.6999999993</v>
      </c>
      <c r="I11" s="50" t="s">
        <v>96</v>
      </c>
      <c r="J11" s="53">
        <f>Details!AC261</f>
        <v>705140</v>
      </c>
    </row>
    <row r="12" spans="3:10" ht="15" thickBot="1" x14ac:dyDescent="0.35">
      <c r="C12" s="50" t="s">
        <v>91</v>
      </c>
      <c r="D12" s="53">
        <f>Details!AS261</f>
        <v>18464951.469999999</v>
      </c>
      <c r="F12" s="50" t="s">
        <v>129</v>
      </c>
      <c r="G12" s="53">
        <f>-'Recon Items'!N19</f>
        <v>0</v>
      </c>
      <c r="I12" s="56" t="s">
        <v>97</v>
      </c>
      <c r="J12" s="54">
        <f>J10-J11</f>
        <v>-925330</v>
      </c>
    </row>
    <row r="13" spans="3:10" ht="15" thickBot="1" x14ac:dyDescent="0.35">
      <c r="C13" s="56" t="s">
        <v>97</v>
      </c>
      <c r="D13" s="54">
        <f>D11-D12</f>
        <v>-7937167.9699999988</v>
      </c>
      <c r="F13" s="55" t="s">
        <v>97</v>
      </c>
      <c r="G13" s="53">
        <f>'Recon Items'!G19</f>
        <v>410045.54999999981</v>
      </c>
    </row>
    <row r="14" spans="3:10" ht="15" thickBot="1" x14ac:dyDescent="0.35">
      <c r="C14" s="23"/>
      <c r="D14" s="24"/>
      <c r="F14" s="50"/>
      <c r="G14" s="60">
        <f>SUM(G6:G13)</f>
        <v>15020528.275423728</v>
      </c>
    </row>
    <row r="15" spans="3:10" ht="15" thickBot="1" x14ac:dyDescent="0.35">
      <c r="F15" s="50" t="s">
        <v>98</v>
      </c>
      <c r="G15" s="53">
        <f>Details!O261</f>
        <v>14086109.15</v>
      </c>
    </row>
    <row r="16" spans="3:10" ht="15" thickBot="1" x14ac:dyDescent="0.35">
      <c r="F16" s="56" t="s">
        <v>97</v>
      </c>
      <c r="G16" s="57">
        <f>G14-G15-'Recon Items'!C19</f>
        <v>672300.62542372756</v>
      </c>
    </row>
    <row r="24" spans="3:4" x14ac:dyDescent="0.3">
      <c r="C24" s="23"/>
      <c r="D24" s="25"/>
    </row>
    <row r="32" spans="3:4" x14ac:dyDescent="0.3">
      <c r="D32" s="3"/>
    </row>
    <row r="33" spans="4:4" x14ac:dyDescent="0.3">
      <c r="D33" s="3"/>
    </row>
    <row r="34" spans="4:4" x14ac:dyDescent="0.3">
      <c r="D34" s="3"/>
    </row>
    <row r="35" spans="4:4" x14ac:dyDescent="0.3">
      <c r="D35" s="3"/>
    </row>
    <row r="36" spans="4:4" x14ac:dyDescent="0.3">
      <c r="D36" s="3"/>
    </row>
    <row r="37" spans="4:4" x14ac:dyDescent="0.3">
      <c r="D37" s="3"/>
    </row>
    <row r="38" spans="4:4" x14ac:dyDescent="0.3">
      <c r="D38" s="3"/>
    </row>
    <row r="39" spans="4:4" x14ac:dyDescent="0.3">
      <c r="D39" s="3"/>
    </row>
    <row r="40" spans="4:4" x14ac:dyDescent="0.3">
      <c r="D40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2554D-C845-44A4-81A0-01C3807B03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Enterprise</vt:lpstr>
      <vt:lpstr>IB</vt:lpstr>
      <vt:lpstr>Processing Centre</vt:lpstr>
      <vt:lpstr>Details PC</vt:lpstr>
      <vt:lpstr>Pune MIS</vt:lpstr>
      <vt:lpstr>Details</vt:lpstr>
      <vt:lpstr>AP &amp; AR</vt:lpstr>
      <vt:lpstr>Recon Items</vt:lpstr>
      <vt:lpstr>Last year's</vt:lpstr>
      <vt:lpstr>Stock &amp; Processing</vt:lpstr>
      <vt:lpstr>Opex &amp; Capex Detail</vt:lpstr>
      <vt:lpstr>Automation</vt:lpstr>
      <vt:lpstr>Indirect Exp</vt:lpstr>
      <vt:lpstr>Co-hort</vt:lpstr>
      <vt:lpstr>Revenue - 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Recykal RT0095</dc:creator>
  <cp:lastModifiedBy>Finance6</cp:lastModifiedBy>
  <cp:lastPrinted>2025-05-19T08:18:54Z</cp:lastPrinted>
  <dcterms:created xsi:type="dcterms:W3CDTF">2015-06-05T18:17:20Z</dcterms:created>
  <dcterms:modified xsi:type="dcterms:W3CDTF">2026-07-01T10:34:40Z</dcterms:modified>
</cp:coreProperties>
</file>